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gie.perkins_nkces\Documents\Board Meetings\"/>
    </mc:Choice>
  </mc:AlternateContent>
  <xr:revisionPtr revIDLastSave="0" documentId="13_ncr:1_{8DA8662F-C4C1-4B9B-A0AE-65D68A75D610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Profit and Loss by Class" sheetId="1" r:id="rId1"/>
  </sheets>
  <calcPr calcId="191029"/>
</workbook>
</file>

<file path=xl/calcChain.xml><?xml version="1.0" encoding="utf-8"?>
<calcChain xmlns="http://schemas.openxmlformats.org/spreadsheetml/2006/main">
  <c r="AJ91" i="1" l="1"/>
  <c r="AC91" i="1"/>
  <c r="W91" i="1"/>
  <c r="V91" i="1"/>
  <c r="U91" i="1"/>
  <c r="Q91" i="1"/>
  <c r="O91" i="1"/>
  <c r="N91" i="1"/>
  <c r="M91" i="1"/>
  <c r="J91" i="1"/>
  <c r="H91" i="1"/>
  <c r="G91" i="1"/>
  <c r="E91" i="1"/>
  <c r="D91" i="1"/>
  <c r="C91" i="1"/>
  <c r="AI90" i="1"/>
  <c r="AI91" i="1" s="1"/>
  <c r="AH90" i="1"/>
  <c r="AH91" i="1" s="1"/>
  <c r="AG90" i="1"/>
  <c r="AF90" i="1"/>
  <c r="AF91" i="1" s="1"/>
  <c r="AE90" i="1"/>
  <c r="AD90" i="1"/>
  <c r="AD91" i="1" s="1"/>
  <c r="AC90" i="1"/>
  <c r="AB90" i="1"/>
  <c r="AB91" i="1" s="1"/>
  <c r="AA90" i="1"/>
  <c r="AA91" i="1" s="1"/>
  <c r="Z90" i="1"/>
  <c r="Z91" i="1" s="1"/>
  <c r="Y90" i="1"/>
  <c r="Y91" i="1" s="1"/>
  <c r="X90" i="1"/>
  <c r="X91" i="1" s="1"/>
  <c r="W90" i="1"/>
  <c r="U90" i="1"/>
  <c r="T90" i="1"/>
  <c r="T91" i="1" s="1"/>
  <c r="S90" i="1"/>
  <c r="S91" i="1" s="1"/>
  <c r="R90" i="1"/>
  <c r="R91" i="1" s="1"/>
  <c r="P90" i="1"/>
  <c r="P91" i="1" s="1"/>
  <c r="M90" i="1"/>
  <c r="L90" i="1"/>
  <c r="L91" i="1" s="1"/>
  <c r="K90" i="1"/>
  <c r="I90" i="1"/>
  <c r="I91" i="1" s="1"/>
  <c r="F90" i="1"/>
  <c r="AK90" i="1" s="1"/>
  <c r="AG89" i="1"/>
  <c r="AG91" i="1" s="1"/>
  <c r="AE89" i="1"/>
  <c r="AE91" i="1" s="1"/>
  <c r="X89" i="1"/>
  <c r="W89" i="1"/>
  <c r="K89" i="1"/>
  <c r="K91" i="1" s="1"/>
  <c r="B89" i="1"/>
  <c r="AK89" i="1" s="1"/>
  <c r="AK88" i="1"/>
  <c r="AJ87" i="1"/>
  <c r="AI87" i="1"/>
  <c r="AF87" i="1"/>
  <c r="AB87" i="1"/>
  <c r="AA87" i="1"/>
  <c r="Z87" i="1"/>
  <c r="V87" i="1"/>
  <c r="U87" i="1"/>
  <c r="S87" i="1"/>
  <c r="R87" i="1"/>
  <c r="Q87" i="1"/>
  <c r="O87" i="1"/>
  <c r="N87" i="1"/>
  <c r="L87" i="1"/>
  <c r="K87" i="1"/>
  <c r="I87" i="1"/>
  <c r="H87" i="1"/>
  <c r="G87" i="1"/>
  <c r="E87" i="1"/>
  <c r="D87" i="1"/>
  <c r="C87" i="1"/>
  <c r="AK86" i="1"/>
  <c r="B86" i="1"/>
  <c r="AG85" i="1"/>
  <c r="AE85" i="1"/>
  <c r="AC85" i="1"/>
  <c r="Y85" i="1"/>
  <c r="Y87" i="1" s="1"/>
  <c r="X85" i="1"/>
  <c r="W85" i="1"/>
  <c r="P85" i="1"/>
  <c r="B85" i="1"/>
  <c r="AK85" i="1" s="1"/>
  <c r="AJ84" i="1"/>
  <c r="AH84" i="1"/>
  <c r="AG84" i="1"/>
  <c r="AE84" i="1"/>
  <c r="AC84" i="1"/>
  <c r="AC87" i="1" s="1"/>
  <c r="AB84" i="1"/>
  <c r="Y84" i="1"/>
  <c r="X84" i="1"/>
  <c r="W84" i="1"/>
  <c r="T84" i="1"/>
  <c r="T87" i="1" s="1"/>
  <c r="P84" i="1"/>
  <c r="J84" i="1"/>
  <c r="F84" i="1"/>
  <c r="AK84" i="1" s="1"/>
  <c r="B84" i="1"/>
  <c r="AG83" i="1"/>
  <c r="AE83" i="1"/>
  <c r="Y83" i="1"/>
  <c r="X83" i="1"/>
  <c r="W83" i="1"/>
  <c r="P83" i="1"/>
  <c r="J83" i="1"/>
  <c r="F83" i="1"/>
  <c r="B83" i="1"/>
  <c r="AK83" i="1" s="1"/>
  <c r="AH82" i="1"/>
  <c r="AH87" i="1" s="1"/>
  <c r="AG82" i="1"/>
  <c r="AG87" i="1" s="1"/>
  <c r="AE82" i="1"/>
  <c r="AE87" i="1" s="1"/>
  <c r="AD82" i="1"/>
  <c r="AD87" i="1" s="1"/>
  <c r="AA82" i="1"/>
  <c r="Y82" i="1"/>
  <c r="X82" i="1"/>
  <c r="X87" i="1" s="1"/>
  <c r="W82" i="1"/>
  <c r="W87" i="1" s="1"/>
  <c r="P82" i="1"/>
  <c r="P87" i="1" s="1"/>
  <c r="M82" i="1"/>
  <c r="M87" i="1" s="1"/>
  <c r="J82" i="1"/>
  <c r="J87" i="1" s="1"/>
  <c r="F82" i="1"/>
  <c r="F87" i="1" s="1"/>
  <c r="B82" i="1"/>
  <c r="AK82" i="1" s="1"/>
  <c r="AK81" i="1"/>
  <c r="AJ80" i="1"/>
  <c r="AI80" i="1"/>
  <c r="AH80" i="1"/>
  <c r="AF80" i="1"/>
  <c r="AD80" i="1"/>
  <c r="AA80" i="1"/>
  <c r="V80" i="1"/>
  <c r="U80" i="1"/>
  <c r="T80" i="1"/>
  <c r="S80" i="1"/>
  <c r="R80" i="1"/>
  <c r="Q80" i="1"/>
  <c r="O80" i="1"/>
  <c r="M80" i="1"/>
  <c r="L80" i="1"/>
  <c r="J80" i="1"/>
  <c r="I80" i="1"/>
  <c r="G80" i="1"/>
  <c r="E80" i="1"/>
  <c r="C80" i="1"/>
  <c r="N79" i="1"/>
  <c r="F79" i="1"/>
  <c r="B79" i="1"/>
  <c r="AK79" i="1" s="1"/>
  <c r="AH78" i="1"/>
  <c r="AG78" i="1"/>
  <c r="AE78" i="1"/>
  <c r="AC78" i="1"/>
  <c r="AC80" i="1" s="1"/>
  <c r="AB78" i="1"/>
  <c r="AB80" i="1" s="1"/>
  <c r="Y78" i="1"/>
  <c r="X78" i="1"/>
  <c r="W78" i="1"/>
  <c r="P78" i="1"/>
  <c r="N78" i="1"/>
  <c r="N80" i="1" s="1"/>
  <c r="K78" i="1"/>
  <c r="K80" i="1" s="1"/>
  <c r="J78" i="1"/>
  <c r="H78" i="1"/>
  <c r="H80" i="1" s="1"/>
  <c r="F78" i="1"/>
  <c r="D78" i="1"/>
  <c r="D80" i="1" s="1"/>
  <c r="C78" i="1"/>
  <c r="AK78" i="1" s="1"/>
  <c r="B78" i="1"/>
  <c r="Z77" i="1"/>
  <c r="Z80" i="1" s="1"/>
  <c r="K77" i="1"/>
  <c r="J77" i="1"/>
  <c r="AK77" i="1" s="1"/>
  <c r="F77" i="1"/>
  <c r="B77" i="1"/>
  <c r="AG76" i="1"/>
  <c r="AE76" i="1"/>
  <c r="X76" i="1"/>
  <c r="W76" i="1"/>
  <c r="F76" i="1"/>
  <c r="AK76" i="1" s="1"/>
  <c r="B76" i="1"/>
  <c r="AG75" i="1"/>
  <c r="AG80" i="1" s="1"/>
  <c r="AE75" i="1"/>
  <c r="Y75" i="1"/>
  <c r="Y80" i="1" s="1"/>
  <c r="X75" i="1"/>
  <c r="X80" i="1" s="1"/>
  <c r="W75" i="1"/>
  <c r="P75" i="1"/>
  <c r="P80" i="1" s="1"/>
  <c r="F75" i="1"/>
  <c r="B75" i="1"/>
  <c r="AK75" i="1" s="1"/>
  <c r="AE74" i="1"/>
  <c r="AE80" i="1" s="1"/>
  <c r="X74" i="1"/>
  <c r="W74" i="1"/>
  <c r="P74" i="1"/>
  <c r="F74" i="1"/>
  <c r="AK74" i="1" s="1"/>
  <c r="B74" i="1"/>
  <c r="X73" i="1"/>
  <c r="W73" i="1"/>
  <c r="W80" i="1" s="1"/>
  <c r="F73" i="1"/>
  <c r="F80" i="1" s="1"/>
  <c r="B73" i="1"/>
  <c r="AK73" i="1" s="1"/>
  <c r="AK72" i="1"/>
  <c r="AJ71" i="1"/>
  <c r="AI71" i="1"/>
  <c r="AH71" i="1"/>
  <c r="AG71" i="1"/>
  <c r="AF71" i="1"/>
  <c r="AE71" i="1"/>
  <c r="AD71" i="1"/>
  <c r="AC71" i="1"/>
  <c r="AB71" i="1"/>
  <c r="AA71" i="1"/>
  <c r="Z71" i="1"/>
  <c r="Y71" i="1"/>
  <c r="X71" i="1"/>
  <c r="W71" i="1"/>
  <c r="V71" i="1"/>
  <c r="U71" i="1"/>
  <c r="T71" i="1"/>
  <c r="S71" i="1"/>
  <c r="R71" i="1"/>
  <c r="Q71" i="1"/>
  <c r="P71" i="1"/>
  <c r="O71" i="1"/>
  <c r="N71" i="1"/>
  <c r="M71" i="1"/>
  <c r="L71" i="1"/>
  <c r="K71" i="1"/>
  <c r="J71" i="1"/>
  <c r="I71" i="1"/>
  <c r="H71" i="1"/>
  <c r="G71" i="1"/>
  <c r="E71" i="1"/>
  <c r="D71" i="1"/>
  <c r="C71" i="1"/>
  <c r="B70" i="1"/>
  <c r="AK70" i="1" s="1"/>
  <c r="AK69" i="1"/>
  <c r="F69" i="1"/>
  <c r="F71" i="1" s="1"/>
  <c r="B69" i="1"/>
  <c r="F68" i="1"/>
  <c r="B68" i="1"/>
  <c r="AK68" i="1" s="1"/>
  <c r="AK67" i="1"/>
  <c r="AJ66" i="1"/>
  <c r="AI66" i="1"/>
  <c r="AH66" i="1"/>
  <c r="AF66" i="1"/>
  <c r="AD66" i="1"/>
  <c r="AC66" i="1"/>
  <c r="AB66" i="1"/>
  <c r="AA66" i="1"/>
  <c r="Z66" i="1"/>
  <c r="V66" i="1"/>
  <c r="U66" i="1"/>
  <c r="T66" i="1"/>
  <c r="S66" i="1"/>
  <c r="R66" i="1"/>
  <c r="Q66" i="1"/>
  <c r="O66" i="1"/>
  <c r="M66" i="1"/>
  <c r="L66" i="1"/>
  <c r="K66" i="1"/>
  <c r="I66" i="1"/>
  <c r="H66" i="1"/>
  <c r="G66" i="1"/>
  <c r="E66" i="1"/>
  <c r="D66" i="1"/>
  <c r="C66" i="1"/>
  <c r="AK65" i="1"/>
  <c r="J65" i="1"/>
  <c r="AK64" i="1"/>
  <c r="F64" i="1"/>
  <c r="AG63" i="1"/>
  <c r="AG66" i="1" s="1"/>
  <c r="AE63" i="1"/>
  <c r="AE66" i="1" s="1"/>
  <c r="Y63" i="1"/>
  <c r="Y66" i="1" s="1"/>
  <c r="X63" i="1"/>
  <c r="W63" i="1"/>
  <c r="W66" i="1" s="1"/>
  <c r="P63" i="1"/>
  <c r="P66" i="1" s="1"/>
  <c r="J63" i="1"/>
  <c r="F63" i="1"/>
  <c r="B63" i="1"/>
  <c r="AK63" i="1" s="1"/>
  <c r="F62" i="1"/>
  <c r="B62" i="1"/>
  <c r="AK62" i="1" s="1"/>
  <c r="X61" i="1"/>
  <c r="X66" i="1" s="1"/>
  <c r="N60" i="1"/>
  <c r="N66" i="1" s="1"/>
  <c r="J60" i="1"/>
  <c r="J66" i="1" s="1"/>
  <c r="F60" i="1"/>
  <c r="B60" i="1"/>
  <c r="AK60" i="1" s="1"/>
  <c r="F59" i="1"/>
  <c r="B59" i="1"/>
  <c r="AK59" i="1" s="1"/>
  <c r="F58" i="1"/>
  <c r="B58" i="1"/>
  <c r="AK58" i="1" s="1"/>
  <c r="F57" i="1"/>
  <c r="F66" i="1" s="1"/>
  <c r="B57" i="1"/>
  <c r="AK57" i="1" s="1"/>
  <c r="AK56" i="1"/>
  <c r="AG55" i="1"/>
  <c r="AE55" i="1"/>
  <c r="Y55" i="1"/>
  <c r="Q55" i="1"/>
  <c r="P55" i="1"/>
  <c r="N55" i="1"/>
  <c r="J55" i="1"/>
  <c r="F55" i="1"/>
  <c r="AK55" i="1" s="1"/>
  <c r="B55" i="1"/>
  <c r="AJ54" i="1"/>
  <c r="AI54" i="1"/>
  <c r="AH54" i="1"/>
  <c r="AF54" i="1"/>
  <c r="AD54" i="1"/>
  <c r="AC54" i="1"/>
  <c r="AB54" i="1"/>
  <c r="AA54" i="1"/>
  <c r="Z54" i="1"/>
  <c r="Y54" i="1"/>
  <c r="V54" i="1"/>
  <c r="U54" i="1"/>
  <c r="T54" i="1"/>
  <c r="S54" i="1"/>
  <c r="R54" i="1"/>
  <c r="Q54" i="1"/>
  <c r="O54" i="1"/>
  <c r="N54" i="1"/>
  <c r="L54" i="1"/>
  <c r="I54" i="1"/>
  <c r="H54" i="1"/>
  <c r="G54" i="1"/>
  <c r="E54" i="1"/>
  <c r="D54" i="1"/>
  <c r="C54" i="1"/>
  <c r="AG53" i="1"/>
  <c r="AE53" i="1"/>
  <c r="AE54" i="1" s="1"/>
  <c r="Y53" i="1"/>
  <c r="X53" i="1"/>
  <c r="W53" i="1"/>
  <c r="W54" i="1" s="1"/>
  <c r="P53" i="1"/>
  <c r="P54" i="1" s="1"/>
  <c r="L53" i="1"/>
  <c r="J53" i="1"/>
  <c r="F53" i="1"/>
  <c r="B53" i="1"/>
  <c r="AK53" i="1" s="1"/>
  <c r="F52" i="1"/>
  <c r="B52" i="1"/>
  <c r="AK52" i="1" s="1"/>
  <c r="B51" i="1"/>
  <c r="AK51" i="1" s="1"/>
  <c r="AG50" i="1"/>
  <c r="AG54" i="1" s="1"/>
  <c r="X50" i="1"/>
  <c r="X54" i="1" s="1"/>
  <c r="S50" i="1"/>
  <c r="R50" i="1"/>
  <c r="M50" i="1"/>
  <c r="M54" i="1" s="1"/>
  <c r="K50" i="1"/>
  <c r="K54" i="1" s="1"/>
  <c r="J50" i="1"/>
  <c r="J54" i="1" s="1"/>
  <c r="F50" i="1"/>
  <c r="F54" i="1" s="1"/>
  <c r="B50" i="1"/>
  <c r="AK49" i="1"/>
  <c r="AJ48" i="1"/>
  <c r="AJ92" i="1" s="1"/>
  <c r="AD48" i="1"/>
  <c r="AC48" i="1"/>
  <c r="AB48" i="1"/>
  <c r="AB92" i="1" s="1"/>
  <c r="AA48" i="1"/>
  <c r="Z48" i="1"/>
  <c r="W48" i="1"/>
  <c r="V48" i="1"/>
  <c r="Q48" i="1"/>
  <c r="O48" i="1"/>
  <c r="N48" i="1"/>
  <c r="K48" i="1"/>
  <c r="J48" i="1"/>
  <c r="H48" i="1"/>
  <c r="G48" i="1"/>
  <c r="E48" i="1"/>
  <c r="D48" i="1"/>
  <c r="D92" i="1" s="1"/>
  <c r="C48" i="1"/>
  <c r="C92" i="1" s="1"/>
  <c r="AI47" i="1"/>
  <c r="AH47" i="1"/>
  <c r="AG47" i="1"/>
  <c r="AF47" i="1"/>
  <c r="AE47" i="1"/>
  <c r="Y47" i="1"/>
  <c r="Y48" i="1" s="1"/>
  <c r="X47" i="1"/>
  <c r="T47" i="1"/>
  <c r="AK47" i="1" s="1"/>
  <c r="S47" i="1"/>
  <c r="R47" i="1"/>
  <c r="P47" i="1"/>
  <c r="AI46" i="1"/>
  <c r="AG46" i="1"/>
  <c r="AE46" i="1"/>
  <c r="AA46" i="1"/>
  <c r="Y46" i="1"/>
  <c r="T46" i="1"/>
  <c r="S46" i="1"/>
  <c r="P46" i="1"/>
  <c r="M46" i="1"/>
  <c r="L46" i="1"/>
  <c r="L48" i="1" s="1"/>
  <c r="I46" i="1"/>
  <c r="F46" i="1"/>
  <c r="AK46" i="1" s="1"/>
  <c r="AH45" i="1"/>
  <c r="AG45" i="1"/>
  <c r="AE45" i="1"/>
  <c r="AA45" i="1"/>
  <c r="X45" i="1"/>
  <c r="U45" i="1"/>
  <c r="T45" i="1"/>
  <c r="S45" i="1"/>
  <c r="R45" i="1"/>
  <c r="M45" i="1"/>
  <c r="L45" i="1"/>
  <c r="I45" i="1"/>
  <c r="F45" i="1"/>
  <c r="B45" i="1"/>
  <c r="AK45" i="1" s="1"/>
  <c r="AH44" i="1"/>
  <c r="AG44" i="1"/>
  <c r="AE44" i="1"/>
  <c r="X44" i="1"/>
  <c r="U44" i="1"/>
  <c r="T44" i="1"/>
  <c r="S44" i="1"/>
  <c r="R44" i="1"/>
  <c r="AK44" i="1" s="1"/>
  <c r="M44" i="1"/>
  <c r="L44" i="1"/>
  <c r="I44" i="1"/>
  <c r="F44" i="1"/>
  <c r="B44" i="1"/>
  <c r="AI43" i="1"/>
  <c r="AH43" i="1"/>
  <c r="AG43" i="1"/>
  <c r="AF43" i="1"/>
  <c r="AE43" i="1"/>
  <c r="Y43" i="1"/>
  <c r="X43" i="1"/>
  <c r="T43" i="1"/>
  <c r="AK43" i="1" s="1"/>
  <c r="S43" i="1"/>
  <c r="R43" i="1"/>
  <c r="P43" i="1"/>
  <c r="AI42" i="1"/>
  <c r="AG42" i="1"/>
  <c r="AF42" i="1"/>
  <c r="AE42" i="1"/>
  <c r="X42" i="1"/>
  <c r="S42" i="1"/>
  <c r="R42" i="1"/>
  <c r="M42" i="1"/>
  <c r="I42" i="1"/>
  <c r="F42" i="1"/>
  <c r="B42" i="1"/>
  <c r="AK41" i="1"/>
  <c r="AH41" i="1"/>
  <c r="AG41" i="1"/>
  <c r="AE41" i="1"/>
  <c r="AA41" i="1"/>
  <c r="Y41" i="1"/>
  <c r="X41" i="1"/>
  <c r="U41" i="1"/>
  <c r="T41" i="1"/>
  <c r="P41" i="1"/>
  <c r="M41" i="1"/>
  <c r="L41" i="1"/>
  <c r="F41" i="1"/>
  <c r="B41" i="1"/>
  <c r="AI40" i="1"/>
  <c r="AH40" i="1"/>
  <c r="AG40" i="1"/>
  <c r="AF40" i="1"/>
  <c r="AE40" i="1"/>
  <c r="AA40" i="1"/>
  <c r="Y40" i="1"/>
  <c r="X40" i="1"/>
  <c r="U40" i="1"/>
  <c r="U48" i="1" s="1"/>
  <c r="T40" i="1"/>
  <c r="S40" i="1"/>
  <c r="R40" i="1"/>
  <c r="P40" i="1"/>
  <c r="M40" i="1"/>
  <c r="L40" i="1"/>
  <c r="I40" i="1"/>
  <c r="F40" i="1"/>
  <c r="B40" i="1"/>
  <c r="AK40" i="1" s="1"/>
  <c r="AI39" i="1"/>
  <c r="AG39" i="1"/>
  <c r="AF39" i="1"/>
  <c r="AE39" i="1"/>
  <c r="X39" i="1"/>
  <c r="S39" i="1"/>
  <c r="R39" i="1"/>
  <c r="M39" i="1"/>
  <c r="M48" i="1" s="1"/>
  <c r="I39" i="1"/>
  <c r="I48" i="1" s="1"/>
  <c r="F39" i="1"/>
  <c r="F48" i="1" s="1"/>
  <c r="B39" i="1"/>
  <c r="B38" i="1"/>
  <c r="B48" i="1" s="1"/>
  <c r="AK48" i="1" s="1"/>
  <c r="AI37" i="1"/>
  <c r="AI48" i="1" s="1"/>
  <c r="AH37" i="1"/>
  <c r="AH48" i="1" s="1"/>
  <c r="AG37" i="1"/>
  <c r="AG48" i="1" s="1"/>
  <c r="AF37" i="1"/>
  <c r="AF48" i="1" s="1"/>
  <c r="AE37" i="1"/>
  <c r="AE48" i="1" s="1"/>
  <c r="Y37" i="1"/>
  <c r="X37" i="1"/>
  <c r="X48" i="1" s="1"/>
  <c r="T37" i="1"/>
  <c r="T48" i="1" s="1"/>
  <c r="S37" i="1"/>
  <c r="S48" i="1" s="1"/>
  <c r="R37" i="1"/>
  <c r="R48" i="1" s="1"/>
  <c r="P37" i="1"/>
  <c r="P48" i="1" s="1"/>
  <c r="AK36" i="1"/>
  <c r="AJ35" i="1"/>
  <c r="AI35" i="1"/>
  <c r="AH35" i="1"/>
  <c r="AG35" i="1"/>
  <c r="AG92" i="1" s="1"/>
  <c r="AD35" i="1"/>
  <c r="AD92" i="1" s="1"/>
  <c r="AC35" i="1"/>
  <c r="AC92" i="1" s="1"/>
  <c r="AB35" i="1"/>
  <c r="AA35" i="1"/>
  <c r="Z35" i="1"/>
  <c r="Z92" i="1" s="1"/>
  <c r="Y35" i="1"/>
  <c r="W35" i="1"/>
  <c r="V35" i="1"/>
  <c r="V92" i="1" s="1"/>
  <c r="Q35" i="1"/>
  <c r="Q92" i="1" s="1"/>
  <c r="O35" i="1"/>
  <c r="O92" i="1" s="1"/>
  <c r="N35" i="1"/>
  <c r="N92" i="1" s="1"/>
  <c r="K35" i="1"/>
  <c r="J35" i="1"/>
  <c r="J92" i="1" s="1"/>
  <c r="I35" i="1"/>
  <c r="H35" i="1"/>
  <c r="H92" i="1" s="1"/>
  <c r="G35" i="1"/>
  <c r="G92" i="1" s="1"/>
  <c r="E35" i="1"/>
  <c r="E92" i="1" s="1"/>
  <c r="D35" i="1"/>
  <c r="C35" i="1"/>
  <c r="AI34" i="1"/>
  <c r="AG34" i="1"/>
  <c r="AF34" i="1"/>
  <c r="AF35" i="1" s="1"/>
  <c r="AE34" i="1"/>
  <c r="AA34" i="1"/>
  <c r="X34" i="1"/>
  <c r="S34" i="1"/>
  <c r="S35" i="1" s="1"/>
  <c r="S92" i="1" s="1"/>
  <c r="R34" i="1"/>
  <c r="R35" i="1" s="1"/>
  <c r="M34" i="1"/>
  <c r="I34" i="1"/>
  <c r="F34" i="1"/>
  <c r="F35" i="1" s="1"/>
  <c r="B34" i="1"/>
  <c r="AH33" i="1"/>
  <c r="AG33" i="1"/>
  <c r="AE33" i="1"/>
  <c r="AE35" i="1" s="1"/>
  <c r="AA33" i="1"/>
  <c r="Y33" i="1"/>
  <c r="X33" i="1"/>
  <c r="X35" i="1" s="1"/>
  <c r="U33" i="1"/>
  <c r="U35" i="1" s="1"/>
  <c r="U92" i="1" s="1"/>
  <c r="T33" i="1"/>
  <c r="T35" i="1" s="1"/>
  <c r="T92" i="1" s="1"/>
  <c r="P33" i="1"/>
  <c r="P35" i="1" s="1"/>
  <c r="M33" i="1"/>
  <c r="M35" i="1" s="1"/>
  <c r="M92" i="1" s="1"/>
  <c r="L33" i="1"/>
  <c r="L35" i="1" s="1"/>
  <c r="F33" i="1"/>
  <c r="B33" i="1"/>
  <c r="B35" i="1" s="1"/>
  <c r="AK32" i="1"/>
  <c r="Y30" i="1"/>
  <c r="AI29" i="1"/>
  <c r="AI30" i="1" s="1"/>
  <c r="U29" i="1"/>
  <c r="U30" i="1" s="1"/>
  <c r="U93" i="1" s="1"/>
  <c r="U94" i="1" s="1"/>
  <c r="C29" i="1"/>
  <c r="C30" i="1" s="1"/>
  <c r="C93" i="1" s="1"/>
  <c r="C94" i="1" s="1"/>
  <c r="AJ28" i="1"/>
  <c r="AI28" i="1"/>
  <c r="AG28" i="1"/>
  <c r="AE28" i="1"/>
  <c r="AA28" i="1"/>
  <c r="Z28" i="1"/>
  <c r="Y28" i="1"/>
  <c r="W28" i="1"/>
  <c r="R28" i="1"/>
  <c r="Q28" i="1"/>
  <c r="O28" i="1"/>
  <c r="L28" i="1"/>
  <c r="K28" i="1"/>
  <c r="J28" i="1"/>
  <c r="I28" i="1"/>
  <c r="H28" i="1"/>
  <c r="F28" i="1"/>
  <c r="D28" i="1"/>
  <c r="C28" i="1"/>
  <c r="B28" i="1"/>
  <c r="AI27" i="1"/>
  <c r="AH27" i="1"/>
  <c r="AH28" i="1" s="1"/>
  <c r="AG27" i="1"/>
  <c r="AF27" i="1"/>
  <c r="AF28" i="1" s="1"/>
  <c r="AE27" i="1"/>
  <c r="AD27" i="1"/>
  <c r="AD28" i="1" s="1"/>
  <c r="AD29" i="1" s="1"/>
  <c r="AD30" i="1" s="1"/>
  <c r="AD93" i="1" s="1"/>
  <c r="AD94" i="1" s="1"/>
  <c r="AC27" i="1"/>
  <c r="AC28" i="1" s="1"/>
  <c r="AC29" i="1" s="1"/>
  <c r="AC30" i="1" s="1"/>
  <c r="AC93" i="1" s="1"/>
  <c r="AC94" i="1" s="1"/>
  <c r="AB27" i="1"/>
  <c r="AB28" i="1" s="1"/>
  <c r="Y27" i="1"/>
  <c r="X27" i="1"/>
  <c r="X28" i="1" s="1"/>
  <c r="W27" i="1"/>
  <c r="V27" i="1"/>
  <c r="V28" i="1" s="1"/>
  <c r="V29" i="1" s="1"/>
  <c r="V30" i="1" s="1"/>
  <c r="T27" i="1"/>
  <c r="T28" i="1" s="1"/>
  <c r="P27" i="1"/>
  <c r="P28" i="1" s="1"/>
  <c r="N27" i="1"/>
  <c r="G27" i="1"/>
  <c r="G28" i="1" s="1"/>
  <c r="E27" i="1"/>
  <c r="E28" i="1" s="1"/>
  <c r="E29" i="1" s="1"/>
  <c r="E30" i="1" s="1"/>
  <c r="E93" i="1" s="1"/>
  <c r="E94" i="1" s="1"/>
  <c r="AK26" i="1"/>
  <c r="U26" i="1"/>
  <c r="U28" i="1" s="1"/>
  <c r="S26" i="1"/>
  <c r="S28" i="1" s="1"/>
  <c r="S29" i="1" s="1"/>
  <c r="S30" i="1" s="1"/>
  <c r="S93" i="1" s="1"/>
  <c r="S94" i="1" s="1"/>
  <c r="R26" i="1"/>
  <c r="N26" i="1"/>
  <c r="N28" i="1" s="1"/>
  <c r="N29" i="1" s="1"/>
  <c r="N30" i="1" s="1"/>
  <c r="N93" i="1" s="1"/>
  <c r="N94" i="1" s="1"/>
  <c r="M26" i="1"/>
  <c r="M28" i="1" s="1"/>
  <c r="M29" i="1" s="1"/>
  <c r="M30" i="1" s="1"/>
  <c r="M93" i="1" s="1"/>
  <c r="M94" i="1" s="1"/>
  <c r="AK25" i="1"/>
  <c r="B24" i="1"/>
  <c r="AK24" i="1" s="1"/>
  <c r="B23" i="1"/>
  <c r="AK23" i="1" s="1"/>
  <c r="AJ22" i="1"/>
  <c r="AI22" i="1"/>
  <c r="AH22" i="1"/>
  <c r="AG22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K22" i="1"/>
  <c r="J22" i="1"/>
  <c r="I22" i="1"/>
  <c r="H22" i="1"/>
  <c r="G22" i="1"/>
  <c r="E22" i="1"/>
  <c r="D22" i="1"/>
  <c r="C22" i="1"/>
  <c r="B22" i="1"/>
  <c r="F21" i="1"/>
  <c r="L20" i="1"/>
  <c r="L22" i="1" s="1"/>
  <c r="H20" i="1"/>
  <c r="F20" i="1"/>
  <c r="AK20" i="1" s="1"/>
  <c r="AJ19" i="1"/>
  <c r="AJ29" i="1" s="1"/>
  <c r="AJ30" i="1" s="1"/>
  <c r="AJ93" i="1" s="1"/>
  <c r="AJ94" i="1" s="1"/>
  <c r="AI19" i="1"/>
  <c r="AH19" i="1"/>
  <c r="AG19" i="1"/>
  <c r="AF19" i="1"/>
  <c r="AE19" i="1"/>
  <c r="AE29" i="1" s="1"/>
  <c r="AE30" i="1" s="1"/>
  <c r="AD19" i="1"/>
  <c r="AC19" i="1"/>
  <c r="AB19" i="1"/>
  <c r="AB29" i="1" s="1"/>
  <c r="AB30" i="1" s="1"/>
  <c r="Z19" i="1"/>
  <c r="Y19" i="1"/>
  <c r="Y29" i="1" s="1"/>
  <c r="X19" i="1"/>
  <c r="W19" i="1"/>
  <c r="V19" i="1"/>
  <c r="U19" i="1"/>
  <c r="T19" i="1"/>
  <c r="S19" i="1"/>
  <c r="R19" i="1"/>
  <c r="P19" i="1"/>
  <c r="P29" i="1" s="1"/>
  <c r="P30" i="1" s="1"/>
  <c r="N19" i="1"/>
  <c r="M19" i="1"/>
  <c r="L19" i="1"/>
  <c r="L29" i="1" s="1"/>
  <c r="L30" i="1" s="1"/>
  <c r="H19" i="1"/>
  <c r="H29" i="1" s="1"/>
  <c r="H30" i="1" s="1"/>
  <c r="H93" i="1" s="1"/>
  <c r="H94" i="1" s="1"/>
  <c r="E19" i="1"/>
  <c r="D19" i="1"/>
  <c r="D29" i="1" s="1"/>
  <c r="D30" i="1" s="1"/>
  <c r="D93" i="1" s="1"/>
  <c r="D94" i="1" s="1"/>
  <c r="B19" i="1"/>
  <c r="F18" i="1"/>
  <c r="AK18" i="1" s="1"/>
  <c r="G17" i="1"/>
  <c r="G19" i="1" s="1"/>
  <c r="F17" i="1"/>
  <c r="C17" i="1"/>
  <c r="C19" i="1" s="1"/>
  <c r="B17" i="1"/>
  <c r="AK17" i="1" s="1"/>
  <c r="AK16" i="1"/>
  <c r="B16" i="1"/>
  <c r="AK15" i="1"/>
  <c r="B15" i="1"/>
  <c r="B14" i="1"/>
  <c r="AK14" i="1" s="1"/>
  <c r="K13" i="1"/>
  <c r="J13" i="1"/>
  <c r="AK13" i="1" s="1"/>
  <c r="F13" i="1"/>
  <c r="B13" i="1"/>
  <c r="J12" i="1"/>
  <c r="F12" i="1"/>
  <c r="B12" i="1"/>
  <c r="AK12" i="1" s="1"/>
  <c r="AA11" i="1"/>
  <c r="AA19" i="1" s="1"/>
  <c r="AA29" i="1" s="1"/>
  <c r="AA30" i="1" s="1"/>
  <c r="Q11" i="1"/>
  <c r="Q19" i="1" s="1"/>
  <c r="Q29" i="1" s="1"/>
  <c r="Q30" i="1" s="1"/>
  <c r="Q93" i="1" s="1"/>
  <c r="Q94" i="1" s="1"/>
  <c r="O11" i="1"/>
  <c r="O19" i="1" s="1"/>
  <c r="O29" i="1" s="1"/>
  <c r="O30" i="1" s="1"/>
  <c r="O93" i="1" s="1"/>
  <c r="O94" i="1" s="1"/>
  <c r="I11" i="1"/>
  <c r="I19" i="1" s="1"/>
  <c r="I29" i="1" s="1"/>
  <c r="I30" i="1" s="1"/>
  <c r="F11" i="1"/>
  <c r="F19" i="1" s="1"/>
  <c r="D11" i="1"/>
  <c r="K10" i="1"/>
  <c r="K19" i="1" s="1"/>
  <c r="K29" i="1" s="1"/>
  <c r="K30" i="1" s="1"/>
  <c r="J10" i="1"/>
  <c r="AK10" i="1" s="1"/>
  <c r="B9" i="1"/>
  <c r="AK9" i="1" s="1"/>
  <c r="B8" i="1"/>
  <c r="AK8" i="1" s="1"/>
  <c r="AK7" i="1"/>
  <c r="AK11" i="1" l="1"/>
  <c r="AH29" i="1"/>
  <c r="AH30" i="1" s="1"/>
  <c r="AH93" i="1" s="1"/>
  <c r="AH94" i="1" s="1"/>
  <c r="AI93" i="1"/>
  <c r="AI94" i="1" s="1"/>
  <c r="B29" i="1"/>
  <c r="AK35" i="1"/>
  <c r="K92" i="1"/>
  <c r="K93" i="1" s="1"/>
  <c r="K94" i="1" s="1"/>
  <c r="F29" i="1"/>
  <c r="F30" i="1" s="1"/>
  <c r="R29" i="1"/>
  <c r="R30" i="1" s="1"/>
  <c r="R93" i="1" s="1"/>
  <c r="R94" i="1" s="1"/>
  <c r="Z29" i="1"/>
  <c r="Z30" i="1" s="1"/>
  <c r="Z93" i="1" s="1"/>
  <c r="Z94" i="1" s="1"/>
  <c r="R92" i="1"/>
  <c r="AK34" i="1"/>
  <c r="AK42" i="1"/>
  <c r="AB93" i="1"/>
  <c r="AB94" i="1" s="1"/>
  <c r="AK27" i="1"/>
  <c r="L92" i="1"/>
  <c r="L93" i="1" s="1"/>
  <c r="L94" i="1" s="1"/>
  <c r="AE92" i="1"/>
  <c r="AE93" i="1" s="1"/>
  <c r="AE94" i="1" s="1"/>
  <c r="T29" i="1"/>
  <c r="T30" i="1" s="1"/>
  <c r="T93" i="1" s="1"/>
  <c r="T94" i="1" s="1"/>
  <c r="AK28" i="1"/>
  <c r="J19" i="1"/>
  <c r="J29" i="1" s="1"/>
  <c r="J30" i="1" s="1"/>
  <c r="J93" i="1" s="1"/>
  <c r="J94" i="1" s="1"/>
  <c r="P92" i="1"/>
  <c r="P93" i="1" s="1"/>
  <c r="P94" i="1" s="1"/>
  <c r="AI92" i="1"/>
  <c r="V93" i="1"/>
  <c r="V94" i="1" s="1"/>
  <c r="F92" i="1"/>
  <c r="AF92" i="1"/>
  <c r="W92" i="1"/>
  <c r="AH92" i="1"/>
  <c r="AK39" i="1"/>
  <c r="G29" i="1"/>
  <c r="G30" i="1" s="1"/>
  <c r="G93" i="1" s="1"/>
  <c r="G94" i="1" s="1"/>
  <c r="W29" i="1"/>
  <c r="W30" i="1" s="1"/>
  <c r="W93" i="1" s="1"/>
  <c r="W94" i="1" s="1"/>
  <c r="AF29" i="1"/>
  <c r="AF30" i="1" s="1"/>
  <c r="AF93" i="1" s="1"/>
  <c r="AF94" i="1" s="1"/>
  <c r="AK21" i="1"/>
  <c r="F22" i="1"/>
  <c r="X29" i="1"/>
  <c r="X30" i="1" s="1"/>
  <c r="X93" i="1" s="1"/>
  <c r="X94" i="1" s="1"/>
  <c r="AG29" i="1"/>
  <c r="AG30" i="1" s="1"/>
  <c r="AG93" i="1" s="1"/>
  <c r="AG94" i="1" s="1"/>
  <c r="AK22" i="1"/>
  <c r="X92" i="1"/>
  <c r="I92" i="1"/>
  <c r="I93" i="1" s="1"/>
  <c r="I94" i="1" s="1"/>
  <c r="Y92" i="1"/>
  <c r="Y93" i="1" s="1"/>
  <c r="Y94" i="1" s="1"/>
  <c r="AA92" i="1"/>
  <c r="AA93" i="1" s="1"/>
  <c r="AA94" i="1" s="1"/>
  <c r="B80" i="1"/>
  <c r="AK80" i="1" s="1"/>
  <c r="AK37" i="1"/>
  <c r="AK33" i="1"/>
  <c r="AK38" i="1"/>
  <c r="B71" i="1"/>
  <c r="AK71" i="1" s="1"/>
  <c r="B91" i="1"/>
  <c r="AK61" i="1"/>
  <c r="AK50" i="1"/>
  <c r="B54" i="1"/>
  <c r="AK54" i="1" s="1"/>
  <c r="B66" i="1"/>
  <c r="AK66" i="1" s="1"/>
  <c r="B87" i="1"/>
  <c r="AK87" i="1" s="1"/>
  <c r="F91" i="1"/>
  <c r="AK91" i="1" l="1"/>
  <c r="F93" i="1"/>
  <c r="F94" i="1" s="1"/>
  <c r="B92" i="1"/>
  <c r="AK92" i="1" s="1"/>
  <c r="AK19" i="1"/>
  <c r="B30" i="1"/>
  <c r="AK29" i="1"/>
  <c r="AK30" i="1" l="1"/>
  <c r="B93" i="1"/>
  <c r="B94" i="1" l="1"/>
  <c r="AK94" i="1" s="1"/>
  <c r="AK93" i="1"/>
</calcChain>
</file>

<file path=xl/sharedStrings.xml><?xml version="1.0" encoding="utf-8"?>
<sst xmlns="http://schemas.openxmlformats.org/spreadsheetml/2006/main" count="128" uniqueCount="128">
  <si>
    <t>0010 - Operations</t>
  </si>
  <si>
    <t>0025 - Staff Account</t>
  </si>
  <si>
    <t>0060 - WHS Crusade for Children</t>
  </si>
  <si>
    <t>0065 - CRRSA</t>
  </si>
  <si>
    <t>1100 - RSP</t>
  </si>
  <si>
    <t>1135 - DEI Grant</t>
  </si>
  <si>
    <t>1310 - EL Local</t>
  </si>
  <si>
    <t>1415 - NKU Regional Consultant</t>
  </si>
  <si>
    <t>1509 - Professional Development</t>
  </si>
  <si>
    <t>1550 - Special Ed PD</t>
  </si>
  <si>
    <t>1975 - YSA</t>
  </si>
  <si>
    <t>2010 - FRYSC State</t>
  </si>
  <si>
    <t>2020- FEMA Covid Reim</t>
  </si>
  <si>
    <t>2610 - Serve KY</t>
  </si>
  <si>
    <t>2800 - Arts in Education</t>
  </si>
  <si>
    <t>2826 - Arts Wave</t>
  </si>
  <si>
    <t>2910 - DAIL State</t>
  </si>
  <si>
    <t>2943 - DCBS State</t>
  </si>
  <si>
    <t>3010 - FRYSC - Fed</t>
  </si>
  <si>
    <t>3220 - PERS Effectiveness Coach</t>
  </si>
  <si>
    <t>3299 - ARP</t>
  </si>
  <si>
    <t>336L - IDEA B 24-25</t>
  </si>
  <si>
    <t>336M - IDEA B 25-26</t>
  </si>
  <si>
    <t>3416- SPF</t>
  </si>
  <si>
    <t>3420 - Interact for Health</t>
  </si>
  <si>
    <t>3421 - Interact for Health 25-26</t>
  </si>
  <si>
    <t>345K - Title III EL 23-24</t>
  </si>
  <si>
    <t>345L - Title III EL 24-25</t>
  </si>
  <si>
    <t>3603 - Healthy Schools 25-26</t>
  </si>
  <si>
    <t>3800 - Trauma Informed</t>
  </si>
  <si>
    <t>3910 - DAIL Fed</t>
  </si>
  <si>
    <t>3925 - Mental Health</t>
  </si>
  <si>
    <t>3931 - RSP SBMH Counselor</t>
  </si>
  <si>
    <t>3943 - DCBS Fed</t>
  </si>
  <si>
    <t>Not Specified</t>
  </si>
  <si>
    <t>TOTAL</t>
  </si>
  <si>
    <t>Income</t>
  </si>
  <si>
    <t xml:space="preserve">   31100 UNRESTRICTED INCOME</t>
  </si>
  <si>
    <t xml:space="preserve">      31111 MEMBERSHIPS</t>
  </si>
  <si>
    <t xml:space="preserve">      31510 INTEREST</t>
  </si>
  <si>
    <t xml:space="preserve">      31636 REGISTRATIONS</t>
  </si>
  <si>
    <t xml:space="preserve">      31800 LOCAL GRANT RECEIPTS</t>
  </si>
  <si>
    <t xml:space="preserve">      31913 SPONSORSHIP</t>
  </si>
  <si>
    <t xml:space="preserve">      31980 REFUNDS &amp; REIMBURSEMENTS</t>
  </si>
  <si>
    <t xml:space="preserve">      31981 PROCUREMENT (KPC &amp; AEPA)</t>
  </si>
  <si>
    <t xml:space="preserve">      31996 INDIRECT COSTS RECEIPTS</t>
  </si>
  <si>
    <t xml:space="preserve">      31997 RENT</t>
  </si>
  <si>
    <t xml:space="preserve">      31999 MISC. REVENUES</t>
  </si>
  <si>
    <t xml:space="preserve">      33111 SEEK FUNDS/ADA</t>
  </si>
  <si>
    <t xml:space="preserve">   Total 31100 UNRESTRICTED INCOME</t>
  </si>
  <si>
    <t xml:space="preserve">   31310 SLOTS/TUITION/BUY-IN</t>
  </si>
  <si>
    <t xml:space="preserve">      31311 NKCES/MENTAL HEALTH THERAPY</t>
  </si>
  <si>
    <t xml:space="preserve">   Total 31310 SLOTS/TUITION/BUY-IN</t>
  </si>
  <si>
    <t xml:space="preserve">   31970 Partner Services</t>
  </si>
  <si>
    <t xml:space="preserve">   31985 SICK LEAVE ESCROW</t>
  </si>
  <si>
    <t xml:space="preserve">   33000 RESTRICTED RECEIPTS</t>
  </si>
  <si>
    <t xml:space="preserve">      33200 STATE  RECEIPTS</t>
  </si>
  <si>
    <t xml:space="preserve">      34500 FEDERAL RECEIPTS</t>
  </si>
  <si>
    <t xml:space="preserve">   Total 33000 RESTRICTED RECEIPTS</t>
  </si>
  <si>
    <t>Total Income</t>
  </si>
  <si>
    <t>Gross Profit</t>
  </si>
  <si>
    <t>Expenses</t>
  </si>
  <si>
    <t xml:space="preserve">   40100 PERSONNEL</t>
  </si>
  <si>
    <t xml:space="preserve">      40110 CERTIFIED PERSONNEL</t>
  </si>
  <si>
    <t xml:space="preserve">      40130 CLASSIFIED PERSONNEL</t>
  </si>
  <si>
    <t xml:space="preserve">   Total 40100 PERSONNEL</t>
  </si>
  <si>
    <t xml:space="preserve">   40200 FRINGE</t>
  </si>
  <si>
    <t xml:space="preserve">      40211 LIFE INSURANCE</t>
  </si>
  <si>
    <t xml:space="preserve">      40214 DENTAL INSURANCE</t>
  </si>
  <si>
    <t xml:space="preserve">      40221 SOC SEC TAX</t>
  </si>
  <si>
    <t xml:space="preserve">      40222 MEDICARE TAX</t>
  </si>
  <si>
    <t xml:space="preserve">      40231 TEACHER RETIREMENT</t>
  </si>
  <si>
    <t xml:space="preserve">      40232 COUNTY RETIREMENT</t>
  </si>
  <si>
    <t xml:space="preserve">      40233 HEALTH INSURANCE</t>
  </si>
  <si>
    <t xml:space="preserve">      40253 UNEMPLOYMENT</t>
  </si>
  <si>
    <t xml:space="preserve">      40260 WORKERS COMPENSATION</t>
  </si>
  <si>
    <t xml:space="preserve">      40291 SICK LEAVE PROGRAM</t>
  </si>
  <si>
    <t xml:space="preserve">      40294 ADMININSTRATIVE COST - INS</t>
  </si>
  <si>
    <t xml:space="preserve">   Total 40200 FRINGE</t>
  </si>
  <si>
    <t xml:space="preserve">   40300 PROFESSIONAL SERVICES</t>
  </si>
  <si>
    <t xml:space="preserve">      40330 OTHER PROFESSIONAL SERVICES</t>
  </si>
  <si>
    <t xml:space="preserve">      40331 AUDIT</t>
  </si>
  <si>
    <t xml:space="preserve">      40333 PAYROLL SERVICES</t>
  </si>
  <si>
    <t xml:space="preserve">      40340 TECHNICAL SERVICES</t>
  </si>
  <si>
    <t xml:space="preserve">   Total 40300 PROFESSIONAL SERVICES</t>
  </si>
  <si>
    <t xml:space="preserve">   40335 CONTRACTED SERVICE</t>
  </si>
  <si>
    <t xml:space="preserve">   40400 REPAIR/MAINTENANCE</t>
  </si>
  <si>
    <t xml:space="preserve">      40411 WATER</t>
  </si>
  <si>
    <t xml:space="preserve">      40420 MOWING</t>
  </si>
  <si>
    <t xml:space="preserve">      40421 SANITATION SERVICE</t>
  </si>
  <si>
    <t xml:space="preserve">      40430 FACILITIES/REPAIR/MAINTENANCE</t>
  </si>
  <si>
    <t xml:space="preserve">      40441 RENT</t>
  </si>
  <si>
    <t xml:space="preserve">      40620 UTILITIES - GAS/ELECTRIC</t>
  </si>
  <si>
    <t xml:space="preserve">      40648 SOFTWARE/SOFTWARE MAINT</t>
  </si>
  <si>
    <t xml:space="preserve">      40733 FURNITURE</t>
  </si>
  <si>
    <t xml:space="preserve">      40734 COMPUTERS</t>
  </si>
  <si>
    <t xml:space="preserve">   Total 40400 REPAIR/MAINTENANCE</t>
  </si>
  <si>
    <t xml:space="preserve">   40500 INSURANCE</t>
  </si>
  <si>
    <t xml:space="preserve">      40520 LIABILITY INSURANCE</t>
  </si>
  <si>
    <t xml:space="preserve">      40522 PROPERTY INSURANCE</t>
  </si>
  <si>
    <t xml:space="preserve">      40529 BONDING INSURANCE</t>
  </si>
  <si>
    <t xml:space="preserve">   Total 40500 INSURANCE</t>
  </si>
  <si>
    <t xml:space="preserve">   40600 OFFICE EXPENSE</t>
  </si>
  <si>
    <t xml:space="preserve">      40440 POSTAGE MACHINE RENTAL</t>
  </si>
  <si>
    <t xml:space="preserve">      40531 POSTAGE</t>
  </si>
  <si>
    <t xml:space="preserve">      40532 TELEPHONE</t>
  </si>
  <si>
    <t xml:space="preserve">      40550 PRINTING</t>
  </si>
  <si>
    <t xml:space="preserve">      40605 FOOD</t>
  </si>
  <si>
    <t xml:space="preserve">      40610 SUPPLIES</t>
  </si>
  <si>
    <t xml:space="preserve">      40615 JANITORIAL SUPPLIES</t>
  </si>
  <si>
    <t xml:space="preserve">   Total 40600 OFFICE EXPENSE</t>
  </si>
  <si>
    <t xml:space="preserve">   40700 PROGRAM EXPENSES</t>
  </si>
  <si>
    <t xml:space="preserve">      40320 EDUCATIONAL SERVICES</t>
  </si>
  <si>
    <t xml:space="preserve">      40339 REGISTRATION FEE</t>
  </si>
  <si>
    <t xml:space="preserve">      40580 TRAVEL</t>
  </si>
  <si>
    <t xml:space="preserve">      40640 BOOKS/PERIODICALS</t>
  </si>
  <si>
    <t xml:space="preserve">      40720 Interest on Loan</t>
  </si>
  <si>
    <t xml:space="preserve">   Total 40700 PROGRAM EXPENSES</t>
  </si>
  <si>
    <t xml:space="preserve">   40800 OTHER EXPENSES</t>
  </si>
  <si>
    <t xml:space="preserve">      40810 DUES AND FEES</t>
  </si>
  <si>
    <t xml:space="preserve">      40933 INDIRECT COSTS</t>
  </si>
  <si>
    <t xml:space="preserve">   Total 40800 OTHER EXPENSES</t>
  </si>
  <si>
    <t>Total Expenses</t>
  </si>
  <si>
    <t>Net Operating Income</t>
  </si>
  <si>
    <t>Net Income</t>
  </si>
  <si>
    <t>Northern Kentucky Cooperative For Educational Services</t>
  </si>
  <si>
    <t>Profit and Loss by Class</t>
  </si>
  <si>
    <t>July 2025 - May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</si>
</sst>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€"/>
    <numFmt numFmtId="165" formatCode="&quot;$&quot;* #,##0.00\ _€"/>
  </numFmts>
  <fonts count="6" x14ac:knownFonts="1">
    <font>
      <sz val="11"/>
      <color indexed="8"/>
      <name val="Calibri"/>
      <family val="2"/>
      <scheme val="minor"/>
    </font>
    <font>
      <b/>
      <sz val="9"/>
      <color indexed="8"/>
      <name val="Arial"/>
    </font>
    <font>
      <b/>
      <sz val="8"/>
      <color indexed="8"/>
      <name val="Arial"/>
    </font>
    <font>
      <sz val="8"/>
      <color indexed="8"/>
      <name val="Arial"/>
    </font>
    <font>
      <b/>
      <sz val="14"/>
      <color indexed="8"/>
      <name val="Arial"/>
    </font>
    <font>
      <b/>
      <sz val="10"/>
      <color indexed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164" fontId="3" fillId="0" borderId="0" xfId="0" applyNumberFormat="1" applyFont="1" applyAlignment="1">
      <alignment wrapText="1"/>
    </xf>
    <xf numFmtId="164" fontId="3" fillId="0" borderId="0" xfId="0" applyNumberFormat="1" applyFont="1" applyAlignment="1">
      <alignment horizontal="right" wrapText="1"/>
    </xf>
    <xf numFmtId="165" fontId="2" fillId="0" borderId="2" xfId="0" applyNumberFormat="1" applyFont="1" applyBorder="1" applyAlignment="1">
      <alignment horizontal="right" wrapText="1"/>
    </xf>
    <xf numFmtId="165" fontId="2" fillId="0" borderId="3" xfId="0" applyNumberFormat="1" applyFont="1" applyBorder="1" applyAlignment="1">
      <alignment horizontal="right" wrapText="1"/>
    </xf>
    <xf numFmtId="0" fontId="3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98"/>
  <sheetViews>
    <sheetView tabSelected="1" topLeftCell="A43" workbookViewId="0">
      <selection activeCell="A98" sqref="A98:AK98"/>
    </sheetView>
  </sheetViews>
  <sheetFormatPr defaultRowHeight="15" x14ac:dyDescent="0.25"/>
  <cols>
    <col min="1" max="1" width="36.140625" customWidth="1"/>
    <col min="2" max="2" width="12" customWidth="1"/>
    <col min="3" max="3" width="7.7109375" customWidth="1"/>
    <col min="4" max="4" width="8.5703125" customWidth="1"/>
    <col min="5" max="5" width="7.7109375" customWidth="1"/>
    <col min="6" max="6" width="12" customWidth="1"/>
    <col min="7" max="7" width="9.7109375" customWidth="1"/>
    <col min="8" max="8" width="10.28515625" customWidth="1"/>
    <col min="9" max="9" width="11.140625" customWidth="1"/>
    <col min="10" max="11" width="10.28515625" customWidth="1"/>
    <col min="12" max="12" width="9.42578125" customWidth="1"/>
    <col min="13" max="13" width="12" customWidth="1"/>
    <col min="14" max="14" width="9.42578125" customWidth="1"/>
    <col min="15" max="16" width="10.28515625" customWidth="1"/>
    <col min="17" max="17" width="8.5703125" customWidth="1"/>
    <col min="18" max="20" width="10.28515625" customWidth="1"/>
    <col min="21" max="21" width="11.140625" customWidth="1"/>
    <col min="22" max="22" width="8.5703125" customWidth="1"/>
    <col min="23" max="24" width="10.28515625" customWidth="1"/>
    <col min="25" max="25" width="9.42578125" customWidth="1"/>
    <col min="26" max="26" width="8.5703125" customWidth="1"/>
    <col min="27" max="27" width="9.42578125" customWidth="1"/>
    <col min="28" max="29" width="8.5703125" customWidth="1"/>
    <col min="30" max="30" width="9.42578125" customWidth="1"/>
    <col min="31" max="31" width="12" customWidth="1"/>
    <col min="32" max="32" width="7.7109375" customWidth="1"/>
    <col min="33" max="33" width="12" customWidth="1"/>
    <col min="34" max="34" width="10.28515625" customWidth="1"/>
    <col min="35" max="36" width="7.7109375" customWidth="1"/>
    <col min="37" max="37" width="12.85546875" customWidth="1"/>
  </cols>
  <sheetData>
    <row r="1" spans="1:37" ht="18" x14ac:dyDescent="0.25">
      <c r="A1" s="10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</row>
    <row r="2" spans="1:37" ht="18" x14ac:dyDescent="0.25">
      <c r="A2" s="10" t="s">
        <v>126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</row>
    <row r="3" spans="1:37" x14ac:dyDescent="0.25">
      <c r="A3" s="11" t="s">
        <v>127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</row>
    <row r="5" spans="1:37" ht="60.75" x14ac:dyDescent="0.25">
      <c r="A5" s="1"/>
      <c r="B5" s="2" t="s">
        <v>0</v>
      </c>
      <c r="C5" s="2" t="s">
        <v>1</v>
      </c>
      <c r="D5" s="2" t="s">
        <v>2</v>
      </c>
      <c r="E5" s="2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  <c r="K5" s="2" t="s">
        <v>9</v>
      </c>
      <c r="L5" s="2" t="s">
        <v>10</v>
      </c>
      <c r="M5" s="2" t="s">
        <v>11</v>
      </c>
      <c r="N5" s="2" t="s">
        <v>12</v>
      </c>
      <c r="O5" s="2" t="s">
        <v>13</v>
      </c>
      <c r="P5" s="2" t="s">
        <v>14</v>
      </c>
      <c r="Q5" s="2" t="s">
        <v>15</v>
      </c>
      <c r="R5" s="2" t="s">
        <v>16</v>
      </c>
      <c r="S5" s="2" t="s">
        <v>17</v>
      </c>
      <c r="T5" s="2" t="s">
        <v>18</v>
      </c>
      <c r="U5" s="2" t="s">
        <v>19</v>
      </c>
      <c r="V5" s="2" t="s">
        <v>20</v>
      </c>
      <c r="W5" s="2" t="s">
        <v>21</v>
      </c>
      <c r="X5" s="2" t="s">
        <v>22</v>
      </c>
      <c r="Y5" s="2" t="s">
        <v>23</v>
      </c>
      <c r="Z5" s="2" t="s">
        <v>24</v>
      </c>
      <c r="AA5" s="2" t="s">
        <v>25</v>
      </c>
      <c r="AB5" s="2" t="s">
        <v>26</v>
      </c>
      <c r="AC5" s="2" t="s">
        <v>27</v>
      </c>
      <c r="AD5" s="2" t="s">
        <v>28</v>
      </c>
      <c r="AE5" s="2" t="s">
        <v>29</v>
      </c>
      <c r="AF5" s="2" t="s">
        <v>30</v>
      </c>
      <c r="AG5" s="2" t="s">
        <v>31</v>
      </c>
      <c r="AH5" s="2" t="s">
        <v>32</v>
      </c>
      <c r="AI5" s="2" t="s">
        <v>33</v>
      </c>
      <c r="AJ5" s="2" t="s">
        <v>34</v>
      </c>
      <c r="AK5" s="2" t="s">
        <v>35</v>
      </c>
    </row>
    <row r="6" spans="1:37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</row>
    <row r="7" spans="1:37" x14ac:dyDescent="0.25">
      <c r="A7" s="3" t="s">
        <v>37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5">
        <f t="shared" ref="AK7:AK30" si="0">((((((((((((((((((((((((((((((((((B7)+(C7))+(D7))+(E7))+(F7))+(G7))+(H7))+(I7))+(J7))+(K7))+(L7))+(M7))+(N7))+(O7))+(P7))+(Q7))+(R7))+(S7))+(T7))+(U7))+(V7))+(W7))+(X7))+(Y7))+(Z7))+(AA7))+(AB7))+(AC7))+(AD7))+(AE7))+(AF7))+(AG7))+(AH7))+(AI7))+(AJ7)</f>
        <v>0</v>
      </c>
    </row>
    <row r="8" spans="1:37" x14ac:dyDescent="0.25">
      <c r="A8" s="3" t="s">
        <v>38</v>
      </c>
      <c r="B8" s="5">
        <f>282607.03</f>
        <v>282607.03000000003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5">
        <f t="shared" si="0"/>
        <v>282607.03000000003</v>
      </c>
    </row>
    <row r="9" spans="1:37" x14ac:dyDescent="0.25">
      <c r="A9" s="3" t="s">
        <v>39</v>
      </c>
      <c r="B9" s="5">
        <f>223001.56</f>
        <v>223001.56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5">
        <f t="shared" si="0"/>
        <v>223001.56</v>
      </c>
    </row>
    <row r="10" spans="1:37" x14ac:dyDescent="0.25">
      <c r="A10" s="3" t="s">
        <v>40</v>
      </c>
      <c r="B10" s="4"/>
      <c r="C10" s="4"/>
      <c r="D10" s="4"/>
      <c r="E10" s="4"/>
      <c r="F10" s="4"/>
      <c r="G10" s="4"/>
      <c r="H10" s="4"/>
      <c r="I10" s="4"/>
      <c r="J10" s="5">
        <f>438100.57</f>
        <v>438100.57</v>
      </c>
      <c r="K10" s="5">
        <f>3880</f>
        <v>3880</v>
      </c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5">
        <f t="shared" si="0"/>
        <v>441980.57</v>
      </c>
    </row>
    <row r="11" spans="1:37" x14ac:dyDescent="0.25">
      <c r="A11" s="3" t="s">
        <v>41</v>
      </c>
      <c r="B11" s="4"/>
      <c r="C11" s="4"/>
      <c r="D11" s="5">
        <f>4517.73</f>
        <v>4517.7299999999996</v>
      </c>
      <c r="E11" s="4"/>
      <c r="F11" s="5">
        <f>2500</f>
        <v>2500</v>
      </c>
      <c r="G11" s="4"/>
      <c r="H11" s="4"/>
      <c r="I11" s="5">
        <f>99288.25</f>
        <v>99288.25</v>
      </c>
      <c r="J11" s="4"/>
      <c r="K11" s="4"/>
      <c r="L11" s="4"/>
      <c r="M11" s="4"/>
      <c r="N11" s="4"/>
      <c r="O11" s="5">
        <f>230000</f>
        <v>230000</v>
      </c>
      <c r="P11" s="4"/>
      <c r="Q11" s="5">
        <f>8000</f>
        <v>8000</v>
      </c>
      <c r="R11" s="4"/>
      <c r="S11" s="4"/>
      <c r="T11" s="4"/>
      <c r="U11" s="4"/>
      <c r="V11" s="4"/>
      <c r="W11" s="4"/>
      <c r="X11" s="4"/>
      <c r="Y11" s="4"/>
      <c r="Z11" s="4"/>
      <c r="AA11" s="5">
        <f>30000</f>
        <v>30000</v>
      </c>
      <c r="AB11" s="4"/>
      <c r="AC11" s="4"/>
      <c r="AD11" s="4"/>
      <c r="AE11" s="4"/>
      <c r="AF11" s="4"/>
      <c r="AG11" s="4"/>
      <c r="AH11" s="4"/>
      <c r="AI11" s="4"/>
      <c r="AJ11" s="4"/>
      <c r="AK11" s="5">
        <f t="shared" si="0"/>
        <v>374305.98</v>
      </c>
    </row>
    <row r="12" spans="1:37" x14ac:dyDescent="0.25">
      <c r="A12" s="3" t="s">
        <v>42</v>
      </c>
      <c r="B12" s="5">
        <f>8500</f>
        <v>8500</v>
      </c>
      <c r="C12" s="4"/>
      <c r="D12" s="4"/>
      <c r="E12" s="4"/>
      <c r="F12" s="5">
        <f>50</f>
        <v>50</v>
      </c>
      <c r="G12" s="4"/>
      <c r="H12" s="4"/>
      <c r="I12" s="4"/>
      <c r="J12" s="5">
        <f>5950</f>
        <v>5950</v>
      </c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5">
        <f t="shared" si="0"/>
        <v>14500</v>
      </c>
    </row>
    <row r="13" spans="1:37" x14ac:dyDescent="0.25">
      <c r="A13" s="3" t="s">
        <v>43</v>
      </c>
      <c r="B13" s="5">
        <f>9152.77</f>
        <v>9152.77</v>
      </c>
      <c r="C13" s="4"/>
      <c r="D13" s="4"/>
      <c r="E13" s="4"/>
      <c r="F13" s="5">
        <f>159.24</f>
        <v>159.24</v>
      </c>
      <c r="G13" s="4"/>
      <c r="H13" s="4"/>
      <c r="I13" s="4"/>
      <c r="J13" s="5">
        <f>486.47</f>
        <v>486.47</v>
      </c>
      <c r="K13" s="5">
        <f>50</f>
        <v>50</v>
      </c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5">
        <f t="shared" si="0"/>
        <v>9848.48</v>
      </c>
    </row>
    <row r="14" spans="1:37" x14ac:dyDescent="0.25">
      <c r="A14" s="3" t="s">
        <v>44</v>
      </c>
      <c r="B14" s="5">
        <f>149656.86</f>
        <v>149656.85999999999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5">
        <f t="shared" si="0"/>
        <v>149656.85999999999</v>
      </c>
    </row>
    <row r="15" spans="1:37" x14ac:dyDescent="0.25">
      <c r="A15" s="3" t="s">
        <v>45</v>
      </c>
      <c r="B15" s="5">
        <f>910312.93</f>
        <v>910312.93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5">
        <f t="shared" si="0"/>
        <v>910312.93</v>
      </c>
    </row>
    <row r="16" spans="1:37" x14ac:dyDescent="0.25">
      <c r="A16" s="3" t="s">
        <v>46</v>
      </c>
      <c r="B16" s="5">
        <f>40000</f>
        <v>40000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5">
        <f t="shared" si="0"/>
        <v>40000</v>
      </c>
    </row>
    <row r="17" spans="1:37" x14ac:dyDescent="0.25">
      <c r="A17" s="3" t="s">
        <v>47</v>
      </c>
      <c r="B17" s="5">
        <f>2144.21</f>
        <v>2144.21</v>
      </c>
      <c r="C17" s="5">
        <f>225</f>
        <v>225</v>
      </c>
      <c r="D17" s="4"/>
      <c r="E17" s="4"/>
      <c r="F17" s="5">
        <f>217.25</f>
        <v>217.25</v>
      </c>
      <c r="G17" s="5">
        <f>7251</f>
        <v>7251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5">
        <f t="shared" si="0"/>
        <v>9837.4599999999991</v>
      </c>
    </row>
    <row r="18" spans="1:37" x14ac:dyDescent="0.25">
      <c r="A18" s="3" t="s">
        <v>48</v>
      </c>
      <c r="B18" s="4"/>
      <c r="C18" s="4"/>
      <c r="D18" s="4"/>
      <c r="E18" s="4"/>
      <c r="F18" s="5">
        <f>262885</f>
        <v>262885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5">
        <f t="shared" si="0"/>
        <v>262885</v>
      </c>
    </row>
    <row r="19" spans="1:37" x14ac:dyDescent="0.25">
      <c r="A19" s="3" t="s">
        <v>49</v>
      </c>
      <c r="B19" s="6">
        <f t="shared" ref="B19:AJ19" si="1">(((((((((((B7)+(B8))+(B9))+(B10))+(B11))+(B12))+(B13))+(B14))+(B15))+(B16))+(B17))+(B18)</f>
        <v>1625375.3599999999</v>
      </c>
      <c r="C19" s="6">
        <f t="shared" si="1"/>
        <v>225</v>
      </c>
      <c r="D19" s="6">
        <f t="shared" si="1"/>
        <v>4517.7299999999996</v>
      </c>
      <c r="E19" s="6">
        <f t="shared" si="1"/>
        <v>0</v>
      </c>
      <c r="F19" s="6">
        <f t="shared" si="1"/>
        <v>265811.49</v>
      </c>
      <c r="G19" s="6">
        <f t="shared" si="1"/>
        <v>7251</v>
      </c>
      <c r="H19" s="6">
        <f t="shared" si="1"/>
        <v>0</v>
      </c>
      <c r="I19" s="6">
        <f t="shared" si="1"/>
        <v>99288.25</v>
      </c>
      <c r="J19" s="6">
        <f t="shared" si="1"/>
        <v>444537.04</v>
      </c>
      <c r="K19" s="6">
        <f t="shared" si="1"/>
        <v>3930</v>
      </c>
      <c r="L19" s="6">
        <f t="shared" si="1"/>
        <v>0</v>
      </c>
      <c r="M19" s="6">
        <f t="shared" si="1"/>
        <v>0</v>
      </c>
      <c r="N19" s="6">
        <f t="shared" si="1"/>
        <v>0</v>
      </c>
      <c r="O19" s="6">
        <f t="shared" si="1"/>
        <v>230000</v>
      </c>
      <c r="P19" s="6">
        <f t="shared" si="1"/>
        <v>0</v>
      </c>
      <c r="Q19" s="6">
        <f t="shared" si="1"/>
        <v>8000</v>
      </c>
      <c r="R19" s="6">
        <f t="shared" si="1"/>
        <v>0</v>
      </c>
      <c r="S19" s="6">
        <f t="shared" si="1"/>
        <v>0</v>
      </c>
      <c r="T19" s="6">
        <f t="shared" si="1"/>
        <v>0</v>
      </c>
      <c r="U19" s="6">
        <f t="shared" si="1"/>
        <v>0</v>
      </c>
      <c r="V19" s="6">
        <f t="shared" si="1"/>
        <v>0</v>
      </c>
      <c r="W19" s="6">
        <f t="shared" si="1"/>
        <v>0</v>
      </c>
      <c r="X19" s="6">
        <f t="shared" si="1"/>
        <v>0</v>
      </c>
      <c r="Y19" s="6">
        <f t="shared" si="1"/>
        <v>0</v>
      </c>
      <c r="Z19" s="6">
        <f t="shared" si="1"/>
        <v>0</v>
      </c>
      <c r="AA19" s="6">
        <f t="shared" si="1"/>
        <v>30000</v>
      </c>
      <c r="AB19" s="6">
        <f t="shared" si="1"/>
        <v>0</v>
      </c>
      <c r="AC19" s="6">
        <f t="shared" si="1"/>
        <v>0</v>
      </c>
      <c r="AD19" s="6">
        <f t="shared" si="1"/>
        <v>0</v>
      </c>
      <c r="AE19" s="6">
        <f t="shared" si="1"/>
        <v>0</v>
      </c>
      <c r="AF19" s="6">
        <f t="shared" si="1"/>
        <v>0</v>
      </c>
      <c r="AG19" s="6">
        <f t="shared" si="1"/>
        <v>0</v>
      </c>
      <c r="AH19" s="6">
        <f t="shared" si="1"/>
        <v>0</v>
      </c>
      <c r="AI19" s="6">
        <f t="shared" si="1"/>
        <v>0</v>
      </c>
      <c r="AJ19" s="6">
        <f t="shared" si="1"/>
        <v>0</v>
      </c>
      <c r="AK19" s="6">
        <f t="shared" si="0"/>
        <v>2718935.8699999996</v>
      </c>
    </row>
    <row r="20" spans="1:37" x14ac:dyDescent="0.25">
      <c r="A20" s="3" t="s">
        <v>50</v>
      </c>
      <c r="B20" s="4"/>
      <c r="C20" s="4"/>
      <c r="D20" s="4"/>
      <c r="E20" s="4"/>
      <c r="F20" s="5">
        <f>2209944.08</f>
        <v>2209944.08</v>
      </c>
      <c r="G20" s="4"/>
      <c r="H20" s="5">
        <f>-1941.89</f>
        <v>-1941.89</v>
      </c>
      <c r="I20" s="4"/>
      <c r="J20" s="4"/>
      <c r="K20" s="4"/>
      <c r="L20" s="5">
        <f>93038.69</f>
        <v>93038.69</v>
      </c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5">
        <f t="shared" si="0"/>
        <v>2301040.88</v>
      </c>
    </row>
    <row r="21" spans="1:37" x14ac:dyDescent="0.25">
      <c r="A21" s="3" t="s">
        <v>51</v>
      </c>
      <c r="B21" s="4"/>
      <c r="C21" s="4"/>
      <c r="D21" s="4"/>
      <c r="E21" s="4"/>
      <c r="F21" s="5">
        <f>46224.32</f>
        <v>46224.32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5">
        <f t="shared" si="0"/>
        <v>46224.32</v>
      </c>
    </row>
    <row r="22" spans="1:37" x14ac:dyDescent="0.25">
      <c r="A22" s="3" t="s">
        <v>52</v>
      </c>
      <c r="B22" s="6">
        <f t="shared" ref="B22:AJ22" si="2">(B20)+(B21)</f>
        <v>0</v>
      </c>
      <c r="C22" s="6">
        <f t="shared" si="2"/>
        <v>0</v>
      </c>
      <c r="D22" s="6">
        <f t="shared" si="2"/>
        <v>0</v>
      </c>
      <c r="E22" s="6">
        <f t="shared" si="2"/>
        <v>0</v>
      </c>
      <c r="F22" s="6">
        <f t="shared" si="2"/>
        <v>2256168.4</v>
      </c>
      <c r="G22" s="6">
        <f t="shared" si="2"/>
        <v>0</v>
      </c>
      <c r="H22" s="6">
        <f t="shared" si="2"/>
        <v>-1941.89</v>
      </c>
      <c r="I22" s="6">
        <f t="shared" si="2"/>
        <v>0</v>
      </c>
      <c r="J22" s="6">
        <f t="shared" si="2"/>
        <v>0</v>
      </c>
      <c r="K22" s="6">
        <f t="shared" si="2"/>
        <v>0</v>
      </c>
      <c r="L22" s="6">
        <f t="shared" si="2"/>
        <v>93038.69</v>
      </c>
      <c r="M22" s="6">
        <f t="shared" si="2"/>
        <v>0</v>
      </c>
      <c r="N22" s="6">
        <f t="shared" si="2"/>
        <v>0</v>
      </c>
      <c r="O22" s="6">
        <f t="shared" si="2"/>
        <v>0</v>
      </c>
      <c r="P22" s="6">
        <f t="shared" si="2"/>
        <v>0</v>
      </c>
      <c r="Q22" s="6">
        <f t="shared" si="2"/>
        <v>0</v>
      </c>
      <c r="R22" s="6">
        <f t="shared" si="2"/>
        <v>0</v>
      </c>
      <c r="S22" s="6">
        <f t="shared" si="2"/>
        <v>0</v>
      </c>
      <c r="T22" s="6">
        <f t="shared" si="2"/>
        <v>0</v>
      </c>
      <c r="U22" s="6">
        <f t="shared" si="2"/>
        <v>0</v>
      </c>
      <c r="V22" s="6">
        <f t="shared" si="2"/>
        <v>0</v>
      </c>
      <c r="W22" s="6">
        <f t="shared" si="2"/>
        <v>0</v>
      </c>
      <c r="X22" s="6">
        <f t="shared" si="2"/>
        <v>0</v>
      </c>
      <c r="Y22" s="6">
        <f t="shared" si="2"/>
        <v>0</v>
      </c>
      <c r="Z22" s="6">
        <f t="shared" si="2"/>
        <v>0</v>
      </c>
      <c r="AA22" s="6">
        <f t="shared" si="2"/>
        <v>0</v>
      </c>
      <c r="AB22" s="6">
        <f t="shared" si="2"/>
        <v>0</v>
      </c>
      <c r="AC22" s="6">
        <f t="shared" si="2"/>
        <v>0</v>
      </c>
      <c r="AD22" s="6">
        <f t="shared" si="2"/>
        <v>0</v>
      </c>
      <c r="AE22" s="6">
        <f t="shared" si="2"/>
        <v>0</v>
      </c>
      <c r="AF22" s="6">
        <f t="shared" si="2"/>
        <v>0</v>
      </c>
      <c r="AG22" s="6">
        <f t="shared" si="2"/>
        <v>0</v>
      </c>
      <c r="AH22" s="6">
        <f t="shared" si="2"/>
        <v>0</v>
      </c>
      <c r="AI22" s="6">
        <f t="shared" si="2"/>
        <v>0</v>
      </c>
      <c r="AJ22" s="6">
        <f t="shared" si="2"/>
        <v>0</v>
      </c>
      <c r="AK22" s="6">
        <f t="shared" si="0"/>
        <v>2347265.1999999997</v>
      </c>
    </row>
    <row r="23" spans="1:37" x14ac:dyDescent="0.25">
      <c r="A23" s="3" t="s">
        <v>53</v>
      </c>
      <c r="B23" s="5">
        <f>5292</f>
        <v>5292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5">
        <f t="shared" si="0"/>
        <v>5292</v>
      </c>
    </row>
    <row r="24" spans="1:37" x14ac:dyDescent="0.25">
      <c r="A24" s="3" t="s">
        <v>54</v>
      </c>
      <c r="B24" s="5">
        <f>60695.21</f>
        <v>60695.21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5">
        <f t="shared" si="0"/>
        <v>60695.21</v>
      </c>
    </row>
    <row r="25" spans="1:37" x14ac:dyDescent="0.25">
      <c r="A25" s="3" t="s">
        <v>55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5">
        <f t="shared" si="0"/>
        <v>0</v>
      </c>
    </row>
    <row r="26" spans="1:37" x14ac:dyDescent="0.25">
      <c r="A26" s="3" t="s">
        <v>56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5">
        <f>1111238.86</f>
        <v>1111238.8600000001</v>
      </c>
      <c r="N26" s="5">
        <f>286.8</f>
        <v>286.8</v>
      </c>
      <c r="O26" s="4"/>
      <c r="P26" s="4"/>
      <c r="Q26" s="4"/>
      <c r="R26" s="5">
        <f>663609.66</f>
        <v>663609.66</v>
      </c>
      <c r="S26" s="5">
        <f>332474.46</f>
        <v>332474.46000000002</v>
      </c>
      <c r="T26" s="4"/>
      <c r="U26" s="5">
        <f>94666</f>
        <v>94666</v>
      </c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5">
        <f t="shared" si="0"/>
        <v>2202275.7800000003</v>
      </c>
    </row>
    <row r="27" spans="1:37" x14ac:dyDescent="0.25">
      <c r="A27" s="3" t="s">
        <v>57</v>
      </c>
      <c r="B27" s="4"/>
      <c r="C27" s="4"/>
      <c r="D27" s="4"/>
      <c r="E27" s="5">
        <f>-0.14</f>
        <v>-0.14000000000000001</v>
      </c>
      <c r="F27" s="4"/>
      <c r="G27" s="5">
        <f>-7251</f>
        <v>-7251</v>
      </c>
      <c r="H27" s="4"/>
      <c r="I27" s="4"/>
      <c r="J27" s="4"/>
      <c r="K27" s="4"/>
      <c r="L27" s="4"/>
      <c r="M27" s="4"/>
      <c r="N27" s="5">
        <f>29815.72</f>
        <v>29815.72</v>
      </c>
      <c r="O27" s="4"/>
      <c r="P27" s="5">
        <f>283122.82</f>
        <v>283122.82</v>
      </c>
      <c r="Q27" s="4"/>
      <c r="R27" s="4"/>
      <c r="S27" s="4"/>
      <c r="T27" s="5">
        <f>355005.24</f>
        <v>355005.24</v>
      </c>
      <c r="U27" s="4"/>
      <c r="V27" s="5">
        <f>-199.99</f>
        <v>-199.99</v>
      </c>
      <c r="W27" s="5">
        <f>65084.17</f>
        <v>65084.17</v>
      </c>
      <c r="X27" s="5">
        <f>957212.33</f>
        <v>957212.33</v>
      </c>
      <c r="Y27" s="5">
        <f>86658.42</f>
        <v>86658.42</v>
      </c>
      <c r="Z27" s="4"/>
      <c r="AA27" s="4"/>
      <c r="AB27" s="5">
        <f>1734.62</f>
        <v>1734.62</v>
      </c>
      <c r="AC27" s="5">
        <f>9349.22</f>
        <v>9349.2199999999993</v>
      </c>
      <c r="AD27" s="5">
        <f>13200</f>
        <v>13200</v>
      </c>
      <c r="AE27" s="5">
        <f>1009749.63</f>
        <v>1009749.63</v>
      </c>
      <c r="AF27" s="5">
        <f>0</f>
        <v>0</v>
      </c>
      <c r="AG27" s="5">
        <f>1794296.83</f>
        <v>1794296.83</v>
      </c>
      <c r="AH27" s="5">
        <f>105250</f>
        <v>105250</v>
      </c>
      <c r="AI27" s="5">
        <f>0</f>
        <v>0</v>
      </c>
      <c r="AJ27" s="4"/>
      <c r="AK27" s="5">
        <f t="shared" si="0"/>
        <v>4703027.87</v>
      </c>
    </row>
    <row r="28" spans="1:37" x14ac:dyDescent="0.25">
      <c r="A28" s="3" t="s">
        <v>58</v>
      </c>
      <c r="B28" s="6">
        <f t="shared" ref="B28:AJ28" si="3">((B25)+(B26))+(B27)</f>
        <v>0</v>
      </c>
      <c r="C28" s="6">
        <f t="shared" si="3"/>
        <v>0</v>
      </c>
      <c r="D28" s="6">
        <f t="shared" si="3"/>
        <v>0</v>
      </c>
      <c r="E28" s="6">
        <f t="shared" si="3"/>
        <v>-0.14000000000000001</v>
      </c>
      <c r="F28" s="6">
        <f t="shared" si="3"/>
        <v>0</v>
      </c>
      <c r="G28" s="6">
        <f t="shared" si="3"/>
        <v>-7251</v>
      </c>
      <c r="H28" s="6">
        <f t="shared" si="3"/>
        <v>0</v>
      </c>
      <c r="I28" s="6">
        <f t="shared" si="3"/>
        <v>0</v>
      </c>
      <c r="J28" s="6">
        <f t="shared" si="3"/>
        <v>0</v>
      </c>
      <c r="K28" s="6">
        <f t="shared" si="3"/>
        <v>0</v>
      </c>
      <c r="L28" s="6">
        <f t="shared" si="3"/>
        <v>0</v>
      </c>
      <c r="M28" s="6">
        <f t="shared" si="3"/>
        <v>1111238.8600000001</v>
      </c>
      <c r="N28" s="6">
        <f t="shared" si="3"/>
        <v>30102.52</v>
      </c>
      <c r="O28" s="6">
        <f t="shared" si="3"/>
        <v>0</v>
      </c>
      <c r="P28" s="6">
        <f t="shared" si="3"/>
        <v>283122.82</v>
      </c>
      <c r="Q28" s="6">
        <f t="shared" si="3"/>
        <v>0</v>
      </c>
      <c r="R28" s="6">
        <f t="shared" si="3"/>
        <v>663609.66</v>
      </c>
      <c r="S28" s="6">
        <f t="shared" si="3"/>
        <v>332474.46000000002</v>
      </c>
      <c r="T28" s="6">
        <f t="shared" si="3"/>
        <v>355005.24</v>
      </c>
      <c r="U28" s="6">
        <f t="shared" si="3"/>
        <v>94666</v>
      </c>
      <c r="V28" s="6">
        <f t="shared" si="3"/>
        <v>-199.99</v>
      </c>
      <c r="W28" s="6">
        <f t="shared" si="3"/>
        <v>65084.17</v>
      </c>
      <c r="X28" s="6">
        <f t="shared" si="3"/>
        <v>957212.33</v>
      </c>
      <c r="Y28" s="6">
        <f t="shared" si="3"/>
        <v>86658.42</v>
      </c>
      <c r="Z28" s="6">
        <f t="shared" si="3"/>
        <v>0</v>
      </c>
      <c r="AA28" s="6">
        <f t="shared" si="3"/>
        <v>0</v>
      </c>
      <c r="AB28" s="6">
        <f t="shared" si="3"/>
        <v>1734.62</v>
      </c>
      <c r="AC28" s="6">
        <f t="shared" si="3"/>
        <v>9349.2199999999993</v>
      </c>
      <c r="AD28" s="6">
        <f t="shared" si="3"/>
        <v>13200</v>
      </c>
      <c r="AE28" s="6">
        <f t="shared" si="3"/>
        <v>1009749.63</v>
      </c>
      <c r="AF28" s="6">
        <f t="shared" si="3"/>
        <v>0</v>
      </c>
      <c r="AG28" s="6">
        <f t="shared" si="3"/>
        <v>1794296.83</v>
      </c>
      <c r="AH28" s="6">
        <f t="shared" si="3"/>
        <v>105250</v>
      </c>
      <c r="AI28" s="6">
        <f t="shared" si="3"/>
        <v>0</v>
      </c>
      <c r="AJ28" s="6">
        <f t="shared" si="3"/>
        <v>0</v>
      </c>
      <c r="AK28" s="6">
        <f t="shared" si="0"/>
        <v>6905303.6500000004</v>
      </c>
    </row>
    <row r="29" spans="1:37" x14ac:dyDescent="0.25">
      <c r="A29" s="3" t="s">
        <v>59</v>
      </c>
      <c r="B29" s="6">
        <f t="shared" ref="B29:AJ29" si="4">((((B19)+(B22))+(B23))+(B24))+(B28)</f>
        <v>1691362.5699999998</v>
      </c>
      <c r="C29" s="6">
        <f t="shared" si="4"/>
        <v>225</v>
      </c>
      <c r="D29" s="6">
        <f t="shared" si="4"/>
        <v>4517.7299999999996</v>
      </c>
      <c r="E29" s="6">
        <f t="shared" si="4"/>
        <v>-0.14000000000000001</v>
      </c>
      <c r="F29" s="6">
        <f t="shared" si="4"/>
        <v>2521979.8899999997</v>
      </c>
      <c r="G29" s="6">
        <f t="shared" si="4"/>
        <v>0</v>
      </c>
      <c r="H29" s="6">
        <f t="shared" si="4"/>
        <v>-1941.89</v>
      </c>
      <c r="I29" s="6">
        <f t="shared" si="4"/>
        <v>99288.25</v>
      </c>
      <c r="J29" s="6">
        <f t="shared" si="4"/>
        <v>444537.04</v>
      </c>
      <c r="K29" s="6">
        <f t="shared" si="4"/>
        <v>3930</v>
      </c>
      <c r="L29" s="6">
        <f t="shared" si="4"/>
        <v>93038.69</v>
      </c>
      <c r="M29" s="6">
        <f t="shared" si="4"/>
        <v>1111238.8600000001</v>
      </c>
      <c r="N29" s="6">
        <f t="shared" si="4"/>
        <v>30102.52</v>
      </c>
      <c r="O29" s="6">
        <f t="shared" si="4"/>
        <v>230000</v>
      </c>
      <c r="P29" s="6">
        <f t="shared" si="4"/>
        <v>283122.82</v>
      </c>
      <c r="Q29" s="6">
        <f t="shared" si="4"/>
        <v>8000</v>
      </c>
      <c r="R29" s="6">
        <f t="shared" si="4"/>
        <v>663609.66</v>
      </c>
      <c r="S29" s="6">
        <f t="shared" si="4"/>
        <v>332474.46000000002</v>
      </c>
      <c r="T29" s="6">
        <f t="shared" si="4"/>
        <v>355005.24</v>
      </c>
      <c r="U29" s="6">
        <f t="shared" si="4"/>
        <v>94666</v>
      </c>
      <c r="V29" s="6">
        <f t="shared" si="4"/>
        <v>-199.99</v>
      </c>
      <c r="W29" s="6">
        <f t="shared" si="4"/>
        <v>65084.17</v>
      </c>
      <c r="X29" s="6">
        <f t="shared" si="4"/>
        <v>957212.33</v>
      </c>
      <c r="Y29" s="6">
        <f t="shared" si="4"/>
        <v>86658.42</v>
      </c>
      <c r="Z29" s="6">
        <f t="shared" si="4"/>
        <v>0</v>
      </c>
      <c r="AA29" s="6">
        <f t="shared" si="4"/>
        <v>30000</v>
      </c>
      <c r="AB29" s="6">
        <f t="shared" si="4"/>
        <v>1734.62</v>
      </c>
      <c r="AC29" s="6">
        <f t="shared" si="4"/>
        <v>9349.2199999999993</v>
      </c>
      <c r="AD29" s="6">
        <f t="shared" si="4"/>
        <v>13200</v>
      </c>
      <c r="AE29" s="6">
        <f t="shared" si="4"/>
        <v>1009749.63</v>
      </c>
      <c r="AF29" s="6">
        <f t="shared" si="4"/>
        <v>0</v>
      </c>
      <c r="AG29" s="6">
        <f t="shared" si="4"/>
        <v>1794296.83</v>
      </c>
      <c r="AH29" s="6">
        <f t="shared" si="4"/>
        <v>105250</v>
      </c>
      <c r="AI29" s="6">
        <f t="shared" si="4"/>
        <v>0</v>
      </c>
      <c r="AJ29" s="6">
        <f t="shared" si="4"/>
        <v>0</v>
      </c>
      <c r="AK29" s="6">
        <f t="shared" si="0"/>
        <v>12037491.930000002</v>
      </c>
    </row>
    <row r="30" spans="1:37" x14ac:dyDescent="0.25">
      <c r="A30" s="3" t="s">
        <v>60</v>
      </c>
      <c r="B30" s="6">
        <f t="shared" ref="B30:AJ30" si="5">(B29)-(0)</f>
        <v>1691362.5699999998</v>
      </c>
      <c r="C30" s="6">
        <f t="shared" si="5"/>
        <v>225</v>
      </c>
      <c r="D30" s="6">
        <f t="shared" si="5"/>
        <v>4517.7299999999996</v>
      </c>
      <c r="E30" s="6">
        <f t="shared" si="5"/>
        <v>-0.14000000000000001</v>
      </c>
      <c r="F30" s="6">
        <f t="shared" si="5"/>
        <v>2521979.8899999997</v>
      </c>
      <c r="G30" s="6">
        <f t="shared" si="5"/>
        <v>0</v>
      </c>
      <c r="H30" s="6">
        <f t="shared" si="5"/>
        <v>-1941.89</v>
      </c>
      <c r="I30" s="6">
        <f t="shared" si="5"/>
        <v>99288.25</v>
      </c>
      <c r="J30" s="6">
        <f t="shared" si="5"/>
        <v>444537.04</v>
      </c>
      <c r="K30" s="6">
        <f t="shared" si="5"/>
        <v>3930</v>
      </c>
      <c r="L30" s="6">
        <f t="shared" si="5"/>
        <v>93038.69</v>
      </c>
      <c r="M30" s="6">
        <f t="shared" si="5"/>
        <v>1111238.8600000001</v>
      </c>
      <c r="N30" s="6">
        <f t="shared" si="5"/>
        <v>30102.52</v>
      </c>
      <c r="O30" s="6">
        <f t="shared" si="5"/>
        <v>230000</v>
      </c>
      <c r="P30" s="6">
        <f t="shared" si="5"/>
        <v>283122.82</v>
      </c>
      <c r="Q30" s="6">
        <f t="shared" si="5"/>
        <v>8000</v>
      </c>
      <c r="R30" s="6">
        <f t="shared" si="5"/>
        <v>663609.66</v>
      </c>
      <c r="S30" s="6">
        <f t="shared" si="5"/>
        <v>332474.46000000002</v>
      </c>
      <c r="T30" s="6">
        <f t="shared" si="5"/>
        <v>355005.24</v>
      </c>
      <c r="U30" s="6">
        <f t="shared" si="5"/>
        <v>94666</v>
      </c>
      <c r="V30" s="6">
        <f t="shared" si="5"/>
        <v>-199.99</v>
      </c>
      <c r="W30" s="6">
        <f t="shared" si="5"/>
        <v>65084.17</v>
      </c>
      <c r="X30" s="6">
        <f t="shared" si="5"/>
        <v>957212.33</v>
      </c>
      <c r="Y30" s="6">
        <f t="shared" si="5"/>
        <v>86658.42</v>
      </c>
      <c r="Z30" s="6">
        <f t="shared" si="5"/>
        <v>0</v>
      </c>
      <c r="AA30" s="6">
        <f t="shared" si="5"/>
        <v>30000</v>
      </c>
      <c r="AB30" s="6">
        <f t="shared" si="5"/>
        <v>1734.62</v>
      </c>
      <c r="AC30" s="6">
        <f t="shared" si="5"/>
        <v>9349.2199999999993</v>
      </c>
      <c r="AD30" s="6">
        <f t="shared" si="5"/>
        <v>13200</v>
      </c>
      <c r="AE30" s="6">
        <f t="shared" si="5"/>
        <v>1009749.63</v>
      </c>
      <c r="AF30" s="6">
        <f t="shared" si="5"/>
        <v>0</v>
      </c>
      <c r="AG30" s="6">
        <f t="shared" si="5"/>
        <v>1794296.83</v>
      </c>
      <c r="AH30" s="6">
        <f t="shared" si="5"/>
        <v>105250</v>
      </c>
      <c r="AI30" s="6">
        <f t="shared" si="5"/>
        <v>0</v>
      </c>
      <c r="AJ30" s="6">
        <f t="shared" si="5"/>
        <v>0</v>
      </c>
      <c r="AK30" s="6">
        <f t="shared" si="0"/>
        <v>12037491.930000002</v>
      </c>
    </row>
    <row r="31" spans="1:37" x14ac:dyDescent="0.25">
      <c r="A31" s="3" t="s">
        <v>61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</row>
    <row r="32" spans="1:37" x14ac:dyDescent="0.25">
      <c r="A32" s="3" t="s">
        <v>62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5">
        <f t="shared" ref="AK32:AK63" si="6">((((((((((((((((((((((((((((((((((B32)+(C32))+(D32))+(E32))+(F32))+(G32))+(H32))+(I32))+(J32))+(K32))+(L32))+(M32))+(N32))+(O32))+(P32))+(Q32))+(R32))+(S32))+(T32))+(U32))+(V32))+(W32))+(X32))+(Y32))+(Z32))+(AA32))+(AB32))+(AC32))+(AD32))+(AE32))+(AF32))+(AG32))+(AH32))+(AI32))+(AJ32)</f>
        <v>0</v>
      </c>
    </row>
    <row r="33" spans="1:37" x14ac:dyDescent="0.25">
      <c r="A33" s="3" t="s">
        <v>63</v>
      </c>
      <c r="B33" s="5">
        <f>483655.83</f>
        <v>483655.83</v>
      </c>
      <c r="C33" s="4"/>
      <c r="D33" s="4"/>
      <c r="E33" s="4"/>
      <c r="F33" s="5">
        <f>1005020.36</f>
        <v>1005020.36</v>
      </c>
      <c r="G33" s="4"/>
      <c r="H33" s="4"/>
      <c r="I33" s="4"/>
      <c r="J33" s="4"/>
      <c r="K33" s="4"/>
      <c r="L33" s="5">
        <f>60228.74</f>
        <v>60228.74</v>
      </c>
      <c r="M33" s="5">
        <f>786120.73</f>
        <v>786120.73</v>
      </c>
      <c r="N33" s="4"/>
      <c r="O33" s="4"/>
      <c r="P33" s="5">
        <f>28634.28</f>
        <v>28634.28</v>
      </c>
      <c r="Q33" s="4"/>
      <c r="R33" s="4"/>
      <c r="S33" s="4"/>
      <c r="T33" s="5">
        <f>97249.24</f>
        <v>97249.24</v>
      </c>
      <c r="U33" s="5">
        <f>101172.5</f>
        <v>101172.5</v>
      </c>
      <c r="V33" s="4"/>
      <c r="W33" s="4"/>
      <c r="X33" s="5">
        <f>515283.1</f>
        <v>515283.1</v>
      </c>
      <c r="Y33" s="5">
        <f>30837.12</f>
        <v>30837.119999999999</v>
      </c>
      <c r="Z33" s="4"/>
      <c r="AA33" s="5">
        <f>14533.38</f>
        <v>14533.38</v>
      </c>
      <c r="AB33" s="4"/>
      <c r="AC33" s="4"/>
      <c r="AD33" s="4"/>
      <c r="AE33" s="5">
        <f>362482.34</f>
        <v>362482.34</v>
      </c>
      <c r="AF33" s="4"/>
      <c r="AG33" s="5">
        <f>553058.99</f>
        <v>553058.99</v>
      </c>
      <c r="AH33" s="5">
        <f>56541.54</f>
        <v>56541.54</v>
      </c>
      <c r="AI33" s="4"/>
      <c r="AJ33" s="4"/>
      <c r="AK33" s="5">
        <f t="shared" si="6"/>
        <v>4094818.1500000004</v>
      </c>
    </row>
    <row r="34" spans="1:37" x14ac:dyDescent="0.25">
      <c r="A34" s="3" t="s">
        <v>64</v>
      </c>
      <c r="B34" s="5">
        <f>315235.06</f>
        <v>315235.06</v>
      </c>
      <c r="C34" s="4"/>
      <c r="D34" s="4"/>
      <c r="E34" s="4"/>
      <c r="F34" s="5">
        <f>299960.94</f>
        <v>299960.94</v>
      </c>
      <c r="G34" s="4"/>
      <c r="H34" s="4"/>
      <c r="I34" s="5">
        <f>86787.8</f>
        <v>86787.8</v>
      </c>
      <c r="J34" s="4"/>
      <c r="K34" s="4"/>
      <c r="L34" s="4"/>
      <c r="M34" s="5">
        <f>43762.18</f>
        <v>43762.18</v>
      </c>
      <c r="N34" s="4"/>
      <c r="O34" s="4"/>
      <c r="P34" s="4"/>
      <c r="Q34" s="4"/>
      <c r="R34" s="5">
        <f>458856.1</f>
        <v>458856.1</v>
      </c>
      <c r="S34" s="5">
        <f>229342.32</f>
        <v>229342.32</v>
      </c>
      <c r="T34" s="4"/>
      <c r="U34" s="4"/>
      <c r="V34" s="4"/>
      <c r="W34" s="4"/>
      <c r="X34" s="5">
        <f>65348.58</f>
        <v>65348.58</v>
      </c>
      <c r="Y34" s="4"/>
      <c r="Z34" s="4"/>
      <c r="AA34" s="5">
        <f>4844.46</f>
        <v>4844.46</v>
      </c>
      <c r="AB34" s="4"/>
      <c r="AC34" s="4"/>
      <c r="AD34" s="4"/>
      <c r="AE34" s="5">
        <f>56535.38</f>
        <v>56535.38</v>
      </c>
      <c r="AF34" s="5">
        <f>0</f>
        <v>0</v>
      </c>
      <c r="AG34" s="5">
        <f>56136.21</f>
        <v>56136.21</v>
      </c>
      <c r="AH34" s="4"/>
      <c r="AI34" s="5">
        <f>0</f>
        <v>0</v>
      </c>
      <c r="AJ34" s="4"/>
      <c r="AK34" s="5">
        <f t="shared" si="6"/>
        <v>1616809.03</v>
      </c>
    </row>
    <row r="35" spans="1:37" x14ac:dyDescent="0.25">
      <c r="A35" s="3" t="s">
        <v>65</v>
      </c>
      <c r="B35" s="6">
        <f t="shared" ref="B35:AJ35" si="7">((B32)+(B33))+(B34)</f>
        <v>798890.89</v>
      </c>
      <c r="C35" s="6">
        <f t="shared" si="7"/>
        <v>0</v>
      </c>
      <c r="D35" s="6">
        <f t="shared" si="7"/>
        <v>0</v>
      </c>
      <c r="E35" s="6">
        <f t="shared" si="7"/>
        <v>0</v>
      </c>
      <c r="F35" s="6">
        <f t="shared" si="7"/>
        <v>1304981.3</v>
      </c>
      <c r="G35" s="6">
        <f t="shared" si="7"/>
        <v>0</v>
      </c>
      <c r="H35" s="6">
        <f t="shared" si="7"/>
        <v>0</v>
      </c>
      <c r="I35" s="6">
        <f t="shared" si="7"/>
        <v>86787.8</v>
      </c>
      <c r="J35" s="6">
        <f t="shared" si="7"/>
        <v>0</v>
      </c>
      <c r="K35" s="6">
        <f t="shared" si="7"/>
        <v>0</v>
      </c>
      <c r="L35" s="6">
        <f t="shared" si="7"/>
        <v>60228.74</v>
      </c>
      <c r="M35" s="6">
        <f t="shared" si="7"/>
        <v>829882.91</v>
      </c>
      <c r="N35" s="6">
        <f t="shared" si="7"/>
        <v>0</v>
      </c>
      <c r="O35" s="6">
        <f t="shared" si="7"/>
        <v>0</v>
      </c>
      <c r="P35" s="6">
        <f t="shared" si="7"/>
        <v>28634.28</v>
      </c>
      <c r="Q35" s="6">
        <f t="shared" si="7"/>
        <v>0</v>
      </c>
      <c r="R35" s="6">
        <f t="shared" si="7"/>
        <v>458856.1</v>
      </c>
      <c r="S35" s="6">
        <f t="shared" si="7"/>
        <v>229342.32</v>
      </c>
      <c r="T35" s="6">
        <f t="shared" si="7"/>
        <v>97249.24</v>
      </c>
      <c r="U35" s="6">
        <f t="shared" si="7"/>
        <v>101172.5</v>
      </c>
      <c r="V35" s="6">
        <f t="shared" si="7"/>
        <v>0</v>
      </c>
      <c r="W35" s="6">
        <f t="shared" si="7"/>
        <v>0</v>
      </c>
      <c r="X35" s="6">
        <f t="shared" si="7"/>
        <v>580631.67999999993</v>
      </c>
      <c r="Y35" s="6">
        <f t="shared" si="7"/>
        <v>30837.119999999999</v>
      </c>
      <c r="Z35" s="6">
        <f t="shared" si="7"/>
        <v>0</v>
      </c>
      <c r="AA35" s="6">
        <f t="shared" si="7"/>
        <v>19377.84</v>
      </c>
      <c r="AB35" s="6">
        <f t="shared" si="7"/>
        <v>0</v>
      </c>
      <c r="AC35" s="6">
        <f t="shared" si="7"/>
        <v>0</v>
      </c>
      <c r="AD35" s="6">
        <f t="shared" si="7"/>
        <v>0</v>
      </c>
      <c r="AE35" s="6">
        <f t="shared" si="7"/>
        <v>419017.72000000003</v>
      </c>
      <c r="AF35" s="6">
        <f t="shared" si="7"/>
        <v>0</v>
      </c>
      <c r="AG35" s="6">
        <f t="shared" si="7"/>
        <v>609195.19999999995</v>
      </c>
      <c r="AH35" s="6">
        <f t="shared" si="7"/>
        <v>56541.54</v>
      </c>
      <c r="AI35" s="6">
        <f t="shared" si="7"/>
        <v>0</v>
      </c>
      <c r="AJ35" s="6">
        <f t="shared" si="7"/>
        <v>0</v>
      </c>
      <c r="AK35" s="6">
        <f t="shared" si="6"/>
        <v>5711627.1799999997</v>
      </c>
    </row>
    <row r="36" spans="1:37" x14ac:dyDescent="0.25">
      <c r="A36" s="3" t="s">
        <v>66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5">
        <f t="shared" si="6"/>
        <v>0</v>
      </c>
    </row>
    <row r="37" spans="1:37" x14ac:dyDescent="0.25">
      <c r="A37" s="3" t="s">
        <v>67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5">
        <f>3.57</f>
        <v>3.57</v>
      </c>
      <c r="Q37" s="4"/>
      <c r="R37" s="5">
        <f>0</f>
        <v>0</v>
      </c>
      <c r="S37" s="5">
        <f>0</f>
        <v>0</v>
      </c>
      <c r="T37" s="5">
        <f>13.75</f>
        <v>13.75</v>
      </c>
      <c r="U37" s="4"/>
      <c r="V37" s="4"/>
      <c r="W37" s="4"/>
      <c r="X37" s="5">
        <f>77.41</f>
        <v>77.41</v>
      </c>
      <c r="Y37" s="5">
        <f>3.53</f>
        <v>3.53</v>
      </c>
      <c r="Z37" s="4"/>
      <c r="AA37" s="4"/>
      <c r="AB37" s="4"/>
      <c r="AC37" s="4"/>
      <c r="AD37" s="4"/>
      <c r="AE37" s="5">
        <f>58.52</f>
        <v>58.52</v>
      </c>
      <c r="AF37" s="5">
        <f>0</f>
        <v>0</v>
      </c>
      <c r="AG37" s="5">
        <f>80.75</f>
        <v>80.75</v>
      </c>
      <c r="AH37" s="5">
        <f>11</f>
        <v>11</v>
      </c>
      <c r="AI37" s="5">
        <f>0</f>
        <v>0</v>
      </c>
      <c r="AJ37" s="4"/>
      <c r="AK37" s="5">
        <f t="shared" si="6"/>
        <v>248.53</v>
      </c>
    </row>
    <row r="38" spans="1:37" x14ac:dyDescent="0.25">
      <c r="A38" s="3" t="s">
        <v>68</v>
      </c>
      <c r="B38" s="5">
        <f>3810</f>
        <v>3810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5">
        <f t="shared" si="6"/>
        <v>3810</v>
      </c>
    </row>
    <row r="39" spans="1:37" x14ac:dyDescent="0.25">
      <c r="A39" s="3" t="s">
        <v>69</v>
      </c>
      <c r="B39" s="5">
        <f>18788.59</f>
        <v>18788.59</v>
      </c>
      <c r="C39" s="4"/>
      <c r="D39" s="4"/>
      <c r="E39" s="4"/>
      <c r="F39" s="5">
        <f>17527.86</f>
        <v>17527.86</v>
      </c>
      <c r="G39" s="4"/>
      <c r="H39" s="4"/>
      <c r="I39" s="5">
        <f>5188.43</f>
        <v>5188.43</v>
      </c>
      <c r="J39" s="4"/>
      <c r="K39" s="4"/>
      <c r="L39" s="4"/>
      <c r="M39" s="5">
        <f>2611.52</f>
        <v>2611.52</v>
      </c>
      <c r="N39" s="4"/>
      <c r="O39" s="4"/>
      <c r="P39" s="4"/>
      <c r="Q39" s="4"/>
      <c r="R39" s="5">
        <f>27641.71</f>
        <v>27641.71</v>
      </c>
      <c r="S39" s="5">
        <f>13502.73</f>
        <v>13502.73</v>
      </c>
      <c r="T39" s="4"/>
      <c r="U39" s="4"/>
      <c r="V39" s="4"/>
      <c r="W39" s="4"/>
      <c r="X39" s="5">
        <f>3949</f>
        <v>3949</v>
      </c>
      <c r="Y39" s="4"/>
      <c r="Z39" s="4"/>
      <c r="AA39" s="4"/>
      <c r="AB39" s="4"/>
      <c r="AC39" s="4"/>
      <c r="AD39" s="4"/>
      <c r="AE39" s="5">
        <f>2993.15</f>
        <v>2993.15</v>
      </c>
      <c r="AF39" s="5">
        <f>0</f>
        <v>0</v>
      </c>
      <c r="AG39" s="5">
        <f>3286.89</f>
        <v>3286.89</v>
      </c>
      <c r="AH39" s="4"/>
      <c r="AI39" s="5">
        <f>0</f>
        <v>0</v>
      </c>
      <c r="AJ39" s="4"/>
      <c r="AK39" s="5">
        <f t="shared" si="6"/>
        <v>95489.879999999976</v>
      </c>
    </row>
    <row r="40" spans="1:37" x14ac:dyDescent="0.25">
      <c r="A40" s="3" t="s">
        <v>70</v>
      </c>
      <c r="B40" s="5">
        <f>11493.32</f>
        <v>11493.32</v>
      </c>
      <c r="C40" s="4"/>
      <c r="D40" s="4"/>
      <c r="E40" s="4"/>
      <c r="F40" s="5">
        <f>18125.17</f>
        <v>18125.169999999998</v>
      </c>
      <c r="G40" s="4"/>
      <c r="H40" s="4"/>
      <c r="I40" s="5">
        <f>1213.45</f>
        <v>1213.45</v>
      </c>
      <c r="J40" s="4"/>
      <c r="K40" s="4"/>
      <c r="L40" s="5">
        <f>859.2</f>
        <v>859.2</v>
      </c>
      <c r="M40" s="5">
        <f>11476.26</f>
        <v>11476.26</v>
      </c>
      <c r="N40" s="4"/>
      <c r="O40" s="4"/>
      <c r="P40" s="5">
        <f>388.02</f>
        <v>388.02</v>
      </c>
      <c r="Q40" s="4"/>
      <c r="R40" s="5">
        <f>6464.67</f>
        <v>6464.67</v>
      </c>
      <c r="S40" s="5">
        <f>3157.84</f>
        <v>3157.84</v>
      </c>
      <c r="T40" s="5">
        <f>1366.06</f>
        <v>1366.06</v>
      </c>
      <c r="U40" s="5">
        <f>1425.32</f>
        <v>1425.32</v>
      </c>
      <c r="V40" s="4"/>
      <c r="W40" s="4"/>
      <c r="X40" s="5">
        <f>8056.4</f>
        <v>8056.4</v>
      </c>
      <c r="Y40" s="5">
        <f>423.2</f>
        <v>423.2</v>
      </c>
      <c r="Z40" s="4"/>
      <c r="AA40" s="5">
        <f>272.82</f>
        <v>272.82</v>
      </c>
      <c r="AB40" s="4"/>
      <c r="AC40" s="4"/>
      <c r="AD40" s="4"/>
      <c r="AE40" s="5">
        <f>5746.72</f>
        <v>5746.72</v>
      </c>
      <c r="AF40" s="5">
        <f>0</f>
        <v>0</v>
      </c>
      <c r="AG40" s="5">
        <f>8474.27</f>
        <v>8474.27</v>
      </c>
      <c r="AH40" s="5">
        <f>799.84</f>
        <v>799.84</v>
      </c>
      <c r="AI40" s="5">
        <f>0</f>
        <v>0</v>
      </c>
      <c r="AJ40" s="4"/>
      <c r="AK40" s="5">
        <f t="shared" si="6"/>
        <v>79742.559999999983</v>
      </c>
    </row>
    <row r="41" spans="1:37" x14ac:dyDescent="0.25">
      <c r="A41" s="3" t="s">
        <v>71</v>
      </c>
      <c r="B41" s="5">
        <f>15135.46</f>
        <v>15135.46</v>
      </c>
      <c r="C41" s="4"/>
      <c r="D41" s="4"/>
      <c r="E41" s="4"/>
      <c r="F41" s="5">
        <f>30150.81</f>
        <v>30150.81</v>
      </c>
      <c r="G41" s="4"/>
      <c r="H41" s="4"/>
      <c r="I41" s="4"/>
      <c r="J41" s="4"/>
      <c r="K41" s="4"/>
      <c r="L41" s="5">
        <f>1806.86</f>
        <v>1806.86</v>
      </c>
      <c r="M41" s="5">
        <f>23582.88</f>
        <v>23582.880000000001</v>
      </c>
      <c r="N41" s="4"/>
      <c r="O41" s="4"/>
      <c r="P41" s="5">
        <f>4620.23</f>
        <v>4620.2299999999996</v>
      </c>
      <c r="Q41" s="4"/>
      <c r="R41" s="4"/>
      <c r="S41" s="4"/>
      <c r="T41" s="5">
        <f>15662.02</f>
        <v>15662.02</v>
      </c>
      <c r="U41" s="5">
        <f>3035.12</f>
        <v>3035.12</v>
      </c>
      <c r="V41" s="4"/>
      <c r="W41" s="4"/>
      <c r="X41" s="5">
        <f>83529.48</f>
        <v>83529.48</v>
      </c>
      <c r="Y41" s="5">
        <f>5023.1</f>
        <v>5023.1000000000004</v>
      </c>
      <c r="Z41" s="4"/>
      <c r="AA41" s="5">
        <f>581.4</f>
        <v>581.4</v>
      </c>
      <c r="AB41" s="4"/>
      <c r="AC41" s="4"/>
      <c r="AD41" s="4"/>
      <c r="AE41" s="5">
        <f>59124.82</f>
        <v>59124.82</v>
      </c>
      <c r="AF41" s="4"/>
      <c r="AG41" s="5">
        <f>85125.04</f>
        <v>85125.04</v>
      </c>
      <c r="AH41" s="5">
        <f>7774.36</f>
        <v>7774.36</v>
      </c>
      <c r="AI41" s="4"/>
      <c r="AJ41" s="4"/>
      <c r="AK41" s="5">
        <f t="shared" si="6"/>
        <v>335151.57999999996</v>
      </c>
    </row>
    <row r="42" spans="1:37" x14ac:dyDescent="0.25">
      <c r="A42" s="3" t="s">
        <v>72</v>
      </c>
      <c r="B42" s="5">
        <f>58669.54</f>
        <v>58669.54</v>
      </c>
      <c r="C42" s="4"/>
      <c r="D42" s="4"/>
      <c r="E42" s="4"/>
      <c r="F42" s="5">
        <f>55762.61</f>
        <v>55762.61</v>
      </c>
      <c r="G42" s="4"/>
      <c r="H42" s="4"/>
      <c r="I42" s="5">
        <f>16159.88</f>
        <v>16159.88</v>
      </c>
      <c r="J42" s="4"/>
      <c r="K42" s="4"/>
      <c r="L42" s="4"/>
      <c r="M42" s="5">
        <f>8148.58</f>
        <v>8148.58</v>
      </c>
      <c r="N42" s="4"/>
      <c r="O42" s="4"/>
      <c r="P42" s="4"/>
      <c r="Q42" s="4"/>
      <c r="R42" s="5">
        <f>82699.4</f>
        <v>82699.399999999994</v>
      </c>
      <c r="S42" s="5">
        <f>42703.39</f>
        <v>42703.39</v>
      </c>
      <c r="T42" s="4"/>
      <c r="U42" s="4"/>
      <c r="V42" s="4"/>
      <c r="W42" s="4"/>
      <c r="X42" s="5">
        <f>7958.06</f>
        <v>7958.06</v>
      </c>
      <c r="Y42" s="4"/>
      <c r="Z42" s="4"/>
      <c r="AA42" s="4"/>
      <c r="AB42" s="4"/>
      <c r="AC42" s="4"/>
      <c r="AD42" s="4"/>
      <c r="AE42" s="5">
        <f>10526.78</f>
        <v>10526.78</v>
      </c>
      <c r="AF42" s="5">
        <f>0</f>
        <v>0</v>
      </c>
      <c r="AG42" s="5">
        <f>10479.88</f>
        <v>10479.879999999999</v>
      </c>
      <c r="AH42" s="4"/>
      <c r="AI42" s="5">
        <f>0</f>
        <v>0</v>
      </c>
      <c r="AJ42" s="4"/>
      <c r="AK42" s="5">
        <f t="shared" si="6"/>
        <v>293108.12</v>
      </c>
    </row>
    <row r="43" spans="1:37" x14ac:dyDescent="0.25">
      <c r="A43" s="3" t="s">
        <v>73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5">
        <f>5633.61</f>
        <v>5633.61</v>
      </c>
      <c r="Q43" s="4"/>
      <c r="R43" s="5">
        <f>9839.9</f>
        <v>9839.9</v>
      </c>
      <c r="S43" s="5">
        <f>0</f>
        <v>0</v>
      </c>
      <c r="T43" s="5">
        <f>16131.28</f>
        <v>16131.28</v>
      </c>
      <c r="U43" s="4"/>
      <c r="V43" s="4"/>
      <c r="W43" s="4"/>
      <c r="X43" s="5">
        <f>88853</f>
        <v>88853</v>
      </c>
      <c r="Y43" s="5">
        <f>3646.75</f>
        <v>3646.75</v>
      </c>
      <c r="Z43" s="4"/>
      <c r="AA43" s="4"/>
      <c r="AB43" s="4"/>
      <c r="AC43" s="4"/>
      <c r="AD43" s="4"/>
      <c r="AE43" s="5">
        <f>68257.97</f>
        <v>68257.97</v>
      </c>
      <c r="AF43" s="5">
        <f>0</f>
        <v>0</v>
      </c>
      <c r="AG43" s="5">
        <f>76441.66</f>
        <v>76441.66</v>
      </c>
      <c r="AH43" s="5">
        <f>9450.3</f>
        <v>9450.2999999999993</v>
      </c>
      <c r="AI43" s="5">
        <f>0</f>
        <v>0</v>
      </c>
      <c r="AJ43" s="4"/>
      <c r="AK43" s="5">
        <f t="shared" si="6"/>
        <v>278254.47000000003</v>
      </c>
    </row>
    <row r="44" spans="1:37" x14ac:dyDescent="0.25">
      <c r="A44" s="3" t="s">
        <v>74</v>
      </c>
      <c r="B44" s="5">
        <f>659.99</f>
        <v>659.99</v>
      </c>
      <c r="C44" s="4"/>
      <c r="D44" s="4"/>
      <c r="E44" s="4"/>
      <c r="F44" s="5">
        <f>2127.81</f>
        <v>2127.81</v>
      </c>
      <c r="G44" s="4"/>
      <c r="H44" s="4"/>
      <c r="I44" s="5">
        <f>60</f>
        <v>60</v>
      </c>
      <c r="J44" s="4"/>
      <c r="K44" s="4"/>
      <c r="L44" s="5">
        <f>60</f>
        <v>60</v>
      </c>
      <c r="M44" s="5">
        <f>780</f>
        <v>780</v>
      </c>
      <c r="N44" s="4"/>
      <c r="O44" s="4"/>
      <c r="P44" s="4"/>
      <c r="Q44" s="4"/>
      <c r="R44" s="5">
        <f>480</f>
        <v>480</v>
      </c>
      <c r="S44" s="5">
        <f>300</f>
        <v>300</v>
      </c>
      <c r="T44" s="5">
        <f>120</f>
        <v>120</v>
      </c>
      <c r="U44" s="5">
        <f>60</f>
        <v>60</v>
      </c>
      <c r="V44" s="4"/>
      <c r="W44" s="4"/>
      <c r="X44" s="5">
        <f>480</f>
        <v>480</v>
      </c>
      <c r="Y44" s="4"/>
      <c r="Z44" s="4"/>
      <c r="AA44" s="4"/>
      <c r="AB44" s="4"/>
      <c r="AC44" s="4"/>
      <c r="AD44" s="4"/>
      <c r="AE44" s="5">
        <f>360</f>
        <v>360</v>
      </c>
      <c r="AF44" s="4"/>
      <c r="AG44" s="5">
        <f>480</f>
        <v>480</v>
      </c>
      <c r="AH44" s="5">
        <f>60</f>
        <v>60</v>
      </c>
      <c r="AI44" s="4"/>
      <c r="AJ44" s="4"/>
      <c r="AK44" s="5">
        <f t="shared" si="6"/>
        <v>6027.8</v>
      </c>
    </row>
    <row r="45" spans="1:37" x14ac:dyDescent="0.25">
      <c r="A45" s="3" t="s">
        <v>75</v>
      </c>
      <c r="B45" s="5">
        <f>9847.47</f>
        <v>9847.4699999999993</v>
      </c>
      <c r="C45" s="4"/>
      <c r="D45" s="4"/>
      <c r="E45" s="4"/>
      <c r="F45" s="5">
        <f>16450</f>
        <v>16450</v>
      </c>
      <c r="G45" s="4"/>
      <c r="H45" s="4"/>
      <c r="I45" s="5">
        <f>1002</f>
        <v>1002</v>
      </c>
      <c r="J45" s="4"/>
      <c r="K45" s="4"/>
      <c r="L45" s="5">
        <f>695</f>
        <v>695</v>
      </c>
      <c r="M45" s="5">
        <f>9570</f>
        <v>9570</v>
      </c>
      <c r="N45" s="4"/>
      <c r="O45" s="4"/>
      <c r="P45" s="4"/>
      <c r="Q45" s="4"/>
      <c r="R45" s="5">
        <f>4855</f>
        <v>4855</v>
      </c>
      <c r="S45" s="5">
        <f>2719</f>
        <v>2719</v>
      </c>
      <c r="T45" s="5">
        <f>1133</f>
        <v>1133</v>
      </c>
      <c r="U45" s="5">
        <f>1167</f>
        <v>1167</v>
      </c>
      <c r="V45" s="4"/>
      <c r="W45" s="4"/>
      <c r="X45" s="5">
        <f>6504</f>
        <v>6504</v>
      </c>
      <c r="Y45" s="4"/>
      <c r="Z45" s="4"/>
      <c r="AA45" s="5">
        <f>239</f>
        <v>239</v>
      </c>
      <c r="AB45" s="4"/>
      <c r="AC45" s="4"/>
      <c r="AD45" s="4"/>
      <c r="AE45" s="5">
        <f>4835</f>
        <v>4835</v>
      </c>
      <c r="AF45" s="4"/>
      <c r="AG45" s="5">
        <f>6472</f>
        <v>6472</v>
      </c>
      <c r="AH45" s="5">
        <f>652</f>
        <v>652</v>
      </c>
      <c r="AI45" s="4"/>
      <c r="AJ45" s="4"/>
      <c r="AK45" s="5">
        <f t="shared" si="6"/>
        <v>66140.47</v>
      </c>
    </row>
    <row r="46" spans="1:37" x14ac:dyDescent="0.25">
      <c r="A46" s="3" t="s">
        <v>76</v>
      </c>
      <c r="B46" s="4"/>
      <c r="C46" s="4"/>
      <c r="D46" s="4"/>
      <c r="E46" s="4"/>
      <c r="F46" s="5">
        <f>13049.81</f>
        <v>13049.81</v>
      </c>
      <c r="G46" s="4"/>
      <c r="H46" s="4"/>
      <c r="I46" s="5">
        <f>1735.8</f>
        <v>1735.8</v>
      </c>
      <c r="J46" s="4"/>
      <c r="K46" s="4"/>
      <c r="L46" s="5">
        <f>602.25</f>
        <v>602.25</v>
      </c>
      <c r="M46" s="5">
        <f>16518.13</f>
        <v>16518.13</v>
      </c>
      <c r="N46" s="4"/>
      <c r="O46" s="4"/>
      <c r="P46" s="5">
        <f>572.7</f>
        <v>572.70000000000005</v>
      </c>
      <c r="Q46" s="4"/>
      <c r="R46" s="4"/>
      <c r="S46" s="5">
        <f>4585.17</f>
        <v>4585.17</v>
      </c>
      <c r="T46" s="5">
        <f>1945.07</f>
        <v>1945.07</v>
      </c>
      <c r="U46" s="4"/>
      <c r="V46" s="4"/>
      <c r="W46" s="4"/>
      <c r="X46" s="4"/>
      <c r="Y46" s="5">
        <f>730.32</f>
        <v>730.32</v>
      </c>
      <c r="Z46" s="4"/>
      <c r="AA46" s="5">
        <f>387.52</f>
        <v>387.52</v>
      </c>
      <c r="AB46" s="4"/>
      <c r="AC46" s="4"/>
      <c r="AD46" s="4"/>
      <c r="AE46" s="5">
        <f>8380.35</f>
        <v>8380.35</v>
      </c>
      <c r="AF46" s="4"/>
      <c r="AG46" s="5">
        <f>12188.09</f>
        <v>12188.09</v>
      </c>
      <c r="AH46" s="4"/>
      <c r="AI46" s="5">
        <f>0</f>
        <v>0</v>
      </c>
      <c r="AJ46" s="4"/>
      <c r="AK46" s="5">
        <f t="shared" si="6"/>
        <v>60695.209999999992</v>
      </c>
    </row>
    <row r="47" spans="1:37" x14ac:dyDescent="0.25">
      <c r="A47" s="3" t="s">
        <v>77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5">
        <f>28.56</f>
        <v>28.56</v>
      </c>
      <c r="Q47" s="4"/>
      <c r="R47" s="5">
        <f>0</f>
        <v>0</v>
      </c>
      <c r="S47" s="5">
        <f>0</f>
        <v>0</v>
      </c>
      <c r="T47" s="5">
        <f>110</f>
        <v>110</v>
      </c>
      <c r="U47" s="4"/>
      <c r="V47" s="4"/>
      <c r="W47" s="4"/>
      <c r="X47" s="5">
        <f>619.28</f>
        <v>619.28</v>
      </c>
      <c r="Y47" s="5">
        <f>28.24</f>
        <v>28.24</v>
      </c>
      <c r="Z47" s="4"/>
      <c r="AA47" s="4"/>
      <c r="AB47" s="4"/>
      <c r="AC47" s="4"/>
      <c r="AD47" s="4"/>
      <c r="AE47" s="5">
        <f>468.16</f>
        <v>468.16</v>
      </c>
      <c r="AF47" s="5">
        <f>0</f>
        <v>0</v>
      </c>
      <c r="AG47" s="5">
        <f>656.08</f>
        <v>656.08</v>
      </c>
      <c r="AH47" s="5">
        <f>88</f>
        <v>88</v>
      </c>
      <c r="AI47" s="5">
        <f>0</f>
        <v>0</v>
      </c>
      <c r="AJ47" s="4"/>
      <c r="AK47" s="5">
        <f t="shared" si="6"/>
        <v>1998.3200000000002</v>
      </c>
    </row>
    <row r="48" spans="1:37" x14ac:dyDescent="0.25">
      <c r="A48" s="3" t="s">
        <v>78</v>
      </c>
      <c r="B48" s="6">
        <f t="shared" ref="B48:AJ48" si="8">(((((((((((B36)+(B37))+(B38))+(B39))+(B40))+(B41))+(B42))+(B43))+(B44))+(B45))+(B46))+(B47)</f>
        <v>118404.37000000001</v>
      </c>
      <c r="C48" s="6">
        <f t="shared" si="8"/>
        <v>0</v>
      </c>
      <c r="D48" s="6">
        <f t="shared" si="8"/>
        <v>0</v>
      </c>
      <c r="E48" s="6">
        <f t="shared" si="8"/>
        <v>0</v>
      </c>
      <c r="F48" s="6">
        <f t="shared" si="8"/>
        <v>153194.07</v>
      </c>
      <c r="G48" s="6">
        <f t="shared" si="8"/>
        <v>0</v>
      </c>
      <c r="H48" s="6">
        <f t="shared" si="8"/>
        <v>0</v>
      </c>
      <c r="I48" s="6">
        <f t="shared" si="8"/>
        <v>25359.559999999998</v>
      </c>
      <c r="J48" s="6">
        <f t="shared" si="8"/>
        <v>0</v>
      </c>
      <c r="K48" s="6">
        <f t="shared" si="8"/>
        <v>0</v>
      </c>
      <c r="L48" s="6">
        <f t="shared" si="8"/>
        <v>4023.31</v>
      </c>
      <c r="M48" s="6">
        <f t="shared" si="8"/>
        <v>72687.37000000001</v>
      </c>
      <c r="N48" s="6">
        <f t="shared" si="8"/>
        <v>0</v>
      </c>
      <c r="O48" s="6">
        <f t="shared" si="8"/>
        <v>0</v>
      </c>
      <c r="P48" s="6">
        <f t="shared" si="8"/>
        <v>11246.69</v>
      </c>
      <c r="Q48" s="6">
        <f t="shared" si="8"/>
        <v>0</v>
      </c>
      <c r="R48" s="6">
        <f t="shared" si="8"/>
        <v>131980.68</v>
      </c>
      <c r="S48" s="6">
        <f t="shared" si="8"/>
        <v>66968.13</v>
      </c>
      <c r="T48" s="6">
        <f t="shared" si="8"/>
        <v>36481.18</v>
      </c>
      <c r="U48" s="6">
        <f t="shared" si="8"/>
        <v>5687.44</v>
      </c>
      <c r="V48" s="6">
        <f t="shared" si="8"/>
        <v>0</v>
      </c>
      <c r="W48" s="6">
        <f t="shared" si="8"/>
        <v>0</v>
      </c>
      <c r="X48" s="6">
        <f t="shared" si="8"/>
        <v>200026.62999999998</v>
      </c>
      <c r="Y48" s="6">
        <f t="shared" si="8"/>
        <v>9855.14</v>
      </c>
      <c r="Z48" s="6">
        <f t="shared" si="8"/>
        <v>0</v>
      </c>
      <c r="AA48" s="6">
        <f t="shared" si="8"/>
        <v>1480.74</v>
      </c>
      <c r="AB48" s="6">
        <f t="shared" si="8"/>
        <v>0</v>
      </c>
      <c r="AC48" s="6">
        <f t="shared" si="8"/>
        <v>0</v>
      </c>
      <c r="AD48" s="6">
        <f t="shared" si="8"/>
        <v>0</v>
      </c>
      <c r="AE48" s="6">
        <f t="shared" si="8"/>
        <v>160751.47</v>
      </c>
      <c r="AF48" s="6">
        <f t="shared" si="8"/>
        <v>0</v>
      </c>
      <c r="AG48" s="6">
        <f t="shared" si="8"/>
        <v>203684.65999999997</v>
      </c>
      <c r="AH48" s="6">
        <f t="shared" si="8"/>
        <v>18835.5</v>
      </c>
      <c r="AI48" s="6">
        <f t="shared" si="8"/>
        <v>0</v>
      </c>
      <c r="AJ48" s="6">
        <f t="shared" si="8"/>
        <v>0</v>
      </c>
      <c r="AK48" s="6">
        <f t="shared" si="6"/>
        <v>1220666.94</v>
      </c>
    </row>
    <row r="49" spans="1:37" x14ac:dyDescent="0.25">
      <c r="A49" s="3" t="s">
        <v>79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5">
        <f t="shared" si="6"/>
        <v>0</v>
      </c>
    </row>
    <row r="50" spans="1:37" x14ac:dyDescent="0.25">
      <c r="A50" s="3" t="s">
        <v>80</v>
      </c>
      <c r="B50" s="5">
        <f>10156.19</f>
        <v>10156.19</v>
      </c>
      <c r="C50" s="4"/>
      <c r="D50" s="4"/>
      <c r="E50" s="4"/>
      <c r="F50" s="5">
        <f>14029.3</f>
        <v>14029.3</v>
      </c>
      <c r="G50" s="4"/>
      <c r="H50" s="4"/>
      <c r="I50" s="4"/>
      <c r="J50" s="5">
        <f>2000</f>
        <v>2000</v>
      </c>
      <c r="K50" s="5">
        <f>347.77</f>
        <v>347.77</v>
      </c>
      <c r="L50" s="4"/>
      <c r="M50" s="5">
        <f>64</f>
        <v>64</v>
      </c>
      <c r="N50" s="4"/>
      <c r="O50" s="4"/>
      <c r="P50" s="4"/>
      <c r="Q50" s="4"/>
      <c r="R50" s="5">
        <f>192</f>
        <v>192</v>
      </c>
      <c r="S50" s="5">
        <f>0</f>
        <v>0</v>
      </c>
      <c r="T50" s="4"/>
      <c r="U50" s="4"/>
      <c r="V50" s="4"/>
      <c r="W50" s="4"/>
      <c r="X50" s="5">
        <f>125</f>
        <v>125</v>
      </c>
      <c r="Y50" s="4"/>
      <c r="Z50" s="4"/>
      <c r="AA50" s="4"/>
      <c r="AB50" s="4"/>
      <c r="AC50" s="4"/>
      <c r="AD50" s="4"/>
      <c r="AE50" s="4"/>
      <c r="AF50" s="4"/>
      <c r="AG50" s="5">
        <f>3421</f>
        <v>3421</v>
      </c>
      <c r="AH50" s="4"/>
      <c r="AI50" s="4"/>
      <c r="AJ50" s="4"/>
      <c r="AK50" s="5">
        <f t="shared" si="6"/>
        <v>30335.26</v>
      </c>
    </row>
    <row r="51" spans="1:37" x14ac:dyDescent="0.25">
      <c r="A51" s="3" t="s">
        <v>81</v>
      </c>
      <c r="B51" s="5">
        <f>29200</f>
        <v>29200</v>
      </c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5">
        <f t="shared" si="6"/>
        <v>29200</v>
      </c>
    </row>
    <row r="52" spans="1:37" x14ac:dyDescent="0.25">
      <c r="A52" s="3" t="s">
        <v>82</v>
      </c>
      <c r="B52" s="5">
        <f>10756.96</f>
        <v>10756.96</v>
      </c>
      <c r="C52" s="4"/>
      <c r="D52" s="4"/>
      <c r="E52" s="4"/>
      <c r="F52" s="5">
        <f>8402.64</f>
        <v>8402.64</v>
      </c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5">
        <f t="shared" si="6"/>
        <v>19159.599999999999</v>
      </c>
    </row>
    <row r="53" spans="1:37" x14ac:dyDescent="0.25">
      <c r="A53" s="3" t="s">
        <v>83</v>
      </c>
      <c r="B53" s="5">
        <f>15351.08</f>
        <v>15351.08</v>
      </c>
      <c r="C53" s="4"/>
      <c r="D53" s="4"/>
      <c r="E53" s="4"/>
      <c r="F53" s="5">
        <f>11971.19</f>
        <v>11971.19</v>
      </c>
      <c r="G53" s="4"/>
      <c r="H53" s="4"/>
      <c r="I53" s="4"/>
      <c r="J53" s="5">
        <f>16425.17</f>
        <v>16425.169999999998</v>
      </c>
      <c r="K53" s="4"/>
      <c r="L53" s="5">
        <f>212.96</f>
        <v>212.96</v>
      </c>
      <c r="M53" s="4"/>
      <c r="N53" s="4"/>
      <c r="O53" s="4"/>
      <c r="P53" s="5">
        <f>5858.08</f>
        <v>5858.08</v>
      </c>
      <c r="Q53" s="4"/>
      <c r="R53" s="4"/>
      <c r="S53" s="4"/>
      <c r="T53" s="4"/>
      <c r="U53" s="4"/>
      <c r="V53" s="4"/>
      <c r="W53" s="5">
        <f>2294.86</f>
        <v>2294.86</v>
      </c>
      <c r="X53" s="5">
        <f>9095.09</f>
        <v>9095.09</v>
      </c>
      <c r="Y53" s="5">
        <f>77.44</f>
        <v>77.44</v>
      </c>
      <c r="Z53" s="4"/>
      <c r="AA53" s="4"/>
      <c r="AB53" s="4"/>
      <c r="AC53" s="4"/>
      <c r="AD53" s="4"/>
      <c r="AE53" s="5">
        <f>851.84</f>
        <v>851.84</v>
      </c>
      <c r="AF53" s="4"/>
      <c r="AG53" s="5">
        <f>1358.91</f>
        <v>1358.91</v>
      </c>
      <c r="AH53" s="4"/>
      <c r="AI53" s="4"/>
      <c r="AJ53" s="4"/>
      <c r="AK53" s="5">
        <f t="shared" si="6"/>
        <v>63496.62000000001</v>
      </c>
    </row>
    <row r="54" spans="1:37" x14ac:dyDescent="0.25">
      <c r="A54" s="3" t="s">
        <v>84</v>
      </c>
      <c r="B54" s="6">
        <f t="shared" ref="B54:AJ54" si="9">((((B49)+(B50))+(B51))+(B52))+(B53)</f>
        <v>65464.23</v>
      </c>
      <c r="C54" s="6">
        <f t="shared" si="9"/>
        <v>0</v>
      </c>
      <c r="D54" s="6">
        <f t="shared" si="9"/>
        <v>0</v>
      </c>
      <c r="E54" s="6">
        <f t="shared" si="9"/>
        <v>0</v>
      </c>
      <c r="F54" s="6">
        <f t="shared" si="9"/>
        <v>34403.129999999997</v>
      </c>
      <c r="G54" s="6">
        <f t="shared" si="9"/>
        <v>0</v>
      </c>
      <c r="H54" s="6">
        <f t="shared" si="9"/>
        <v>0</v>
      </c>
      <c r="I54" s="6">
        <f t="shared" si="9"/>
        <v>0</v>
      </c>
      <c r="J54" s="6">
        <f t="shared" si="9"/>
        <v>18425.169999999998</v>
      </c>
      <c r="K54" s="6">
        <f t="shared" si="9"/>
        <v>347.77</v>
      </c>
      <c r="L54" s="6">
        <f t="shared" si="9"/>
        <v>212.96</v>
      </c>
      <c r="M54" s="6">
        <f t="shared" si="9"/>
        <v>64</v>
      </c>
      <c r="N54" s="6">
        <f t="shared" si="9"/>
        <v>0</v>
      </c>
      <c r="O54" s="6">
        <f t="shared" si="9"/>
        <v>0</v>
      </c>
      <c r="P54" s="6">
        <f t="shared" si="9"/>
        <v>5858.08</v>
      </c>
      <c r="Q54" s="6">
        <f t="shared" si="9"/>
        <v>0</v>
      </c>
      <c r="R54" s="6">
        <f t="shared" si="9"/>
        <v>192</v>
      </c>
      <c r="S54" s="6">
        <f t="shared" si="9"/>
        <v>0</v>
      </c>
      <c r="T54" s="6">
        <f t="shared" si="9"/>
        <v>0</v>
      </c>
      <c r="U54" s="6">
        <f t="shared" si="9"/>
        <v>0</v>
      </c>
      <c r="V54" s="6">
        <f t="shared" si="9"/>
        <v>0</v>
      </c>
      <c r="W54" s="6">
        <f t="shared" si="9"/>
        <v>2294.86</v>
      </c>
      <c r="X54" s="6">
        <f t="shared" si="9"/>
        <v>9220.09</v>
      </c>
      <c r="Y54" s="6">
        <f t="shared" si="9"/>
        <v>77.44</v>
      </c>
      <c r="Z54" s="6">
        <f t="shared" si="9"/>
        <v>0</v>
      </c>
      <c r="AA54" s="6">
        <f t="shared" si="9"/>
        <v>0</v>
      </c>
      <c r="AB54" s="6">
        <f t="shared" si="9"/>
        <v>0</v>
      </c>
      <c r="AC54" s="6">
        <f t="shared" si="9"/>
        <v>0</v>
      </c>
      <c r="AD54" s="6">
        <f t="shared" si="9"/>
        <v>0</v>
      </c>
      <c r="AE54" s="6">
        <f t="shared" si="9"/>
        <v>851.84</v>
      </c>
      <c r="AF54" s="6">
        <f t="shared" si="9"/>
        <v>0</v>
      </c>
      <c r="AG54" s="6">
        <f t="shared" si="9"/>
        <v>4779.91</v>
      </c>
      <c r="AH54" s="6">
        <f t="shared" si="9"/>
        <v>0</v>
      </c>
      <c r="AI54" s="6">
        <f t="shared" si="9"/>
        <v>0</v>
      </c>
      <c r="AJ54" s="6">
        <f t="shared" si="9"/>
        <v>0</v>
      </c>
      <c r="AK54" s="6">
        <f t="shared" si="6"/>
        <v>142191.48000000001</v>
      </c>
    </row>
    <row r="55" spans="1:37" x14ac:dyDescent="0.25">
      <c r="A55" s="3" t="s">
        <v>85</v>
      </c>
      <c r="B55" s="5">
        <f>36107.2</f>
        <v>36107.199999999997</v>
      </c>
      <c r="C55" s="4"/>
      <c r="D55" s="4"/>
      <c r="E55" s="4"/>
      <c r="F55" s="5">
        <f>21080.45</f>
        <v>21080.45</v>
      </c>
      <c r="G55" s="4"/>
      <c r="H55" s="4"/>
      <c r="I55" s="4"/>
      <c r="J55" s="5">
        <f>83791.57</f>
        <v>83791.570000000007</v>
      </c>
      <c r="K55" s="4"/>
      <c r="L55" s="4"/>
      <c r="M55" s="4"/>
      <c r="N55" s="5">
        <f>5664.3</f>
        <v>5664.3</v>
      </c>
      <c r="O55" s="4"/>
      <c r="P55" s="5">
        <f>64973.68</f>
        <v>64973.68</v>
      </c>
      <c r="Q55" s="5">
        <f>865.5</f>
        <v>865.5</v>
      </c>
      <c r="R55" s="4"/>
      <c r="S55" s="4"/>
      <c r="T55" s="4"/>
      <c r="U55" s="4"/>
      <c r="V55" s="4"/>
      <c r="W55" s="4"/>
      <c r="X55" s="4"/>
      <c r="Y55" s="5">
        <f>0</f>
        <v>0</v>
      </c>
      <c r="Z55" s="4"/>
      <c r="AA55" s="4"/>
      <c r="AB55" s="4"/>
      <c r="AC55" s="4"/>
      <c r="AD55" s="4"/>
      <c r="AE55" s="5">
        <f>41725</f>
        <v>41725</v>
      </c>
      <c r="AF55" s="4"/>
      <c r="AG55" s="5">
        <f>18874</f>
        <v>18874</v>
      </c>
      <c r="AH55" s="4"/>
      <c r="AI55" s="4"/>
      <c r="AJ55" s="4"/>
      <c r="AK55" s="5">
        <f t="shared" si="6"/>
        <v>273081.69999999995</v>
      </c>
    </row>
    <row r="56" spans="1:37" x14ac:dyDescent="0.25">
      <c r="A56" s="3" t="s">
        <v>86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5">
        <f t="shared" si="6"/>
        <v>0</v>
      </c>
    </row>
    <row r="57" spans="1:37" x14ac:dyDescent="0.25">
      <c r="A57" s="3" t="s">
        <v>87</v>
      </c>
      <c r="B57" s="5">
        <f>381.17</f>
        <v>381.17</v>
      </c>
      <c r="C57" s="4"/>
      <c r="D57" s="4"/>
      <c r="E57" s="4"/>
      <c r="F57" s="5">
        <f>761.39</f>
        <v>761.39</v>
      </c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5">
        <f t="shared" si="6"/>
        <v>1142.56</v>
      </c>
    </row>
    <row r="58" spans="1:37" x14ac:dyDescent="0.25">
      <c r="A58" s="3" t="s">
        <v>88</v>
      </c>
      <c r="B58" s="5">
        <f>2908.95</f>
        <v>2908.95</v>
      </c>
      <c r="C58" s="4"/>
      <c r="D58" s="4"/>
      <c r="E58" s="4"/>
      <c r="F58" s="5">
        <f>5906.05</f>
        <v>5906.05</v>
      </c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5">
        <f t="shared" si="6"/>
        <v>8815</v>
      </c>
    </row>
    <row r="59" spans="1:37" x14ac:dyDescent="0.25">
      <c r="A59" s="3" t="s">
        <v>89</v>
      </c>
      <c r="B59" s="5">
        <f>2722.82</f>
        <v>2722.82</v>
      </c>
      <c r="C59" s="4"/>
      <c r="D59" s="4"/>
      <c r="E59" s="4"/>
      <c r="F59" s="5">
        <f>5193.16</f>
        <v>5193.16</v>
      </c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5">
        <f t="shared" si="6"/>
        <v>7915.98</v>
      </c>
    </row>
    <row r="60" spans="1:37" x14ac:dyDescent="0.25">
      <c r="A60" s="3" t="s">
        <v>90</v>
      </c>
      <c r="B60" s="5">
        <f>83882.16</f>
        <v>83882.16</v>
      </c>
      <c r="C60" s="4"/>
      <c r="D60" s="4"/>
      <c r="E60" s="4"/>
      <c r="F60" s="5">
        <f>34640.5</f>
        <v>34640.5</v>
      </c>
      <c r="G60" s="4"/>
      <c r="H60" s="4"/>
      <c r="I60" s="4"/>
      <c r="J60" s="5">
        <f>30361</f>
        <v>30361</v>
      </c>
      <c r="K60" s="4"/>
      <c r="L60" s="4"/>
      <c r="M60" s="4"/>
      <c r="N60" s="5">
        <f>3525.84</f>
        <v>3525.84</v>
      </c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5">
        <f t="shared" si="6"/>
        <v>152409.5</v>
      </c>
    </row>
    <row r="61" spans="1:37" x14ac:dyDescent="0.25">
      <c r="A61" s="3" t="s">
        <v>91</v>
      </c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5">
        <f>40000</f>
        <v>40000</v>
      </c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5">
        <f t="shared" si="6"/>
        <v>40000</v>
      </c>
    </row>
    <row r="62" spans="1:37" x14ac:dyDescent="0.25">
      <c r="A62" s="3" t="s">
        <v>92</v>
      </c>
      <c r="B62" s="5">
        <f>26833.85</f>
        <v>26833.85</v>
      </c>
      <c r="C62" s="4"/>
      <c r="D62" s="4"/>
      <c r="E62" s="4"/>
      <c r="F62" s="5">
        <f>54480.84</f>
        <v>54480.84</v>
      </c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5">
        <f t="shared" si="6"/>
        <v>81314.69</v>
      </c>
    </row>
    <row r="63" spans="1:37" x14ac:dyDescent="0.25">
      <c r="A63" s="3" t="s">
        <v>93</v>
      </c>
      <c r="B63" s="5">
        <f>12925.7</f>
        <v>12925.7</v>
      </c>
      <c r="C63" s="4"/>
      <c r="D63" s="4"/>
      <c r="E63" s="4"/>
      <c r="F63" s="5">
        <f>1279.61</f>
        <v>1279.6099999999999</v>
      </c>
      <c r="G63" s="4"/>
      <c r="H63" s="4"/>
      <c r="I63" s="4"/>
      <c r="J63" s="5">
        <f>7500</f>
        <v>7500</v>
      </c>
      <c r="K63" s="4"/>
      <c r="L63" s="4"/>
      <c r="M63" s="4"/>
      <c r="N63" s="4"/>
      <c r="O63" s="4"/>
      <c r="P63" s="5">
        <f>56.7</f>
        <v>56.7</v>
      </c>
      <c r="Q63" s="4"/>
      <c r="R63" s="4"/>
      <c r="S63" s="4"/>
      <c r="T63" s="4"/>
      <c r="U63" s="4"/>
      <c r="V63" s="4"/>
      <c r="W63" s="5">
        <f>696.6</f>
        <v>696.6</v>
      </c>
      <c r="X63" s="5">
        <f>4493.34</f>
        <v>4493.34</v>
      </c>
      <c r="Y63" s="5">
        <f>56.7</f>
        <v>56.7</v>
      </c>
      <c r="Z63" s="4"/>
      <c r="AA63" s="4"/>
      <c r="AB63" s="4"/>
      <c r="AC63" s="4"/>
      <c r="AD63" s="4"/>
      <c r="AE63" s="5">
        <f>2331.6</f>
        <v>2331.6</v>
      </c>
      <c r="AF63" s="4"/>
      <c r="AG63" s="5">
        <f>1039.5</f>
        <v>1039.5</v>
      </c>
      <c r="AH63" s="4"/>
      <c r="AI63" s="4"/>
      <c r="AJ63" s="4"/>
      <c r="AK63" s="5">
        <f t="shared" si="6"/>
        <v>30379.75</v>
      </c>
    </row>
    <row r="64" spans="1:37" x14ac:dyDescent="0.25">
      <c r="A64" s="3" t="s">
        <v>94</v>
      </c>
      <c r="B64" s="4"/>
      <c r="C64" s="4"/>
      <c r="D64" s="4"/>
      <c r="E64" s="4"/>
      <c r="F64" s="5">
        <f>819.84</f>
        <v>819.84</v>
      </c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5">
        <f t="shared" ref="AK64:AK95" si="10">((((((((((((((((((((((((((((((((((B64)+(C64))+(D64))+(E64))+(F64))+(G64))+(H64))+(I64))+(J64))+(K64))+(L64))+(M64))+(N64))+(O64))+(P64))+(Q64))+(R64))+(S64))+(T64))+(U64))+(V64))+(W64))+(X64))+(Y64))+(Z64))+(AA64))+(AB64))+(AC64))+(AD64))+(AE64))+(AF64))+(AG64))+(AH64))+(AI64))+(AJ64)</f>
        <v>819.84</v>
      </c>
    </row>
    <row r="65" spans="1:37" x14ac:dyDescent="0.25">
      <c r="A65" s="3" t="s">
        <v>95</v>
      </c>
      <c r="B65" s="4"/>
      <c r="C65" s="4"/>
      <c r="D65" s="4"/>
      <c r="E65" s="4"/>
      <c r="F65" s="4"/>
      <c r="G65" s="4"/>
      <c r="H65" s="4"/>
      <c r="I65" s="4"/>
      <c r="J65" s="5">
        <f>8727.25</f>
        <v>8727.25</v>
      </c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5">
        <f t="shared" si="10"/>
        <v>8727.25</v>
      </c>
    </row>
    <row r="66" spans="1:37" x14ac:dyDescent="0.25">
      <c r="A66" s="3" t="s">
        <v>96</v>
      </c>
      <c r="B66" s="6">
        <f t="shared" ref="B66:AJ66" si="11">(((((((((B56)+(B57))+(B58))+(B59))+(B60))+(B61))+(B62))+(B63))+(B64))+(B65)</f>
        <v>129654.65000000001</v>
      </c>
      <c r="C66" s="6">
        <f t="shared" si="11"/>
        <v>0</v>
      </c>
      <c r="D66" s="6">
        <f t="shared" si="11"/>
        <v>0</v>
      </c>
      <c r="E66" s="6">
        <f t="shared" si="11"/>
        <v>0</v>
      </c>
      <c r="F66" s="6">
        <f t="shared" si="11"/>
        <v>103081.39</v>
      </c>
      <c r="G66" s="6">
        <f t="shared" si="11"/>
        <v>0</v>
      </c>
      <c r="H66" s="6">
        <f t="shared" si="11"/>
        <v>0</v>
      </c>
      <c r="I66" s="6">
        <f t="shared" si="11"/>
        <v>0</v>
      </c>
      <c r="J66" s="6">
        <f t="shared" si="11"/>
        <v>46588.25</v>
      </c>
      <c r="K66" s="6">
        <f t="shared" si="11"/>
        <v>0</v>
      </c>
      <c r="L66" s="6">
        <f t="shared" si="11"/>
        <v>0</v>
      </c>
      <c r="M66" s="6">
        <f t="shared" si="11"/>
        <v>0</v>
      </c>
      <c r="N66" s="6">
        <f t="shared" si="11"/>
        <v>3525.84</v>
      </c>
      <c r="O66" s="6">
        <f t="shared" si="11"/>
        <v>0</v>
      </c>
      <c r="P66" s="6">
        <f t="shared" si="11"/>
        <v>56.7</v>
      </c>
      <c r="Q66" s="6">
        <f t="shared" si="11"/>
        <v>0</v>
      </c>
      <c r="R66" s="6">
        <f t="shared" si="11"/>
        <v>0</v>
      </c>
      <c r="S66" s="6">
        <f t="shared" si="11"/>
        <v>0</v>
      </c>
      <c r="T66" s="6">
        <f t="shared" si="11"/>
        <v>0</v>
      </c>
      <c r="U66" s="6">
        <f t="shared" si="11"/>
        <v>0</v>
      </c>
      <c r="V66" s="6">
        <f t="shared" si="11"/>
        <v>0</v>
      </c>
      <c r="W66" s="6">
        <f t="shared" si="11"/>
        <v>696.6</v>
      </c>
      <c r="X66" s="6">
        <f t="shared" si="11"/>
        <v>44493.34</v>
      </c>
      <c r="Y66" s="6">
        <f t="shared" si="11"/>
        <v>56.7</v>
      </c>
      <c r="Z66" s="6">
        <f t="shared" si="11"/>
        <v>0</v>
      </c>
      <c r="AA66" s="6">
        <f t="shared" si="11"/>
        <v>0</v>
      </c>
      <c r="AB66" s="6">
        <f t="shared" si="11"/>
        <v>0</v>
      </c>
      <c r="AC66" s="6">
        <f t="shared" si="11"/>
        <v>0</v>
      </c>
      <c r="AD66" s="6">
        <f t="shared" si="11"/>
        <v>0</v>
      </c>
      <c r="AE66" s="6">
        <f t="shared" si="11"/>
        <v>2331.6</v>
      </c>
      <c r="AF66" s="6">
        <f t="shared" si="11"/>
        <v>0</v>
      </c>
      <c r="AG66" s="6">
        <f t="shared" si="11"/>
        <v>1039.5</v>
      </c>
      <c r="AH66" s="6">
        <f t="shared" si="11"/>
        <v>0</v>
      </c>
      <c r="AI66" s="6">
        <f t="shared" si="11"/>
        <v>0</v>
      </c>
      <c r="AJ66" s="6">
        <f t="shared" si="11"/>
        <v>0</v>
      </c>
      <c r="AK66" s="6">
        <f t="shared" si="10"/>
        <v>331524.57</v>
      </c>
    </row>
    <row r="67" spans="1:37" x14ac:dyDescent="0.25">
      <c r="A67" s="3" t="s">
        <v>97</v>
      </c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5">
        <f t="shared" si="10"/>
        <v>0</v>
      </c>
    </row>
    <row r="68" spans="1:37" x14ac:dyDescent="0.25">
      <c r="A68" s="3" t="s">
        <v>98</v>
      </c>
      <c r="B68" s="5">
        <f>42343.22</f>
        <v>42343.22</v>
      </c>
      <c r="C68" s="4"/>
      <c r="D68" s="4"/>
      <c r="E68" s="4"/>
      <c r="F68" s="5">
        <f>35852.5</f>
        <v>35852.5</v>
      </c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5">
        <f t="shared" si="10"/>
        <v>78195.72</v>
      </c>
    </row>
    <row r="69" spans="1:37" x14ac:dyDescent="0.25">
      <c r="A69" s="3" t="s">
        <v>99</v>
      </c>
      <c r="B69" s="5">
        <f>23782</f>
        <v>23782</v>
      </c>
      <c r="C69" s="4"/>
      <c r="D69" s="4"/>
      <c r="E69" s="4"/>
      <c r="F69" s="5">
        <f>23911</f>
        <v>23911</v>
      </c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5">
        <f t="shared" si="10"/>
        <v>47693</v>
      </c>
    </row>
    <row r="70" spans="1:37" x14ac:dyDescent="0.25">
      <c r="A70" s="3" t="s">
        <v>100</v>
      </c>
      <c r="B70" s="5">
        <f>5140.9</f>
        <v>5140.8999999999996</v>
      </c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5">
        <f t="shared" si="10"/>
        <v>5140.8999999999996</v>
      </c>
    </row>
    <row r="71" spans="1:37" x14ac:dyDescent="0.25">
      <c r="A71" s="3" t="s">
        <v>101</v>
      </c>
      <c r="B71" s="6">
        <f t="shared" ref="B71:AJ71" si="12">(((B67)+(B68))+(B69))+(B70)</f>
        <v>71266.12</v>
      </c>
      <c r="C71" s="6">
        <f t="shared" si="12"/>
        <v>0</v>
      </c>
      <c r="D71" s="6">
        <f t="shared" si="12"/>
        <v>0</v>
      </c>
      <c r="E71" s="6">
        <f t="shared" si="12"/>
        <v>0</v>
      </c>
      <c r="F71" s="6">
        <f t="shared" si="12"/>
        <v>59763.5</v>
      </c>
      <c r="G71" s="6">
        <f t="shared" si="12"/>
        <v>0</v>
      </c>
      <c r="H71" s="6">
        <f t="shared" si="12"/>
        <v>0</v>
      </c>
      <c r="I71" s="6">
        <f t="shared" si="12"/>
        <v>0</v>
      </c>
      <c r="J71" s="6">
        <f t="shared" si="12"/>
        <v>0</v>
      </c>
      <c r="K71" s="6">
        <f t="shared" si="12"/>
        <v>0</v>
      </c>
      <c r="L71" s="6">
        <f t="shared" si="12"/>
        <v>0</v>
      </c>
      <c r="M71" s="6">
        <f t="shared" si="12"/>
        <v>0</v>
      </c>
      <c r="N71" s="6">
        <f t="shared" si="12"/>
        <v>0</v>
      </c>
      <c r="O71" s="6">
        <f t="shared" si="12"/>
        <v>0</v>
      </c>
      <c r="P71" s="6">
        <f t="shared" si="12"/>
        <v>0</v>
      </c>
      <c r="Q71" s="6">
        <f t="shared" si="12"/>
        <v>0</v>
      </c>
      <c r="R71" s="6">
        <f t="shared" si="12"/>
        <v>0</v>
      </c>
      <c r="S71" s="6">
        <f t="shared" si="12"/>
        <v>0</v>
      </c>
      <c r="T71" s="6">
        <f t="shared" si="12"/>
        <v>0</v>
      </c>
      <c r="U71" s="6">
        <f t="shared" si="12"/>
        <v>0</v>
      </c>
      <c r="V71" s="6">
        <f t="shared" si="12"/>
        <v>0</v>
      </c>
      <c r="W71" s="6">
        <f t="shared" si="12"/>
        <v>0</v>
      </c>
      <c r="X71" s="6">
        <f t="shared" si="12"/>
        <v>0</v>
      </c>
      <c r="Y71" s="6">
        <f t="shared" si="12"/>
        <v>0</v>
      </c>
      <c r="Z71" s="6">
        <f t="shared" si="12"/>
        <v>0</v>
      </c>
      <c r="AA71" s="6">
        <f t="shared" si="12"/>
        <v>0</v>
      </c>
      <c r="AB71" s="6">
        <f t="shared" si="12"/>
        <v>0</v>
      </c>
      <c r="AC71" s="6">
        <f t="shared" si="12"/>
        <v>0</v>
      </c>
      <c r="AD71" s="6">
        <f t="shared" si="12"/>
        <v>0</v>
      </c>
      <c r="AE71" s="6">
        <f t="shared" si="12"/>
        <v>0</v>
      </c>
      <c r="AF71" s="6">
        <f t="shared" si="12"/>
        <v>0</v>
      </c>
      <c r="AG71" s="6">
        <f t="shared" si="12"/>
        <v>0</v>
      </c>
      <c r="AH71" s="6">
        <f t="shared" si="12"/>
        <v>0</v>
      </c>
      <c r="AI71" s="6">
        <f t="shared" si="12"/>
        <v>0</v>
      </c>
      <c r="AJ71" s="6">
        <f t="shared" si="12"/>
        <v>0</v>
      </c>
      <c r="AK71" s="6">
        <f t="shared" si="10"/>
        <v>131029.62</v>
      </c>
    </row>
    <row r="72" spans="1:37" x14ac:dyDescent="0.25">
      <c r="A72" s="3" t="s">
        <v>102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5">
        <f t="shared" si="10"/>
        <v>0</v>
      </c>
    </row>
    <row r="73" spans="1:37" x14ac:dyDescent="0.25">
      <c r="A73" s="3" t="s">
        <v>103</v>
      </c>
      <c r="B73" s="5">
        <f>634.44</f>
        <v>634.44000000000005</v>
      </c>
      <c r="C73" s="4"/>
      <c r="D73" s="4"/>
      <c r="E73" s="4"/>
      <c r="F73" s="5">
        <f>444.08</f>
        <v>444.08</v>
      </c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5">
        <f>47.58</f>
        <v>47.58</v>
      </c>
      <c r="X73" s="5">
        <f>142.74</f>
        <v>142.74</v>
      </c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5">
        <f t="shared" si="10"/>
        <v>1268.8399999999999</v>
      </c>
    </row>
    <row r="74" spans="1:37" x14ac:dyDescent="0.25">
      <c r="A74" s="3" t="s">
        <v>104</v>
      </c>
      <c r="B74" s="5">
        <f>462.98</f>
        <v>462.98</v>
      </c>
      <c r="C74" s="4"/>
      <c r="D74" s="4"/>
      <c r="E74" s="4"/>
      <c r="F74" s="5">
        <f>180</f>
        <v>180</v>
      </c>
      <c r="G74" s="4"/>
      <c r="H74" s="4"/>
      <c r="I74" s="4"/>
      <c r="J74" s="4"/>
      <c r="K74" s="4"/>
      <c r="L74" s="4"/>
      <c r="M74" s="4"/>
      <c r="N74" s="4"/>
      <c r="O74" s="4"/>
      <c r="P74" s="5">
        <f>87.05</f>
        <v>87.05</v>
      </c>
      <c r="Q74" s="4"/>
      <c r="R74" s="4"/>
      <c r="S74" s="4"/>
      <c r="T74" s="4"/>
      <c r="U74" s="4"/>
      <c r="V74" s="4"/>
      <c r="W74" s="5">
        <f>90</f>
        <v>90</v>
      </c>
      <c r="X74" s="5">
        <f>180</f>
        <v>180</v>
      </c>
      <c r="Y74" s="4"/>
      <c r="Z74" s="4"/>
      <c r="AA74" s="4"/>
      <c r="AB74" s="4"/>
      <c r="AC74" s="4"/>
      <c r="AD74" s="4"/>
      <c r="AE74" s="5">
        <f>75.15</f>
        <v>75.150000000000006</v>
      </c>
      <c r="AF74" s="4"/>
      <c r="AG74" s="4"/>
      <c r="AH74" s="4"/>
      <c r="AI74" s="4"/>
      <c r="AJ74" s="4"/>
      <c r="AK74" s="5">
        <f t="shared" si="10"/>
        <v>1075.18</v>
      </c>
    </row>
    <row r="75" spans="1:37" x14ac:dyDescent="0.25">
      <c r="A75" s="3" t="s">
        <v>105</v>
      </c>
      <c r="B75" s="5">
        <f>7814.03</f>
        <v>7814.03</v>
      </c>
      <c r="C75" s="4"/>
      <c r="D75" s="4"/>
      <c r="E75" s="4"/>
      <c r="F75" s="5">
        <f>4840.53</f>
        <v>4840.53</v>
      </c>
      <c r="G75" s="4"/>
      <c r="H75" s="4"/>
      <c r="I75" s="4"/>
      <c r="J75" s="4"/>
      <c r="K75" s="4"/>
      <c r="L75" s="4"/>
      <c r="M75" s="4"/>
      <c r="N75" s="4"/>
      <c r="O75" s="4"/>
      <c r="P75" s="5">
        <f>35.81</f>
        <v>35.81</v>
      </c>
      <c r="Q75" s="4"/>
      <c r="R75" s="4"/>
      <c r="S75" s="4"/>
      <c r="T75" s="4"/>
      <c r="U75" s="4"/>
      <c r="V75" s="4"/>
      <c r="W75" s="5">
        <f>456.01</f>
        <v>456.01</v>
      </c>
      <c r="X75" s="5">
        <f>4121.24</f>
        <v>4121.24</v>
      </c>
      <c r="Y75" s="5">
        <f>106.94</f>
        <v>106.94</v>
      </c>
      <c r="Z75" s="4"/>
      <c r="AA75" s="4"/>
      <c r="AB75" s="4"/>
      <c r="AC75" s="4"/>
      <c r="AD75" s="4"/>
      <c r="AE75" s="5">
        <f>2553.93</f>
        <v>2553.9299999999998</v>
      </c>
      <c r="AF75" s="4"/>
      <c r="AG75" s="5">
        <f>3308.16</f>
        <v>3308.16</v>
      </c>
      <c r="AH75" s="4"/>
      <c r="AI75" s="4"/>
      <c r="AJ75" s="4"/>
      <c r="AK75" s="5">
        <f t="shared" si="10"/>
        <v>23236.649999999998</v>
      </c>
    </row>
    <row r="76" spans="1:37" x14ac:dyDescent="0.25">
      <c r="A76" s="3" t="s">
        <v>106</v>
      </c>
      <c r="B76" s="5">
        <f>480.31</f>
        <v>480.31</v>
      </c>
      <c r="C76" s="4"/>
      <c r="D76" s="4"/>
      <c r="E76" s="4"/>
      <c r="F76" s="5">
        <f>3345.36</f>
        <v>3345.36</v>
      </c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5">
        <f>3687.22</f>
        <v>3687.22</v>
      </c>
      <c r="X76" s="5">
        <f>363.46</f>
        <v>363.46</v>
      </c>
      <c r="Y76" s="4"/>
      <c r="Z76" s="4"/>
      <c r="AA76" s="4"/>
      <c r="AB76" s="4"/>
      <c r="AC76" s="4"/>
      <c r="AD76" s="4"/>
      <c r="AE76" s="5">
        <f>1815.09</f>
        <v>1815.09</v>
      </c>
      <c r="AF76" s="4"/>
      <c r="AG76" s="5">
        <f>1815.11</f>
        <v>1815.11</v>
      </c>
      <c r="AH76" s="4"/>
      <c r="AI76" s="4"/>
      <c r="AJ76" s="4"/>
      <c r="AK76" s="5">
        <f t="shared" si="10"/>
        <v>11506.55</v>
      </c>
    </row>
    <row r="77" spans="1:37" x14ac:dyDescent="0.25">
      <c r="A77" s="3" t="s">
        <v>107</v>
      </c>
      <c r="B77" s="5">
        <f>29804.98</f>
        <v>29804.98</v>
      </c>
      <c r="C77" s="4"/>
      <c r="D77" s="4"/>
      <c r="E77" s="4"/>
      <c r="F77" s="5">
        <f>2196.91</f>
        <v>2196.91</v>
      </c>
      <c r="G77" s="4"/>
      <c r="H77" s="4"/>
      <c r="I77" s="4"/>
      <c r="J77" s="5">
        <f>12987.36</f>
        <v>12987.36</v>
      </c>
      <c r="K77" s="5">
        <f>7082.89</f>
        <v>7082.89</v>
      </c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5">
        <f>435.57</f>
        <v>435.57</v>
      </c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5">
        <f t="shared" si="10"/>
        <v>52507.71</v>
      </c>
    </row>
    <row r="78" spans="1:37" x14ac:dyDescent="0.25">
      <c r="A78" s="3" t="s">
        <v>108</v>
      </c>
      <c r="B78" s="5">
        <f>29667.11</f>
        <v>29667.11</v>
      </c>
      <c r="C78" s="5">
        <f>319.45</f>
        <v>319.45</v>
      </c>
      <c r="D78" s="5">
        <f>4517.73</f>
        <v>4517.7299999999996</v>
      </c>
      <c r="E78" s="4"/>
      <c r="F78" s="5">
        <f>21942.76</f>
        <v>21942.76</v>
      </c>
      <c r="G78" s="4"/>
      <c r="H78" s="5">
        <f>-1941.89</f>
        <v>-1941.89</v>
      </c>
      <c r="I78" s="4"/>
      <c r="J78" s="5">
        <f>18904.46</f>
        <v>18904.46</v>
      </c>
      <c r="K78" s="5">
        <f>2288.28</f>
        <v>2288.2800000000002</v>
      </c>
      <c r="L78" s="4"/>
      <c r="M78" s="4"/>
      <c r="N78" s="5">
        <f>19283.98</f>
        <v>19283.98</v>
      </c>
      <c r="O78" s="4"/>
      <c r="P78" s="5">
        <f>87437.6</f>
        <v>87437.6</v>
      </c>
      <c r="Q78" s="4"/>
      <c r="R78" s="4"/>
      <c r="S78" s="4"/>
      <c r="T78" s="4"/>
      <c r="U78" s="4"/>
      <c r="V78" s="4"/>
      <c r="W78" s="5">
        <f>11162.63</f>
        <v>11162.63</v>
      </c>
      <c r="X78" s="5">
        <f>7611.06</f>
        <v>7611.06</v>
      </c>
      <c r="Y78" s="5">
        <f>18560.54</f>
        <v>18560.54</v>
      </c>
      <c r="Z78" s="4"/>
      <c r="AA78" s="4"/>
      <c r="AB78" s="5">
        <f>1686.01</f>
        <v>1686.01</v>
      </c>
      <c r="AC78" s="5">
        <f>5533.84</f>
        <v>5533.84</v>
      </c>
      <c r="AD78" s="4"/>
      <c r="AE78" s="5">
        <f>55330.3</f>
        <v>55330.3</v>
      </c>
      <c r="AF78" s="4"/>
      <c r="AG78" s="5">
        <f>46953.88</f>
        <v>46953.88</v>
      </c>
      <c r="AH78" s="5">
        <f>1420.94</f>
        <v>1420.94</v>
      </c>
      <c r="AI78" s="4"/>
      <c r="AJ78" s="4"/>
      <c r="AK78" s="5">
        <f t="shared" si="10"/>
        <v>330678.68</v>
      </c>
    </row>
    <row r="79" spans="1:37" x14ac:dyDescent="0.25">
      <c r="A79" s="3" t="s">
        <v>109</v>
      </c>
      <c r="B79" s="5">
        <f>2735.78</f>
        <v>2735.78</v>
      </c>
      <c r="C79" s="4"/>
      <c r="D79" s="4"/>
      <c r="E79" s="4"/>
      <c r="F79" s="5">
        <f>2563.96</f>
        <v>2563.96</v>
      </c>
      <c r="G79" s="4"/>
      <c r="H79" s="4"/>
      <c r="I79" s="4"/>
      <c r="J79" s="4"/>
      <c r="K79" s="4"/>
      <c r="L79" s="4"/>
      <c r="M79" s="4"/>
      <c r="N79" s="5">
        <f>1628.4</f>
        <v>1628.4</v>
      </c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5">
        <f t="shared" si="10"/>
        <v>6928.1399999999994</v>
      </c>
    </row>
    <row r="80" spans="1:37" x14ac:dyDescent="0.25">
      <c r="A80" s="3" t="s">
        <v>110</v>
      </c>
      <c r="B80" s="6">
        <f t="shared" ref="B80:AJ80" si="13">(((((((B72)+(B73))+(B74))+(B75))+(B76))+(B77))+(B78))+(B79)</f>
        <v>71599.63</v>
      </c>
      <c r="C80" s="6">
        <f t="shared" si="13"/>
        <v>319.45</v>
      </c>
      <c r="D80" s="6">
        <f t="shared" si="13"/>
        <v>4517.7299999999996</v>
      </c>
      <c r="E80" s="6">
        <f t="shared" si="13"/>
        <v>0</v>
      </c>
      <c r="F80" s="6">
        <f t="shared" si="13"/>
        <v>35513.599999999999</v>
      </c>
      <c r="G80" s="6">
        <f t="shared" si="13"/>
        <v>0</v>
      </c>
      <c r="H80" s="6">
        <f t="shared" si="13"/>
        <v>-1941.89</v>
      </c>
      <c r="I80" s="6">
        <f t="shared" si="13"/>
        <v>0</v>
      </c>
      <c r="J80" s="6">
        <f t="shared" si="13"/>
        <v>31891.82</v>
      </c>
      <c r="K80" s="6">
        <f t="shared" si="13"/>
        <v>9371.17</v>
      </c>
      <c r="L80" s="6">
        <f t="shared" si="13"/>
        <v>0</v>
      </c>
      <c r="M80" s="6">
        <f t="shared" si="13"/>
        <v>0</v>
      </c>
      <c r="N80" s="6">
        <f t="shared" si="13"/>
        <v>20912.38</v>
      </c>
      <c r="O80" s="6">
        <f t="shared" si="13"/>
        <v>0</v>
      </c>
      <c r="P80" s="6">
        <f t="shared" si="13"/>
        <v>87560.46</v>
      </c>
      <c r="Q80" s="6">
        <f t="shared" si="13"/>
        <v>0</v>
      </c>
      <c r="R80" s="6">
        <f t="shared" si="13"/>
        <v>0</v>
      </c>
      <c r="S80" s="6">
        <f t="shared" si="13"/>
        <v>0</v>
      </c>
      <c r="T80" s="6">
        <f t="shared" si="13"/>
        <v>0</v>
      </c>
      <c r="U80" s="6">
        <f t="shared" si="13"/>
        <v>0</v>
      </c>
      <c r="V80" s="6">
        <f t="shared" si="13"/>
        <v>0</v>
      </c>
      <c r="W80" s="6">
        <f t="shared" si="13"/>
        <v>15443.439999999999</v>
      </c>
      <c r="X80" s="6">
        <f t="shared" si="13"/>
        <v>12418.5</v>
      </c>
      <c r="Y80" s="6">
        <f t="shared" si="13"/>
        <v>18667.48</v>
      </c>
      <c r="Z80" s="6">
        <f t="shared" si="13"/>
        <v>435.57</v>
      </c>
      <c r="AA80" s="6">
        <f t="shared" si="13"/>
        <v>0</v>
      </c>
      <c r="AB80" s="6">
        <f t="shared" si="13"/>
        <v>1686.01</v>
      </c>
      <c r="AC80" s="6">
        <f t="shared" si="13"/>
        <v>5533.84</v>
      </c>
      <c r="AD80" s="6">
        <f t="shared" si="13"/>
        <v>0</v>
      </c>
      <c r="AE80" s="6">
        <f t="shared" si="13"/>
        <v>59774.47</v>
      </c>
      <c r="AF80" s="6">
        <f t="shared" si="13"/>
        <v>0</v>
      </c>
      <c r="AG80" s="6">
        <f t="shared" si="13"/>
        <v>52077.149999999994</v>
      </c>
      <c r="AH80" s="6">
        <f t="shared" si="13"/>
        <v>1420.94</v>
      </c>
      <c r="AI80" s="6">
        <f t="shared" si="13"/>
        <v>0</v>
      </c>
      <c r="AJ80" s="6">
        <f t="shared" si="13"/>
        <v>0</v>
      </c>
      <c r="AK80" s="6">
        <f t="shared" si="10"/>
        <v>427201.75000000006</v>
      </c>
    </row>
    <row r="81" spans="1:37" x14ac:dyDescent="0.25">
      <c r="A81" s="3" t="s">
        <v>111</v>
      </c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5">
        <f t="shared" si="10"/>
        <v>0</v>
      </c>
    </row>
    <row r="82" spans="1:37" x14ac:dyDescent="0.25">
      <c r="A82" s="3" t="s">
        <v>112</v>
      </c>
      <c r="B82" s="5">
        <f>8251</f>
        <v>8251</v>
      </c>
      <c r="C82" s="4"/>
      <c r="D82" s="4"/>
      <c r="E82" s="4"/>
      <c r="F82" s="5">
        <f>3250</f>
        <v>3250</v>
      </c>
      <c r="G82" s="4"/>
      <c r="H82" s="4"/>
      <c r="I82" s="4"/>
      <c r="J82" s="5">
        <f>40530</f>
        <v>40530</v>
      </c>
      <c r="K82" s="4"/>
      <c r="L82" s="4"/>
      <c r="M82" s="5">
        <f>107582.85</f>
        <v>107582.85</v>
      </c>
      <c r="N82" s="4"/>
      <c r="O82" s="4"/>
      <c r="P82" s="5">
        <f>11000</f>
        <v>11000</v>
      </c>
      <c r="Q82" s="4"/>
      <c r="R82" s="4"/>
      <c r="S82" s="4"/>
      <c r="T82" s="4"/>
      <c r="U82" s="4"/>
      <c r="V82" s="4"/>
      <c r="W82" s="5">
        <f>7155</f>
        <v>7155</v>
      </c>
      <c r="X82" s="5">
        <f>13250</f>
        <v>13250</v>
      </c>
      <c r="Y82" s="5">
        <f>10000</f>
        <v>10000</v>
      </c>
      <c r="Z82" s="4"/>
      <c r="AA82" s="5">
        <f>4323.91</f>
        <v>4323.91</v>
      </c>
      <c r="AB82" s="4"/>
      <c r="AC82" s="4"/>
      <c r="AD82" s="5">
        <f>12000</f>
        <v>12000</v>
      </c>
      <c r="AE82" s="5">
        <f>115180.25</f>
        <v>115180.25</v>
      </c>
      <c r="AF82" s="4"/>
      <c r="AG82" s="5">
        <f>691896.57</f>
        <v>691896.57</v>
      </c>
      <c r="AH82" s="5">
        <f>27035.25</f>
        <v>27035.25</v>
      </c>
      <c r="AI82" s="4"/>
      <c r="AJ82" s="4"/>
      <c r="AK82" s="5">
        <f t="shared" si="10"/>
        <v>1051454.83</v>
      </c>
    </row>
    <row r="83" spans="1:37" x14ac:dyDescent="0.25">
      <c r="A83" s="3" t="s">
        <v>113</v>
      </c>
      <c r="B83" s="5">
        <f>14278.52</f>
        <v>14278.52</v>
      </c>
      <c r="C83" s="4"/>
      <c r="D83" s="4"/>
      <c r="E83" s="4"/>
      <c r="F83" s="5">
        <f>580</f>
        <v>580</v>
      </c>
      <c r="G83" s="4"/>
      <c r="H83" s="4"/>
      <c r="I83" s="4"/>
      <c r="J83" s="5">
        <f>525</f>
        <v>525</v>
      </c>
      <c r="K83" s="4"/>
      <c r="L83" s="4"/>
      <c r="M83" s="4"/>
      <c r="N83" s="4"/>
      <c r="O83" s="4"/>
      <c r="P83" s="5">
        <f>12700</f>
        <v>12700</v>
      </c>
      <c r="Q83" s="4"/>
      <c r="R83" s="4"/>
      <c r="S83" s="4"/>
      <c r="T83" s="4"/>
      <c r="U83" s="4"/>
      <c r="V83" s="4"/>
      <c r="W83" s="5">
        <f>4690</f>
        <v>4690</v>
      </c>
      <c r="X83" s="5">
        <f>5944</f>
        <v>5944</v>
      </c>
      <c r="Y83" s="5">
        <f>970</f>
        <v>970</v>
      </c>
      <c r="Z83" s="4"/>
      <c r="AA83" s="4"/>
      <c r="AB83" s="4"/>
      <c r="AC83" s="4"/>
      <c r="AD83" s="4"/>
      <c r="AE83" s="5">
        <f>36531</f>
        <v>36531</v>
      </c>
      <c r="AF83" s="4"/>
      <c r="AG83" s="5">
        <f>9538.58</f>
        <v>9538.58</v>
      </c>
      <c r="AH83" s="4"/>
      <c r="AI83" s="4"/>
      <c r="AJ83" s="4"/>
      <c r="AK83" s="5">
        <f t="shared" si="10"/>
        <v>85757.1</v>
      </c>
    </row>
    <row r="84" spans="1:37" x14ac:dyDescent="0.25">
      <c r="A84" s="3" t="s">
        <v>114</v>
      </c>
      <c r="B84" s="5">
        <f>30930.26</f>
        <v>30930.26</v>
      </c>
      <c r="C84" s="4"/>
      <c r="D84" s="4"/>
      <c r="E84" s="4"/>
      <c r="F84" s="5">
        <f>1262.18</f>
        <v>1262.18</v>
      </c>
      <c r="G84" s="4"/>
      <c r="H84" s="4"/>
      <c r="I84" s="4"/>
      <c r="J84" s="5">
        <f>2418.59</f>
        <v>2418.59</v>
      </c>
      <c r="K84" s="4"/>
      <c r="L84" s="4"/>
      <c r="M84" s="4"/>
      <c r="N84" s="4"/>
      <c r="O84" s="4"/>
      <c r="P84" s="5">
        <f>24497.33</f>
        <v>24497.33</v>
      </c>
      <c r="Q84" s="4"/>
      <c r="R84" s="4"/>
      <c r="S84" s="4"/>
      <c r="T84" s="5">
        <f>189001.6</f>
        <v>189001.60000000001</v>
      </c>
      <c r="U84" s="4"/>
      <c r="V84" s="4"/>
      <c r="W84" s="5">
        <f>3979.19</f>
        <v>3979.19</v>
      </c>
      <c r="X84" s="5">
        <f>19196.68</f>
        <v>19196.68</v>
      </c>
      <c r="Y84" s="5">
        <f>40.91</f>
        <v>40.909999999999997</v>
      </c>
      <c r="Z84" s="4"/>
      <c r="AA84" s="4"/>
      <c r="AB84" s="5">
        <f>-0.36</f>
        <v>-0.36</v>
      </c>
      <c r="AC84" s="5">
        <f>0</f>
        <v>0</v>
      </c>
      <c r="AD84" s="4"/>
      <c r="AE84" s="5">
        <f>41618.16</f>
        <v>41618.160000000003</v>
      </c>
      <c r="AF84" s="4"/>
      <c r="AG84" s="5">
        <f>21098.89</f>
        <v>21098.89</v>
      </c>
      <c r="AH84" s="5">
        <f>4430.52</f>
        <v>4430.5200000000004</v>
      </c>
      <c r="AI84" s="4"/>
      <c r="AJ84" s="5">
        <f>0</f>
        <v>0</v>
      </c>
      <c r="AK84" s="5">
        <f t="shared" si="10"/>
        <v>338473.95000000007</v>
      </c>
    </row>
    <row r="85" spans="1:37" x14ac:dyDescent="0.25">
      <c r="A85" s="3" t="s">
        <v>115</v>
      </c>
      <c r="B85" s="5">
        <f>500.18</f>
        <v>500.18</v>
      </c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5">
        <f>3726.54</f>
        <v>3726.54</v>
      </c>
      <c r="Q85" s="4"/>
      <c r="R85" s="4"/>
      <c r="S85" s="4"/>
      <c r="T85" s="4"/>
      <c r="U85" s="4"/>
      <c r="V85" s="4"/>
      <c r="W85" s="5">
        <f>26461.43</f>
        <v>26461.43</v>
      </c>
      <c r="X85" s="5">
        <f>1201.63</f>
        <v>1201.6300000000001</v>
      </c>
      <c r="Y85" s="5">
        <f>5940.3</f>
        <v>5940.3</v>
      </c>
      <c r="Z85" s="4"/>
      <c r="AA85" s="4"/>
      <c r="AB85" s="4"/>
      <c r="AC85" s="5">
        <f>3632.42</f>
        <v>3632.42</v>
      </c>
      <c r="AD85" s="4"/>
      <c r="AE85" s="5">
        <f>5532.49</f>
        <v>5532.49</v>
      </c>
      <c r="AF85" s="4"/>
      <c r="AG85" s="5">
        <f>82.3</f>
        <v>82.3</v>
      </c>
      <c r="AH85" s="4"/>
      <c r="AI85" s="4"/>
      <c r="AJ85" s="4"/>
      <c r="AK85" s="5">
        <f t="shared" si="10"/>
        <v>47077.29</v>
      </c>
    </row>
    <row r="86" spans="1:37" x14ac:dyDescent="0.25">
      <c r="A86" s="3" t="s">
        <v>116</v>
      </c>
      <c r="B86" s="5">
        <f>13416.62</f>
        <v>13416.62</v>
      </c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5">
        <f t="shared" si="10"/>
        <v>13416.62</v>
      </c>
    </row>
    <row r="87" spans="1:37" x14ac:dyDescent="0.25">
      <c r="A87" s="3" t="s">
        <v>117</v>
      </c>
      <c r="B87" s="6">
        <f t="shared" ref="B87:AJ87" si="14">(((((B81)+(B82))+(B83))+(B84))+(B85))+(B86)</f>
        <v>67376.58</v>
      </c>
      <c r="C87" s="6">
        <f t="shared" si="14"/>
        <v>0</v>
      </c>
      <c r="D87" s="6">
        <f t="shared" si="14"/>
        <v>0</v>
      </c>
      <c r="E87" s="6">
        <f t="shared" si="14"/>
        <v>0</v>
      </c>
      <c r="F87" s="6">
        <f t="shared" si="14"/>
        <v>5092.18</v>
      </c>
      <c r="G87" s="6">
        <f t="shared" si="14"/>
        <v>0</v>
      </c>
      <c r="H87" s="6">
        <f t="shared" si="14"/>
        <v>0</v>
      </c>
      <c r="I87" s="6">
        <f t="shared" si="14"/>
        <v>0</v>
      </c>
      <c r="J87" s="6">
        <f t="shared" si="14"/>
        <v>43473.59</v>
      </c>
      <c r="K87" s="6">
        <f t="shared" si="14"/>
        <v>0</v>
      </c>
      <c r="L87" s="6">
        <f t="shared" si="14"/>
        <v>0</v>
      </c>
      <c r="M87" s="6">
        <f t="shared" si="14"/>
        <v>107582.85</v>
      </c>
      <c r="N87" s="6">
        <f t="shared" si="14"/>
        <v>0</v>
      </c>
      <c r="O87" s="6">
        <f t="shared" si="14"/>
        <v>0</v>
      </c>
      <c r="P87" s="6">
        <f t="shared" si="14"/>
        <v>51923.87</v>
      </c>
      <c r="Q87" s="6">
        <f t="shared" si="14"/>
        <v>0</v>
      </c>
      <c r="R87" s="6">
        <f t="shared" si="14"/>
        <v>0</v>
      </c>
      <c r="S87" s="6">
        <f t="shared" si="14"/>
        <v>0</v>
      </c>
      <c r="T87" s="6">
        <f t="shared" si="14"/>
        <v>189001.60000000001</v>
      </c>
      <c r="U87" s="6">
        <f t="shared" si="14"/>
        <v>0</v>
      </c>
      <c r="V87" s="6">
        <f t="shared" si="14"/>
        <v>0</v>
      </c>
      <c r="W87" s="6">
        <f t="shared" si="14"/>
        <v>42285.62</v>
      </c>
      <c r="X87" s="6">
        <f t="shared" si="14"/>
        <v>39592.31</v>
      </c>
      <c r="Y87" s="6">
        <f t="shared" si="14"/>
        <v>16951.21</v>
      </c>
      <c r="Z87" s="6">
        <f t="shared" si="14"/>
        <v>0</v>
      </c>
      <c r="AA87" s="6">
        <f t="shared" si="14"/>
        <v>4323.91</v>
      </c>
      <c r="AB87" s="6">
        <f t="shared" si="14"/>
        <v>-0.36</v>
      </c>
      <c r="AC87" s="6">
        <f t="shared" si="14"/>
        <v>3632.42</v>
      </c>
      <c r="AD87" s="6">
        <f t="shared" si="14"/>
        <v>12000</v>
      </c>
      <c r="AE87" s="6">
        <f t="shared" si="14"/>
        <v>198861.9</v>
      </c>
      <c r="AF87" s="6">
        <f t="shared" si="14"/>
        <v>0</v>
      </c>
      <c r="AG87" s="6">
        <f t="shared" si="14"/>
        <v>722616.34</v>
      </c>
      <c r="AH87" s="6">
        <f t="shared" si="14"/>
        <v>31465.77</v>
      </c>
      <c r="AI87" s="6">
        <f t="shared" si="14"/>
        <v>0</v>
      </c>
      <c r="AJ87" s="6">
        <f t="shared" si="14"/>
        <v>0</v>
      </c>
      <c r="AK87" s="6">
        <f t="shared" si="10"/>
        <v>1536179.79</v>
      </c>
    </row>
    <row r="88" spans="1:37" x14ac:dyDescent="0.25">
      <c r="A88" s="3" t="s">
        <v>118</v>
      </c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5">
        <f t="shared" si="10"/>
        <v>0</v>
      </c>
    </row>
    <row r="89" spans="1:37" x14ac:dyDescent="0.25">
      <c r="A89" s="3" t="s">
        <v>119</v>
      </c>
      <c r="B89" s="5">
        <f>8706.23</f>
        <v>8706.23</v>
      </c>
      <c r="C89" s="4"/>
      <c r="D89" s="4"/>
      <c r="E89" s="4"/>
      <c r="F89" s="4"/>
      <c r="G89" s="4"/>
      <c r="H89" s="4"/>
      <c r="I89" s="4"/>
      <c r="J89" s="4"/>
      <c r="K89" s="5">
        <f>500</f>
        <v>500</v>
      </c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5">
        <f>1965</f>
        <v>1965</v>
      </c>
      <c r="X89" s="5">
        <f>3044</f>
        <v>3044</v>
      </c>
      <c r="Y89" s="4"/>
      <c r="Z89" s="4"/>
      <c r="AA89" s="4"/>
      <c r="AB89" s="4"/>
      <c r="AC89" s="4"/>
      <c r="AD89" s="4"/>
      <c r="AE89" s="5">
        <f>2661.18</f>
        <v>2661.18</v>
      </c>
      <c r="AF89" s="4"/>
      <c r="AG89" s="5">
        <f>290</f>
        <v>290</v>
      </c>
      <c r="AH89" s="4"/>
      <c r="AI89" s="4"/>
      <c r="AJ89" s="4"/>
      <c r="AK89" s="5">
        <f t="shared" si="10"/>
        <v>17166.41</v>
      </c>
    </row>
    <row r="90" spans="1:37" x14ac:dyDescent="0.25">
      <c r="A90" s="3" t="s">
        <v>120</v>
      </c>
      <c r="B90" s="4"/>
      <c r="C90" s="4"/>
      <c r="D90" s="4"/>
      <c r="E90" s="4"/>
      <c r="F90" s="5">
        <f>171092.91</f>
        <v>171092.91</v>
      </c>
      <c r="G90" s="4"/>
      <c r="H90" s="4"/>
      <c r="I90" s="5">
        <f>8971.79</f>
        <v>8971.7900000000009</v>
      </c>
      <c r="J90" s="4"/>
      <c r="K90" s="5">
        <f>1258.55</f>
        <v>1258.55</v>
      </c>
      <c r="L90" s="5">
        <f>6446.49</f>
        <v>6446.49</v>
      </c>
      <c r="M90" s="5">
        <f>101021.73</f>
        <v>101021.73</v>
      </c>
      <c r="N90" s="4"/>
      <c r="O90" s="4"/>
      <c r="P90" s="5">
        <f>32869.06</f>
        <v>32869.06</v>
      </c>
      <c r="Q90" s="4"/>
      <c r="R90" s="5">
        <f>72580.88</f>
        <v>72580.88</v>
      </c>
      <c r="S90" s="5">
        <f>36164.01</f>
        <v>36164.01</v>
      </c>
      <c r="T90" s="5">
        <f>32273.22</f>
        <v>32273.22</v>
      </c>
      <c r="U90" s="5">
        <f>8548.8</f>
        <v>8548.7999999999993</v>
      </c>
      <c r="V90" s="4"/>
      <c r="W90" s="5">
        <f>5683.1</f>
        <v>5683.1</v>
      </c>
      <c r="X90" s="5">
        <f>67876.87</f>
        <v>67876.87</v>
      </c>
      <c r="Y90" s="5">
        <f>10713.33</f>
        <v>10713.33</v>
      </c>
      <c r="Z90" s="5">
        <f>0</f>
        <v>0</v>
      </c>
      <c r="AA90" s="5">
        <f>3777.37</f>
        <v>3777.37</v>
      </c>
      <c r="AB90" s="5">
        <f>48.97</f>
        <v>48.97</v>
      </c>
      <c r="AC90" s="5">
        <f>182.96</f>
        <v>182.96</v>
      </c>
      <c r="AD90" s="5">
        <f>1200</f>
        <v>1200</v>
      </c>
      <c r="AE90" s="5">
        <f>123937.25</f>
        <v>123937.25</v>
      </c>
      <c r="AF90" s="5">
        <f>0</f>
        <v>0</v>
      </c>
      <c r="AG90" s="5">
        <f>225665.64</f>
        <v>225665.64</v>
      </c>
      <c r="AH90" s="5">
        <f>0</f>
        <v>0</v>
      </c>
      <c r="AI90" s="5">
        <f>0</f>
        <v>0</v>
      </c>
      <c r="AJ90" s="4"/>
      <c r="AK90" s="5">
        <f t="shared" si="10"/>
        <v>910312.92999999982</v>
      </c>
    </row>
    <row r="91" spans="1:37" x14ac:dyDescent="0.25">
      <c r="A91" s="3" t="s">
        <v>121</v>
      </c>
      <c r="B91" s="6">
        <f t="shared" ref="B91:AJ91" si="15">((B88)+(B89))+(B90)</f>
        <v>8706.23</v>
      </c>
      <c r="C91" s="6">
        <f t="shared" si="15"/>
        <v>0</v>
      </c>
      <c r="D91" s="6">
        <f t="shared" si="15"/>
        <v>0</v>
      </c>
      <c r="E91" s="6">
        <f t="shared" si="15"/>
        <v>0</v>
      </c>
      <c r="F91" s="6">
        <f t="shared" si="15"/>
        <v>171092.91</v>
      </c>
      <c r="G91" s="6">
        <f t="shared" si="15"/>
        <v>0</v>
      </c>
      <c r="H91" s="6">
        <f t="shared" si="15"/>
        <v>0</v>
      </c>
      <c r="I91" s="6">
        <f t="shared" si="15"/>
        <v>8971.7900000000009</v>
      </c>
      <c r="J91" s="6">
        <f t="shared" si="15"/>
        <v>0</v>
      </c>
      <c r="K91" s="6">
        <f t="shared" si="15"/>
        <v>1758.55</v>
      </c>
      <c r="L91" s="6">
        <f t="shared" si="15"/>
        <v>6446.49</v>
      </c>
      <c r="M91" s="6">
        <f t="shared" si="15"/>
        <v>101021.73</v>
      </c>
      <c r="N91" s="6">
        <f t="shared" si="15"/>
        <v>0</v>
      </c>
      <c r="O91" s="6">
        <f t="shared" si="15"/>
        <v>0</v>
      </c>
      <c r="P91" s="6">
        <f t="shared" si="15"/>
        <v>32869.06</v>
      </c>
      <c r="Q91" s="6">
        <f t="shared" si="15"/>
        <v>0</v>
      </c>
      <c r="R91" s="6">
        <f t="shared" si="15"/>
        <v>72580.88</v>
      </c>
      <c r="S91" s="6">
        <f t="shared" si="15"/>
        <v>36164.01</v>
      </c>
      <c r="T91" s="6">
        <f t="shared" si="15"/>
        <v>32273.22</v>
      </c>
      <c r="U91" s="6">
        <f t="shared" si="15"/>
        <v>8548.7999999999993</v>
      </c>
      <c r="V91" s="6">
        <f t="shared" si="15"/>
        <v>0</v>
      </c>
      <c r="W91" s="6">
        <f t="shared" si="15"/>
        <v>7648.1</v>
      </c>
      <c r="X91" s="6">
        <f t="shared" si="15"/>
        <v>70920.87</v>
      </c>
      <c r="Y91" s="6">
        <f t="shared" si="15"/>
        <v>10713.33</v>
      </c>
      <c r="Z91" s="6">
        <f t="shared" si="15"/>
        <v>0</v>
      </c>
      <c r="AA91" s="6">
        <f t="shared" si="15"/>
        <v>3777.37</v>
      </c>
      <c r="AB91" s="6">
        <f t="shared" si="15"/>
        <v>48.97</v>
      </c>
      <c r="AC91" s="6">
        <f t="shared" si="15"/>
        <v>182.96</v>
      </c>
      <c r="AD91" s="6">
        <f t="shared" si="15"/>
        <v>1200</v>
      </c>
      <c r="AE91" s="6">
        <f t="shared" si="15"/>
        <v>126598.43</v>
      </c>
      <c r="AF91" s="6">
        <f t="shared" si="15"/>
        <v>0</v>
      </c>
      <c r="AG91" s="6">
        <f t="shared" si="15"/>
        <v>225955.64</v>
      </c>
      <c r="AH91" s="6">
        <f t="shared" si="15"/>
        <v>0</v>
      </c>
      <c r="AI91" s="6">
        <f t="shared" si="15"/>
        <v>0</v>
      </c>
      <c r="AJ91" s="6">
        <f t="shared" si="15"/>
        <v>0</v>
      </c>
      <c r="AK91" s="6">
        <f t="shared" si="10"/>
        <v>927479.33999999973</v>
      </c>
    </row>
    <row r="92" spans="1:37" x14ac:dyDescent="0.25">
      <c r="A92" s="3" t="s">
        <v>122</v>
      </c>
      <c r="B92" s="6">
        <f t="shared" ref="B92:AJ92" si="16">((((((((B35)+(B48))+(B54))+(B55))+(B66))+(B71))+(B80))+(B87))+(B91)</f>
        <v>1367469.9</v>
      </c>
      <c r="C92" s="6">
        <f t="shared" si="16"/>
        <v>319.45</v>
      </c>
      <c r="D92" s="6">
        <f t="shared" si="16"/>
        <v>4517.7299999999996</v>
      </c>
      <c r="E92" s="6">
        <f t="shared" si="16"/>
        <v>0</v>
      </c>
      <c r="F92" s="6">
        <f t="shared" si="16"/>
        <v>1888202.5299999998</v>
      </c>
      <c r="G92" s="6">
        <f t="shared" si="16"/>
        <v>0</v>
      </c>
      <c r="H92" s="6">
        <f t="shared" si="16"/>
        <v>-1941.89</v>
      </c>
      <c r="I92" s="6">
        <f t="shared" si="16"/>
        <v>121119.15</v>
      </c>
      <c r="J92" s="6">
        <f t="shared" si="16"/>
        <v>224170.4</v>
      </c>
      <c r="K92" s="6">
        <f t="shared" si="16"/>
        <v>11477.49</v>
      </c>
      <c r="L92" s="6">
        <f t="shared" si="16"/>
        <v>70911.5</v>
      </c>
      <c r="M92" s="6">
        <f t="shared" si="16"/>
        <v>1111238.8600000001</v>
      </c>
      <c r="N92" s="6">
        <f t="shared" si="16"/>
        <v>30102.52</v>
      </c>
      <c r="O92" s="6">
        <f t="shared" si="16"/>
        <v>0</v>
      </c>
      <c r="P92" s="6">
        <f t="shared" si="16"/>
        <v>283122.82</v>
      </c>
      <c r="Q92" s="6">
        <f t="shared" si="16"/>
        <v>865.5</v>
      </c>
      <c r="R92" s="6">
        <f t="shared" si="16"/>
        <v>663609.66</v>
      </c>
      <c r="S92" s="6">
        <f t="shared" si="16"/>
        <v>332474.46000000002</v>
      </c>
      <c r="T92" s="6">
        <f t="shared" si="16"/>
        <v>355005.24</v>
      </c>
      <c r="U92" s="6">
        <f t="shared" si="16"/>
        <v>115408.74</v>
      </c>
      <c r="V92" s="6">
        <f t="shared" si="16"/>
        <v>0</v>
      </c>
      <c r="W92" s="6">
        <f t="shared" si="16"/>
        <v>68368.62000000001</v>
      </c>
      <c r="X92" s="6">
        <f t="shared" si="16"/>
        <v>957303.41999999981</v>
      </c>
      <c r="Y92" s="6">
        <f t="shared" si="16"/>
        <v>87158.42</v>
      </c>
      <c r="Z92" s="6">
        <f t="shared" si="16"/>
        <v>435.57</v>
      </c>
      <c r="AA92" s="6">
        <f t="shared" si="16"/>
        <v>28959.86</v>
      </c>
      <c r="AB92" s="6">
        <f t="shared" si="16"/>
        <v>1734.6200000000001</v>
      </c>
      <c r="AC92" s="6">
        <f t="shared" si="16"/>
        <v>9349.2199999999993</v>
      </c>
      <c r="AD92" s="6">
        <f t="shared" si="16"/>
        <v>13200</v>
      </c>
      <c r="AE92" s="6">
        <f t="shared" si="16"/>
        <v>1009912.4299999999</v>
      </c>
      <c r="AF92" s="6">
        <f t="shared" si="16"/>
        <v>0</v>
      </c>
      <c r="AG92" s="6">
        <f t="shared" si="16"/>
        <v>1838222.4</v>
      </c>
      <c r="AH92" s="6">
        <f t="shared" si="16"/>
        <v>108263.75000000001</v>
      </c>
      <c r="AI92" s="6">
        <f t="shared" si="16"/>
        <v>0</v>
      </c>
      <c r="AJ92" s="6">
        <f t="shared" si="16"/>
        <v>0</v>
      </c>
      <c r="AK92" s="6">
        <f t="shared" si="10"/>
        <v>10700982.370000001</v>
      </c>
    </row>
    <row r="93" spans="1:37" x14ac:dyDescent="0.25">
      <c r="A93" s="3" t="s">
        <v>123</v>
      </c>
      <c r="B93" s="6">
        <f t="shared" ref="B93:AJ93" si="17">(B30)-(B92)</f>
        <v>323892.66999999993</v>
      </c>
      <c r="C93" s="6">
        <f t="shared" si="17"/>
        <v>-94.449999999999989</v>
      </c>
      <c r="D93" s="6">
        <f t="shared" si="17"/>
        <v>0</v>
      </c>
      <c r="E93" s="6">
        <f t="shared" si="17"/>
        <v>-0.14000000000000001</v>
      </c>
      <c r="F93" s="6">
        <f t="shared" si="17"/>
        <v>633777.35999999987</v>
      </c>
      <c r="G93" s="6">
        <f t="shared" si="17"/>
        <v>0</v>
      </c>
      <c r="H93" s="6">
        <f t="shared" si="17"/>
        <v>0</v>
      </c>
      <c r="I93" s="6">
        <f t="shared" si="17"/>
        <v>-21830.899999999994</v>
      </c>
      <c r="J93" s="6">
        <f t="shared" si="17"/>
        <v>220366.63999999998</v>
      </c>
      <c r="K93" s="6">
        <f t="shared" si="17"/>
        <v>-7547.49</v>
      </c>
      <c r="L93" s="6">
        <f t="shared" si="17"/>
        <v>22127.190000000002</v>
      </c>
      <c r="M93" s="6">
        <f t="shared" si="17"/>
        <v>0</v>
      </c>
      <c r="N93" s="6">
        <f t="shared" si="17"/>
        <v>0</v>
      </c>
      <c r="O93" s="6">
        <f t="shared" si="17"/>
        <v>230000</v>
      </c>
      <c r="P93" s="6">
        <f t="shared" si="17"/>
        <v>0</v>
      </c>
      <c r="Q93" s="6">
        <f t="shared" si="17"/>
        <v>7134.5</v>
      </c>
      <c r="R93" s="6">
        <f t="shared" si="17"/>
        <v>0</v>
      </c>
      <c r="S93" s="6">
        <f t="shared" si="17"/>
        <v>0</v>
      </c>
      <c r="T93" s="6">
        <f t="shared" si="17"/>
        <v>0</v>
      </c>
      <c r="U93" s="6">
        <f t="shared" si="17"/>
        <v>-20742.740000000005</v>
      </c>
      <c r="V93" s="6">
        <f t="shared" si="17"/>
        <v>-199.99</v>
      </c>
      <c r="W93" s="6">
        <f t="shared" si="17"/>
        <v>-3284.4500000000116</v>
      </c>
      <c r="X93" s="6">
        <f t="shared" si="17"/>
        <v>-91.089999999850988</v>
      </c>
      <c r="Y93" s="6">
        <f t="shared" si="17"/>
        <v>-500</v>
      </c>
      <c r="Z93" s="6">
        <f t="shared" si="17"/>
        <v>-435.57</v>
      </c>
      <c r="AA93" s="6">
        <f t="shared" si="17"/>
        <v>1040.1399999999994</v>
      </c>
      <c r="AB93" s="6">
        <f t="shared" si="17"/>
        <v>0</v>
      </c>
      <c r="AC93" s="6">
        <f t="shared" si="17"/>
        <v>0</v>
      </c>
      <c r="AD93" s="6">
        <f t="shared" si="17"/>
        <v>0</v>
      </c>
      <c r="AE93" s="6">
        <f t="shared" si="17"/>
        <v>-162.79999999993015</v>
      </c>
      <c r="AF93" s="6">
        <f t="shared" si="17"/>
        <v>0</v>
      </c>
      <c r="AG93" s="6">
        <f t="shared" si="17"/>
        <v>-43925.569999999832</v>
      </c>
      <c r="AH93" s="6">
        <f t="shared" si="17"/>
        <v>-3013.7500000000146</v>
      </c>
      <c r="AI93" s="6">
        <f t="shared" si="17"/>
        <v>0</v>
      </c>
      <c r="AJ93" s="6">
        <f t="shared" si="17"/>
        <v>0</v>
      </c>
      <c r="AK93" s="6">
        <f t="shared" si="10"/>
        <v>1336509.56</v>
      </c>
    </row>
    <row r="94" spans="1:37" x14ac:dyDescent="0.25">
      <c r="A94" s="3" t="s">
        <v>124</v>
      </c>
      <c r="B94" s="7">
        <f t="shared" ref="B94:AJ94" si="18">(B93)+(0)</f>
        <v>323892.66999999993</v>
      </c>
      <c r="C94" s="7">
        <f t="shared" si="18"/>
        <v>-94.449999999999989</v>
      </c>
      <c r="D94" s="7">
        <f t="shared" si="18"/>
        <v>0</v>
      </c>
      <c r="E94" s="7">
        <f t="shared" si="18"/>
        <v>-0.14000000000000001</v>
      </c>
      <c r="F94" s="7">
        <f t="shared" si="18"/>
        <v>633777.35999999987</v>
      </c>
      <c r="G94" s="7">
        <f t="shared" si="18"/>
        <v>0</v>
      </c>
      <c r="H94" s="7">
        <f t="shared" si="18"/>
        <v>0</v>
      </c>
      <c r="I94" s="7">
        <f t="shared" si="18"/>
        <v>-21830.899999999994</v>
      </c>
      <c r="J94" s="7">
        <f t="shared" si="18"/>
        <v>220366.63999999998</v>
      </c>
      <c r="K94" s="7">
        <f t="shared" si="18"/>
        <v>-7547.49</v>
      </c>
      <c r="L94" s="7">
        <f t="shared" si="18"/>
        <v>22127.190000000002</v>
      </c>
      <c r="M94" s="7">
        <f t="shared" si="18"/>
        <v>0</v>
      </c>
      <c r="N94" s="7">
        <f t="shared" si="18"/>
        <v>0</v>
      </c>
      <c r="O94" s="7">
        <f t="shared" si="18"/>
        <v>230000</v>
      </c>
      <c r="P94" s="7">
        <f t="shared" si="18"/>
        <v>0</v>
      </c>
      <c r="Q94" s="7">
        <f t="shared" si="18"/>
        <v>7134.5</v>
      </c>
      <c r="R94" s="7">
        <f t="shared" si="18"/>
        <v>0</v>
      </c>
      <c r="S94" s="7">
        <f t="shared" si="18"/>
        <v>0</v>
      </c>
      <c r="T94" s="7">
        <f t="shared" si="18"/>
        <v>0</v>
      </c>
      <c r="U94" s="7">
        <f t="shared" si="18"/>
        <v>-20742.740000000005</v>
      </c>
      <c r="V94" s="7">
        <f t="shared" si="18"/>
        <v>-199.99</v>
      </c>
      <c r="W94" s="7">
        <f t="shared" si="18"/>
        <v>-3284.4500000000116</v>
      </c>
      <c r="X94" s="7">
        <f t="shared" si="18"/>
        <v>-91.089999999850988</v>
      </c>
      <c r="Y94" s="7">
        <f t="shared" si="18"/>
        <v>-500</v>
      </c>
      <c r="Z94" s="7">
        <f t="shared" si="18"/>
        <v>-435.57</v>
      </c>
      <c r="AA94" s="7">
        <f t="shared" si="18"/>
        <v>1040.1399999999994</v>
      </c>
      <c r="AB94" s="7">
        <f t="shared" si="18"/>
        <v>0</v>
      </c>
      <c r="AC94" s="7">
        <f t="shared" si="18"/>
        <v>0</v>
      </c>
      <c r="AD94" s="7">
        <f t="shared" si="18"/>
        <v>0</v>
      </c>
      <c r="AE94" s="7">
        <f t="shared" si="18"/>
        <v>-162.79999999993015</v>
      </c>
      <c r="AF94" s="7">
        <f t="shared" si="18"/>
        <v>0</v>
      </c>
      <c r="AG94" s="7">
        <f t="shared" si="18"/>
        <v>-43925.569999999832</v>
      </c>
      <c r="AH94" s="7">
        <f t="shared" si="18"/>
        <v>-3013.7500000000146</v>
      </c>
      <c r="AI94" s="7">
        <f t="shared" si="18"/>
        <v>0</v>
      </c>
      <c r="AJ94" s="7">
        <f t="shared" si="18"/>
        <v>0</v>
      </c>
      <c r="AK94" s="7">
        <f t="shared" si="10"/>
        <v>1336509.56</v>
      </c>
    </row>
    <row r="95" spans="1:37" x14ac:dyDescent="0.25">
      <c r="A95" s="3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</row>
    <row r="98" spans="1:37" x14ac:dyDescent="0.25">
      <c r="A98" s="8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</row>
  </sheetData>
  <sheetProtection algorithmName="SHA-512" hashValue="hu+1rEOZDNRSHjY/U9Vo40uvrmMkBgWe4IX99zSevhF+dj0vCKKOmCIiK5JjmB8YtIfNdxuXgDTV+rPtydr3BA==" saltValue="i7Yddj599SfUGYms8pxBAQ==" spinCount="100000" sheet="1" objects="1" scenarios="1"/>
  <mergeCells count="4">
    <mergeCell ref="A98:AK98"/>
    <mergeCell ref="A1:AK1"/>
    <mergeCell ref="A2:AK2"/>
    <mergeCell ref="A3:AK3"/>
  </mergeCells>
  <pageMargins left="0.7" right="0.7" top="0.75" bottom="0.75" header="0.3" footer="0.3"/>
  <pageSetup paperSize="5" scale="4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and Loss by Class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Angie Perkins</cp:lastModifiedBy>
  <cp:lastPrinted>2026-06-01T18:11:24Z</cp:lastPrinted>
  <dcterms:created xsi:type="dcterms:W3CDTF">2026-06-01T18:09:51Z</dcterms:created>
  <dcterms:modified xsi:type="dcterms:W3CDTF">2026-06-01T18:12:02Z</dcterms:modified>
</cp:coreProperties>
</file>