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May 2026\"/>
    </mc:Choice>
  </mc:AlternateContent>
  <xr:revisionPtr revIDLastSave="0" documentId="8_{003C6B7A-AE80-497B-BEF5-E5889B51525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U91" i="1" l="1"/>
  <c r="E91" i="1"/>
  <c r="AF90" i="1"/>
  <c r="AD90" i="1"/>
  <c r="X90" i="1"/>
  <c r="U90" i="1"/>
  <c r="P90" i="1"/>
  <c r="N90" i="1"/>
  <c r="J90" i="1"/>
  <c r="H90" i="1"/>
  <c r="G90" i="1"/>
  <c r="F90" i="1"/>
  <c r="E90" i="1"/>
  <c r="D90" i="1"/>
  <c r="C90" i="1"/>
  <c r="AG89" i="1"/>
  <c r="AG90" i="1" s="1"/>
  <c r="AF89" i="1"/>
  <c r="AE89" i="1"/>
  <c r="AD89" i="1"/>
  <c r="AC89" i="1"/>
  <c r="AB89" i="1"/>
  <c r="AB90" i="1" s="1"/>
  <c r="AA89" i="1"/>
  <c r="AA90" i="1" s="1"/>
  <c r="Z89" i="1"/>
  <c r="Z90" i="1" s="1"/>
  <c r="Y89" i="1"/>
  <c r="Y90" i="1" s="1"/>
  <c r="X89" i="1"/>
  <c r="W89" i="1"/>
  <c r="V89" i="1"/>
  <c r="T89" i="1"/>
  <c r="T90" i="1" s="1"/>
  <c r="S89" i="1"/>
  <c r="S90" i="1" s="1"/>
  <c r="R89" i="1"/>
  <c r="R90" i="1" s="1"/>
  <c r="Q89" i="1"/>
  <c r="Q90" i="1" s="1"/>
  <c r="O89" i="1"/>
  <c r="O90" i="1" s="1"/>
  <c r="M89" i="1"/>
  <c r="M90" i="1" s="1"/>
  <c r="L89" i="1"/>
  <c r="L90" i="1" s="1"/>
  <c r="K89" i="1"/>
  <c r="I89" i="1"/>
  <c r="I90" i="1" s="1"/>
  <c r="F89" i="1"/>
  <c r="AE88" i="1"/>
  <c r="AE90" i="1" s="1"/>
  <c r="AC88" i="1"/>
  <c r="AC90" i="1" s="1"/>
  <c r="W88" i="1"/>
  <c r="W90" i="1" s="1"/>
  <c r="V88" i="1"/>
  <c r="V90" i="1" s="1"/>
  <c r="K88" i="1"/>
  <c r="K90" i="1" s="1"/>
  <c r="B88" i="1"/>
  <c r="B90" i="1" s="1"/>
  <c r="AH87" i="1"/>
  <c r="AG86" i="1"/>
  <c r="AD86" i="1"/>
  <c r="Z86" i="1"/>
  <c r="Y86" i="1"/>
  <c r="V86" i="1"/>
  <c r="U86" i="1"/>
  <c r="T86" i="1"/>
  <c r="R86" i="1"/>
  <c r="Q86" i="1"/>
  <c r="P86" i="1"/>
  <c r="N86" i="1"/>
  <c r="L86" i="1"/>
  <c r="K86" i="1"/>
  <c r="I86" i="1"/>
  <c r="H86" i="1"/>
  <c r="G86" i="1"/>
  <c r="F86" i="1"/>
  <c r="E86" i="1"/>
  <c r="D86" i="1"/>
  <c r="C86" i="1"/>
  <c r="B85" i="1"/>
  <c r="AH85" i="1" s="1"/>
  <c r="AC84" i="1"/>
  <c r="AB84" i="1"/>
  <c r="X84" i="1"/>
  <c r="W84" i="1"/>
  <c r="V84" i="1"/>
  <c r="O84" i="1"/>
  <c r="B84" i="1"/>
  <c r="AH84" i="1" s="1"/>
  <c r="AF83" i="1"/>
  <c r="AF86" i="1" s="1"/>
  <c r="AE83" i="1"/>
  <c r="AC83" i="1"/>
  <c r="AB83" i="1"/>
  <c r="AB86" i="1" s="1"/>
  <c r="AA83" i="1"/>
  <c r="AA86" i="1" s="1"/>
  <c r="X83" i="1"/>
  <c r="W83" i="1"/>
  <c r="V83" i="1"/>
  <c r="S83" i="1"/>
  <c r="S86" i="1" s="1"/>
  <c r="O83" i="1"/>
  <c r="J83" i="1"/>
  <c r="F83" i="1"/>
  <c r="B83" i="1"/>
  <c r="AH83" i="1" s="1"/>
  <c r="AE82" i="1"/>
  <c r="AC82" i="1"/>
  <c r="X82" i="1"/>
  <c r="X86" i="1" s="1"/>
  <c r="W82" i="1"/>
  <c r="V82" i="1"/>
  <c r="O82" i="1"/>
  <c r="F82" i="1"/>
  <c r="B82" i="1"/>
  <c r="AH82" i="1" s="1"/>
  <c r="AF81" i="1"/>
  <c r="AE81" i="1"/>
  <c r="AE86" i="1" s="1"/>
  <c r="AC81" i="1"/>
  <c r="AC86" i="1" s="1"/>
  <c r="X81" i="1"/>
  <c r="W81" i="1"/>
  <c r="W86" i="1" s="1"/>
  <c r="V81" i="1"/>
  <c r="O81" i="1"/>
  <c r="O86" i="1" s="1"/>
  <c r="M81" i="1"/>
  <c r="M86" i="1" s="1"/>
  <c r="J81" i="1"/>
  <c r="J86" i="1" s="1"/>
  <c r="B81" i="1"/>
  <c r="B86" i="1" s="1"/>
  <c r="AH80" i="1"/>
  <c r="AG79" i="1"/>
  <c r="AD79" i="1"/>
  <c r="AB79" i="1"/>
  <c r="Z79" i="1"/>
  <c r="U79" i="1"/>
  <c r="T79" i="1"/>
  <c r="S79" i="1"/>
  <c r="R79" i="1"/>
  <c r="Q79" i="1"/>
  <c r="P79" i="1"/>
  <c r="N79" i="1"/>
  <c r="M79" i="1"/>
  <c r="L79" i="1"/>
  <c r="I79" i="1"/>
  <c r="G79" i="1"/>
  <c r="F79" i="1"/>
  <c r="E79" i="1"/>
  <c r="D79" i="1"/>
  <c r="N78" i="1"/>
  <c r="F78" i="1"/>
  <c r="B78" i="1"/>
  <c r="AH78" i="1" s="1"/>
  <c r="AF77" i="1"/>
  <c r="AF79" i="1" s="1"/>
  <c r="AE77" i="1"/>
  <c r="AC77" i="1"/>
  <c r="AB77" i="1"/>
  <c r="AA77" i="1"/>
  <c r="AA79" i="1" s="1"/>
  <c r="X77" i="1"/>
  <c r="W77" i="1"/>
  <c r="V77" i="1"/>
  <c r="O77" i="1"/>
  <c r="N77" i="1"/>
  <c r="K77" i="1"/>
  <c r="J77" i="1"/>
  <c r="H77" i="1"/>
  <c r="H79" i="1" s="1"/>
  <c r="F77" i="1"/>
  <c r="D77" i="1"/>
  <c r="C77" i="1"/>
  <c r="C79" i="1" s="1"/>
  <c r="B77" i="1"/>
  <c r="AH77" i="1" s="1"/>
  <c r="Y76" i="1"/>
  <c r="Y79" i="1" s="1"/>
  <c r="K76" i="1"/>
  <c r="K79" i="1" s="1"/>
  <c r="J76" i="1"/>
  <c r="J79" i="1" s="1"/>
  <c r="F76" i="1"/>
  <c r="B76" i="1"/>
  <c r="AH76" i="1" s="1"/>
  <c r="AE75" i="1"/>
  <c r="AC75" i="1"/>
  <c r="W75" i="1"/>
  <c r="V75" i="1"/>
  <c r="F75" i="1"/>
  <c r="B75" i="1"/>
  <c r="AH75" i="1" s="1"/>
  <c r="AE74" i="1"/>
  <c r="AE79" i="1" s="1"/>
  <c r="AC74" i="1"/>
  <c r="X74" i="1"/>
  <c r="X79" i="1" s="1"/>
  <c r="W74" i="1"/>
  <c r="V74" i="1"/>
  <c r="O74" i="1"/>
  <c r="F74" i="1"/>
  <c r="B74" i="1"/>
  <c r="AH74" i="1" s="1"/>
  <c r="AC73" i="1"/>
  <c r="AC79" i="1" s="1"/>
  <c r="W73" i="1"/>
  <c r="V73" i="1"/>
  <c r="O73" i="1"/>
  <c r="O79" i="1" s="1"/>
  <c r="F73" i="1"/>
  <c r="B73" i="1"/>
  <c r="AH73" i="1" s="1"/>
  <c r="W72" i="1"/>
  <c r="W79" i="1" s="1"/>
  <c r="V72" i="1"/>
  <c r="V79" i="1" s="1"/>
  <c r="F72" i="1"/>
  <c r="B72" i="1"/>
  <c r="B79" i="1" s="1"/>
  <c r="AH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F69" i="1"/>
  <c r="B69" i="1"/>
  <c r="AH69" i="1" s="1"/>
  <c r="AH68" i="1"/>
  <c r="F68" i="1"/>
  <c r="B68" i="1"/>
  <c r="B70" i="1" s="1"/>
  <c r="AH70" i="1" s="1"/>
  <c r="AH67" i="1"/>
  <c r="AG66" i="1"/>
  <c r="AF66" i="1"/>
  <c r="AD66" i="1"/>
  <c r="AB66" i="1"/>
  <c r="AA66" i="1"/>
  <c r="Z66" i="1"/>
  <c r="Y66" i="1"/>
  <c r="X66" i="1"/>
  <c r="V66" i="1"/>
  <c r="U66" i="1"/>
  <c r="T66" i="1"/>
  <c r="S66" i="1"/>
  <c r="R66" i="1"/>
  <c r="Q66" i="1"/>
  <c r="P66" i="1"/>
  <c r="N66" i="1"/>
  <c r="M66" i="1"/>
  <c r="L66" i="1"/>
  <c r="K66" i="1"/>
  <c r="I66" i="1"/>
  <c r="H66" i="1"/>
  <c r="G66" i="1"/>
  <c r="E66" i="1"/>
  <c r="D66" i="1"/>
  <c r="C66" i="1"/>
  <c r="J65" i="1"/>
  <c r="AH65" i="1" s="1"/>
  <c r="F64" i="1"/>
  <c r="F66" i="1" s="1"/>
  <c r="AE63" i="1"/>
  <c r="AE66" i="1" s="1"/>
  <c r="AC63" i="1"/>
  <c r="AC66" i="1" s="1"/>
  <c r="X63" i="1"/>
  <c r="W63" i="1"/>
  <c r="V63" i="1"/>
  <c r="O63" i="1"/>
  <c r="O66" i="1" s="1"/>
  <c r="J63" i="1"/>
  <c r="J66" i="1" s="1"/>
  <c r="F63" i="1"/>
  <c r="B63" i="1"/>
  <c r="AH63" i="1" s="1"/>
  <c r="F62" i="1"/>
  <c r="AH62" i="1" s="1"/>
  <c r="B62" i="1"/>
  <c r="AH61" i="1"/>
  <c r="W61" i="1"/>
  <c r="W66" i="1" s="1"/>
  <c r="AH60" i="1"/>
  <c r="N60" i="1"/>
  <c r="J60" i="1"/>
  <c r="F60" i="1"/>
  <c r="B60" i="1"/>
  <c r="B66" i="1" s="1"/>
  <c r="F59" i="1"/>
  <c r="AH59" i="1" s="1"/>
  <c r="B59" i="1"/>
  <c r="AH58" i="1"/>
  <c r="F58" i="1"/>
  <c r="B58" i="1"/>
  <c r="F57" i="1"/>
  <c r="AH57" i="1" s="1"/>
  <c r="B57" i="1"/>
  <c r="AH56" i="1"/>
  <c r="AE55" i="1"/>
  <c r="AC55" i="1"/>
  <c r="X55" i="1"/>
  <c r="O55" i="1"/>
  <c r="N55" i="1"/>
  <c r="J55" i="1"/>
  <c r="F55" i="1"/>
  <c r="B55" i="1"/>
  <c r="AH55" i="1" s="1"/>
  <c r="AG54" i="1"/>
  <c r="AF54" i="1"/>
  <c r="AD54" i="1"/>
  <c r="AB54" i="1"/>
  <c r="AA54" i="1"/>
  <c r="Z54" i="1"/>
  <c r="Y54" i="1"/>
  <c r="U54" i="1"/>
  <c r="T54" i="1"/>
  <c r="S54" i="1"/>
  <c r="R54" i="1"/>
  <c r="P54" i="1"/>
  <c r="N54" i="1"/>
  <c r="I54" i="1"/>
  <c r="H54" i="1"/>
  <c r="G54" i="1"/>
  <c r="E54" i="1"/>
  <c r="D54" i="1"/>
  <c r="C54" i="1"/>
  <c r="AE53" i="1"/>
  <c r="AC53" i="1"/>
  <c r="AC54" i="1" s="1"/>
  <c r="X53" i="1"/>
  <c r="X54" i="1" s="1"/>
  <c r="W53" i="1"/>
  <c r="V53" i="1"/>
  <c r="V54" i="1" s="1"/>
  <c r="O53" i="1"/>
  <c r="O54" i="1" s="1"/>
  <c r="L53" i="1"/>
  <c r="L54" i="1" s="1"/>
  <c r="J53" i="1"/>
  <c r="F53" i="1"/>
  <c r="B53" i="1"/>
  <c r="AH53" i="1" s="1"/>
  <c r="F52" i="1"/>
  <c r="F54" i="1" s="1"/>
  <c r="B52" i="1"/>
  <c r="AH52" i="1" s="1"/>
  <c r="B51" i="1"/>
  <c r="B54" i="1" s="1"/>
  <c r="AE50" i="1"/>
  <c r="AE54" i="1" s="1"/>
  <c r="W50" i="1"/>
  <c r="W54" i="1" s="1"/>
  <c r="R50" i="1"/>
  <c r="Q50" i="1"/>
  <c r="Q54" i="1" s="1"/>
  <c r="M50" i="1"/>
  <c r="M54" i="1" s="1"/>
  <c r="K50" i="1"/>
  <c r="K54" i="1" s="1"/>
  <c r="J50" i="1"/>
  <c r="J54" i="1" s="1"/>
  <c r="F50" i="1"/>
  <c r="B50" i="1"/>
  <c r="AH50" i="1" s="1"/>
  <c r="AH49" i="1"/>
  <c r="AD48" i="1"/>
  <c r="AB48" i="1"/>
  <c r="AA48" i="1"/>
  <c r="Y48" i="1"/>
  <c r="V48" i="1"/>
  <c r="U48" i="1"/>
  <c r="P48" i="1"/>
  <c r="N48" i="1"/>
  <c r="K48" i="1"/>
  <c r="J48" i="1"/>
  <c r="H48" i="1"/>
  <c r="G48" i="1"/>
  <c r="F48" i="1"/>
  <c r="E48" i="1"/>
  <c r="D48" i="1"/>
  <c r="C48" i="1"/>
  <c r="AG47" i="1"/>
  <c r="AF47" i="1"/>
  <c r="AE47" i="1"/>
  <c r="AD47" i="1"/>
  <c r="AC47" i="1"/>
  <c r="X47" i="1"/>
  <c r="W47" i="1"/>
  <c r="S47" i="1"/>
  <c r="R47" i="1"/>
  <c r="Q47" i="1"/>
  <c r="O47" i="1"/>
  <c r="AH47" i="1" s="1"/>
  <c r="AG46" i="1"/>
  <c r="AE46" i="1"/>
  <c r="AC46" i="1"/>
  <c r="Z46" i="1"/>
  <c r="Z48" i="1" s="1"/>
  <c r="X46" i="1"/>
  <c r="S46" i="1"/>
  <c r="R46" i="1"/>
  <c r="O46" i="1"/>
  <c r="M46" i="1"/>
  <c r="L46" i="1"/>
  <c r="I46" i="1"/>
  <c r="F46" i="1"/>
  <c r="AH46" i="1" s="1"/>
  <c r="AF45" i="1"/>
  <c r="AE45" i="1"/>
  <c r="AC45" i="1"/>
  <c r="Z45" i="1"/>
  <c r="W45" i="1"/>
  <c r="T45" i="1"/>
  <c r="S45" i="1"/>
  <c r="R45" i="1"/>
  <c r="Q45" i="1"/>
  <c r="M45" i="1"/>
  <c r="AH45" i="1" s="1"/>
  <c r="L45" i="1"/>
  <c r="I45" i="1"/>
  <c r="F45" i="1"/>
  <c r="B45" i="1"/>
  <c r="AF44" i="1"/>
  <c r="AE44" i="1"/>
  <c r="AC44" i="1"/>
  <c r="W44" i="1"/>
  <c r="T44" i="1"/>
  <c r="S44" i="1"/>
  <c r="R44" i="1"/>
  <c r="Q44" i="1"/>
  <c r="M44" i="1"/>
  <c r="L44" i="1"/>
  <c r="I44" i="1"/>
  <c r="AH44" i="1" s="1"/>
  <c r="F44" i="1"/>
  <c r="B44" i="1"/>
  <c r="AG43" i="1"/>
  <c r="AF43" i="1"/>
  <c r="AF48" i="1" s="1"/>
  <c r="AE43" i="1"/>
  <c r="AD43" i="1"/>
  <c r="AC43" i="1"/>
  <c r="X43" i="1"/>
  <c r="W43" i="1"/>
  <c r="S43" i="1"/>
  <c r="R43" i="1"/>
  <c r="Q43" i="1"/>
  <c r="O43" i="1"/>
  <c r="AH43" i="1" s="1"/>
  <c r="AG42" i="1"/>
  <c r="AE42" i="1"/>
  <c r="AD42" i="1"/>
  <c r="AC42" i="1"/>
  <c r="W42" i="1"/>
  <c r="R42" i="1"/>
  <c r="Q42" i="1"/>
  <c r="M42" i="1"/>
  <c r="I42" i="1"/>
  <c r="F42" i="1"/>
  <c r="B42" i="1"/>
  <c r="AH42" i="1" s="1"/>
  <c r="AF41" i="1"/>
  <c r="AE41" i="1"/>
  <c r="AC41" i="1"/>
  <c r="Z41" i="1"/>
  <c r="X41" i="1"/>
  <c r="W41" i="1"/>
  <c r="T41" i="1"/>
  <c r="S41" i="1"/>
  <c r="O41" i="1"/>
  <c r="M41" i="1"/>
  <c r="L41" i="1"/>
  <c r="F41" i="1"/>
  <c r="B41" i="1"/>
  <c r="AH41" i="1" s="1"/>
  <c r="AG40" i="1"/>
  <c r="AF40" i="1"/>
  <c r="AE40" i="1"/>
  <c r="AD40" i="1"/>
  <c r="AC40" i="1"/>
  <c r="Z40" i="1"/>
  <c r="X40" i="1"/>
  <c r="W40" i="1"/>
  <c r="T40" i="1"/>
  <c r="T48" i="1" s="1"/>
  <c r="S40" i="1"/>
  <c r="R40" i="1"/>
  <c r="R48" i="1" s="1"/>
  <c r="Q40" i="1"/>
  <c r="Q48" i="1" s="1"/>
  <c r="O40" i="1"/>
  <c r="M40" i="1"/>
  <c r="L40" i="1"/>
  <c r="L48" i="1" s="1"/>
  <c r="I40" i="1"/>
  <c r="F40" i="1"/>
  <c r="B40" i="1"/>
  <c r="AH40" i="1" s="1"/>
  <c r="AG39" i="1"/>
  <c r="AG48" i="1" s="1"/>
  <c r="AE39" i="1"/>
  <c r="AD39" i="1"/>
  <c r="AC39" i="1"/>
  <c r="W39" i="1"/>
  <c r="R39" i="1"/>
  <c r="Q39" i="1"/>
  <c r="M39" i="1"/>
  <c r="M48" i="1" s="1"/>
  <c r="I39" i="1"/>
  <c r="I48" i="1" s="1"/>
  <c r="F39" i="1"/>
  <c r="AH39" i="1" s="1"/>
  <c r="B39" i="1"/>
  <c r="AH38" i="1"/>
  <c r="B38" i="1"/>
  <c r="AG37" i="1"/>
  <c r="AF37" i="1"/>
  <c r="AE37" i="1"/>
  <c r="AE48" i="1" s="1"/>
  <c r="AD37" i="1"/>
  <c r="AC37" i="1"/>
  <c r="AC48" i="1" s="1"/>
  <c r="X37" i="1"/>
  <c r="X48" i="1" s="1"/>
  <c r="W37" i="1"/>
  <c r="W48" i="1" s="1"/>
  <c r="S37" i="1"/>
  <c r="S48" i="1" s="1"/>
  <c r="R37" i="1"/>
  <c r="Q37" i="1"/>
  <c r="O37" i="1"/>
  <c r="AH37" i="1" s="1"/>
  <c r="AH36" i="1"/>
  <c r="AG35" i="1"/>
  <c r="AB35" i="1"/>
  <c r="AB91" i="1" s="1"/>
  <c r="AA35" i="1"/>
  <c r="AA91" i="1" s="1"/>
  <c r="Y35" i="1"/>
  <c r="V35" i="1"/>
  <c r="V91" i="1" s="1"/>
  <c r="U35" i="1"/>
  <c r="T35" i="1"/>
  <c r="T91" i="1" s="1"/>
  <c r="S35" i="1"/>
  <c r="S91" i="1" s="1"/>
  <c r="P35" i="1"/>
  <c r="P91" i="1" s="1"/>
  <c r="N35" i="1"/>
  <c r="N91" i="1" s="1"/>
  <c r="L35" i="1"/>
  <c r="K35" i="1"/>
  <c r="J35" i="1"/>
  <c r="J91" i="1" s="1"/>
  <c r="I35" i="1"/>
  <c r="H35" i="1"/>
  <c r="H91" i="1" s="1"/>
  <c r="G35" i="1"/>
  <c r="G91" i="1" s="1"/>
  <c r="E35" i="1"/>
  <c r="D35" i="1"/>
  <c r="D91" i="1" s="1"/>
  <c r="C35" i="1"/>
  <c r="C91" i="1" s="1"/>
  <c r="AG34" i="1"/>
  <c r="AE34" i="1"/>
  <c r="AD34" i="1"/>
  <c r="AD35" i="1" s="1"/>
  <c r="AD91" i="1" s="1"/>
  <c r="AC34" i="1"/>
  <c r="Z34" i="1"/>
  <c r="Z35" i="1" s="1"/>
  <c r="Z91" i="1" s="1"/>
  <c r="W34" i="1"/>
  <c r="R34" i="1"/>
  <c r="R35" i="1" s="1"/>
  <c r="Q34" i="1"/>
  <c r="Q35" i="1" s="1"/>
  <c r="M34" i="1"/>
  <c r="I34" i="1"/>
  <c r="F34" i="1"/>
  <c r="B34" i="1"/>
  <c r="AF33" i="1"/>
  <c r="AF35" i="1" s="1"/>
  <c r="AF91" i="1" s="1"/>
  <c r="AE33" i="1"/>
  <c r="AE35" i="1" s="1"/>
  <c r="AC33" i="1"/>
  <c r="AC35" i="1" s="1"/>
  <c r="X33" i="1"/>
  <c r="X35" i="1" s="1"/>
  <c r="W33" i="1"/>
  <c r="W35" i="1" s="1"/>
  <c r="T33" i="1"/>
  <c r="S33" i="1"/>
  <c r="O33" i="1"/>
  <c r="O35" i="1" s="1"/>
  <c r="M33" i="1"/>
  <c r="M35" i="1" s="1"/>
  <c r="M91" i="1" s="1"/>
  <c r="L33" i="1"/>
  <c r="F33" i="1"/>
  <c r="AH33" i="1" s="1"/>
  <c r="B33" i="1"/>
  <c r="B35" i="1" s="1"/>
  <c r="AH32" i="1"/>
  <c r="H29" i="1"/>
  <c r="H30" i="1" s="1"/>
  <c r="AG28" i="1"/>
  <c r="AG29" i="1" s="1"/>
  <c r="AG30" i="1" s="1"/>
  <c r="AE28" i="1"/>
  <c r="Z28" i="1"/>
  <c r="Y28" i="1"/>
  <c r="Y29" i="1" s="1"/>
  <c r="Y30" i="1" s="1"/>
  <c r="W28" i="1"/>
  <c r="S28" i="1"/>
  <c r="R28" i="1"/>
  <c r="R29" i="1" s="1"/>
  <c r="R30" i="1" s="1"/>
  <c r="Q28" i="1"/>
  <c r="Q29" i="1" s="1"/>
  <c r="Q30" i="1" s="1"/>
  <c r="P28" i="1"/>
  <c r="O28" i="1"/>
  <c r="L28" i="1"/>
  <c r="K28" i="1"/>
  <c r="J28" i="1"/>
  <c r="I28" i="1"/>
  <c r="H28" i="1"/>
  <c r="G28" i="1"/>
  <c r="F28" i="1"/>
  <c r="D28" i="1"/>
  <c r="C28" i="1"/>
  <c r="B28" i="1"/>
  <c r="AG27" i="1"/>
  <c r="AF27" i="1"/>
  <c r="AF28" i="1" s="1"/>
  <c r="AF29" i="1" s="1"/>
  <c r="AF30" i="1" s="1"/>
  <c r="AE27" i="1"/>
  <c r="AD27" i="1"/>
  <c r="AD28" i="1" s="1"/>
  <c r="AD29" i="1" s="1"/>
  <c r="AD30" i="1" s="1"/>
  <c r="AD92" i="1" s="1"/>
  <c r="AD93" i="1" s="1"/>
  <c r="AC27" i="1"/>
  <c r="AC28" i="1" s="1"/>
  <c r="AB27" i="1"/>
  <c r="AB28" i="1" s="1"/>
  <c r="AA27" i="1"/>
  <c r="AA28" i="1" s="1"/>
  <c r="X27" i="1"/>
  <c r="X28" i="1" s="1"/>
  <c r="X29" i="1" s="1"/>
  <c r="X30" i="1" s="1"/>
  <c r="W27" i="1"/>
  <c r="V27" i="1"/>
  <c r="V28" i="1" s="1"/>
  <c r="V29" i="1" s="1"/>
  <c r="V30" i="1" s="1"/>
  <c r="U27" i="1"/>
  <c r="U28" i="1" s="1"/>
  <c r="S27" i="1"/>
  <c r="O27" i="1"/>
  <c r="N27" i="1"/>
  <c r="G27" i="1"/>
  <c r="E27" i="1"/>
  <c r="E28" i="1" s="1"/>
  <c r="T26" i="1"/>
  <c r="T28" i="1" s="1"/>
  <c r="R26" i="1"/>
  <c r="Q26" i="1"/>
  <c r="N26" i="1"/>
  <c r="N28" i="1" s="1"/>
  <c r="N29" i="1" s="1"/>
  <c r="N30" i="1" s="1"/>
  <c r="N92" i="1" s="1"/>
  <c r="N93" i="1" s="1"/>
  <c r="M26" i="1"/>
  <c r="M28" i="1" s="1"/>
  <c r="AH25" i="1"/>
  <c r="AH24" i="1"/>
  <c r="B24" i="1"/>
  <c r="AH23" i="1"/>
  <c r="B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E22" i="1"/>
  <c r="D22" i="1"/>
  <c r="C22" i="1"/>
  <c r="B22" i="1"/>
  <c r="F21" i="1"/>
  <c r="AH21" i="1" s="1"/>
  <c r="L20" i="1"/>
  <c r="H20" i="1"/>
  <c r="F20" i="1"/>
  <c r="AH20" i="1" s="1"/>
  <c r="AG19" i="1"/>
  <c r="AF19" i="1"/>
  <c r="AE19" i="1"/>
  <c r="AE29" i="1" s="1"/>
  <c r="AE30" i="1" s="1"/>
  <c r="AD19" i="1"/>
  <c r="AC19" i="1"/>
  <c r="AC29" i="1" s="1"/>
  <c r="AC30" i="1" s="1"/>
  <c r="AB19" i="1"/>
  <c r="AA19" i="1"/>
  <c r="Y19" i="1"/>
  <c r="X19" i="1"/>
  <c r="W19" i="1"/>
  <c r="W29" i="1" s="1"/>
  <c r="W30" i="1" s="1"/>
  <c r="V19" i="1"/>
  <c r="U19" i="1"/>
  <c r="U29" i="1" s="1"/>
  <c r="U30" i="1" s="1"/>
  <c r="U92" i="1" s="1"/>
  <c r="U93" i="1" s="1"/>
  <c r="T19" i="1"/>
  <c r="T29" i="1" s="1"/>
  <c r="T30" i="1" s="1"/>
  <c r="S19" i="1"/>
  <c r="S29" i="1" s="1"/>
  <c r="S30" i="1" s="1"/>
  <c r="R19" i="1"/>
  <c r="Q19" i="1"/>
  <c r="O19" i="1"/>
  <c r="O29" i="1" s="1"/>
  <c r="O30" i="1" s="1"/>
  <c r="N19" i="1"/>
  <c r="M19" i="1"/>
  <c r="M29" i="1" s="1"/>
  <c r="M30" i="1" s="1"/>
  <c r="L19" i="1"/>
  <c r="L29" i="1" s="1"/>
  <c r="L30" i="1" s="1"/>
  <c r="H19" i="1"/>
  <c r="E19" i="1"/>
  <c r="D19" i="1"/>
  <c r="D29" i="1" s="1"/>
  <c r="D30" i="1" s="1"/>
  <c r="D92" i="1" s="1"/>
  <c r="D93" i="1" s="1"/>
  <c r="C19" i="1"/>
  <c r="C29" i="1" s="1"/>
  <c r="C30" i="1" s="1"/>
  <c r="C92" i="1" s="1"/>
  <c r="C93" i="1" s="1"/>
  <c r="AH18" i="1"/>
  <c r="F18" i="1"/>
  <c r="G17" i="1"/>
  <c r="G19" i="1" s="1"/>
  <c r="G29" i="1" s="1"/>
  <c r="G30" i="1" s="1"/>
  <c r="F17" i="1"/>
  <c r="C17" i="1"/>
  <c r="B17" i="1"/>
  <c r="AH17" i="1" s="1"/>
  <c r="B16" i="1"/>
  <c r="AH16" i="1" s="1"/>
  <c r="B15" i="1"/>
  <c r="AH15" i="1" s="1"/>
  <c r="B14" i="1"/>
  <c r="AH14" i="1" s="1"/>
  <c r="K13" i="1"/>
  <c r="K19" i="1" s="1"/>
  <c r="K29" i="1" s="1"/>
  <c r="K30" i="1" s="1"/>
  <c r="J13" i="1"/>
  <c r="F13" i="1"/>
  <c r="AH13" i="1" s="1"/>
  <c r="B13" i="1"/>
  <c r="J12" i="1"/>
  <c r="F12" i="1"/>
  <c r="AH12" i="1" s="1"/>
  <c r="B12" i="1"/>
  <c r="AH11" i="1"/>
  <c r="Z11" i="1"/>
  <c r="Z19" i="1" s="1"/>
  <c r="Z29" i="1" s="1"/>
  <c r="Z30" i="1" s="1"/>
  <c r="Z92" i="1" s="1"/>
  <c r="Z93" i="1" s="1"/>
  <c r="P11" i="1"/>
  <c r="P19" i="1" s="1"/>
  <c r="P29" i="1" s="1"/>
  <c r="P30" i="1" s="1"/>
  <c r="P92" i="1" s="1"/>
  <c r="P93" i="1" s="1"/>
  <c r="I11" i="1"/>
  <c r="I19" i="1" s="1"/>
  <c r="I29" i="1" s="1"/>
  <c r="I30" i="1" s="1"/>
  <c r="F11" i="1"/>
  <c r="K10" i="1"/>
  <c r="AH10" i="1" s="1"/>
  <c r="J10" i="1"/>
  <c r="J19" i="1" s="1"/>
  <c r="J29" i="1" s="1"/>
  <c r="J30" i="1" s="1"/>
  <c r="J92" i="1" s="1"/>
  <c r="J93" i="1" s="1"/>
  <c r="AH9" i="1"/>
  <c r="B9" i="1"/>
  <c r="AH8" i="1"/>
  <c r="B8" i="1"/>
  <c r="B19" i="1" s="1"/>
  <c r="AH7" i="1"/>
  <c r="I91" i="1" l="1"/>
  <c r="AH54" i="1"/>
  <c r="AH66" i="1"/>
  <c r="AH86" i="1"/>
  <c r="H92" i="1"/>
  <c r="H93" i="1" s="1"/>
  <c r="E29" i="1"/>
  <c r="E30" i="1" s="1"/>
  <c r="E92" i="1" s="1"/>
  <c r="E93" i="1" s="1"/>
  <c r="S92" i="1"/>
  <c r="S93" i="1" s="1"/>
  <c r="AB29" i="1"/>
  <c r="AB30" i="1" s="1"/>
  <c r="AB92" i="1" s="1"/>
  <c r="AB93" i="1" s="1"/>
  <c r="R92" i="1"/>
  <c r="R93" i="1" s="1"/>
  <c r="W91" i="1"/>
  <c r="W92" i="1" s="1"/>
  <c r="W93" i="1" s="1"/>
  <c r="K91" i="1"/>
  <c r="K92" i="1" s="1"/>
  <c r="K93" i="1" s="1"/>
  <c r="Y91" i="1"/>
  <c r="T92" i="1"/>
  <c r="T93" i="1" s="1"/>
  <c r="V92" i="1"/>
  <c r="V93" i="1" s="1"/>
  <c r="AF92" i="1"/>
  <c r="AF93" i="1" s="1"/>
  <c r="AH35" i="1"/>
  <c r="X91" i="1"/>
  <c r="X92" i="1" s="1"/>
  <c r="X93" i="1" s="1"/>
  <c r="Q91" i="1"/>
  <c r="Q92" i="1" s="1"/>
  <c r="Q93" i="1" s="1"/>
  <c r="L91" i="1"/>
  <c r="AH79" i="1"/>
  <c r="AH90" i="1"/>
  <c r="AA29" i="1"/>
  <c r="AA30" i="1" s="1"/>
  <c r="AA92" i="1" s="1"/>
  <c r="AA93" i="1" s="1"/>
  <c r="AC92" i="1"/>
  <c r="AC93" i="1" s="1"/>
  <c r="I92" i="1"/>
  <c r="I93" i="1" s="1"/>
  <c r="L92" i="1"/>
  <c r="L93" i="1" s="1"/>
  <c r="AC91" i="1"/>
  <c r="R91" i="1"/>
  <c r="B29" i="1"/>
  <c r="G92" i="1"/>
  <c r="G93" i="1" s="1"/>
  <c r="M92" i="1"/>
  <c r="M93" i="1" s="1"/>
  <c r="AE92" i="1"/>
  <c r="AE93" i="1" s="1"/>
  <c r="AH28" i="1"/>
  <c r="Y92" i="1"/>
  <c r="Y93" i="1" s="1"/>
  <c r="AE91" i="1"/>
  <c r="AG91" i="1"/>
  <c r="AG92" i="1" s="1"/>
  <c r="AG93" i="1" s="1"/>
  <c r="AH26" i="1"/>
  <c r="O48" i="1"/>
  <c r="O91" i="1" s="1"/>
  <c r="O92" i="1" s="1"/>
  <c r="O93" i="1" s="1"/>
  <c r="AH51" i="1"/>
  <c r="AH64" i="1"/>
  <c r="AH27" i="1"/>
  <c r="AH72" i="1"/>
  <c r="AH81" i="1"/>
  <c r="AH89" i="1"/>
  <c r="F19" i="1"/>
  <c r="F29" i="1" s="1"/>
  <c r="F30" i="1" s="1"/>
  <c r="F92" i="1" s="1"/>
  <c r="F93" i="1" s="1"/>
  <c r="B48" i="1"/>
  <c r="AH48" i="1" s="1"/>
  <c r="AH88" i="1"/>
  <c r="AH34" i="1"/>
  <c r="F35" i="1"/>
  <c r="F91" i="1" s="1"/>
  <c r="F22" i="1"/>
  <c r="AH22" i="1" s="1"/>
  <c r="B30" i="1" l="1"/>
  <c r="AH29" i="1"/>
  <c r="B91" i="1"/>
  <c r="AH91" i="1" s="1"/>
  <c r="AH19" i="1"/>
  <c r="B92" i="1" l="1"/>
  <c r="AH30" i="1"/>
  <c r="B93" i="1" l="1"/>
  <c r="AH93" i="1" s="1"/>
  <c r="AH92" i="1"/>
</calcChain>
</file>

<file path=xl/sharedStrings.xml><?xml version="1.0" encoding="utf-8"?>
<sst xmlns="http://schemas.openxmlformats.org/spreadsheetml/2006/main" count="124" uniqueCount="124">
  <si>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</si>
  <si>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</si>
  <si>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</si>
  <si>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</si>
  <si>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</si>
  <si>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</si>
  <si>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</si>
  <si>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</si>
  <si>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</si>
  <si>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</si>
  <si>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</si>
  <si>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</si>
  <si>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2020- FEMA Covid Reim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</si>
  <si>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</si>
  <si>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</si>
  <si>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</si>
  <si>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</si>
  <si>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</si>
  <si>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</si>
  <si>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</si>
  <si>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</si>
  <si>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</si>
  <si>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</si>
  <si>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</si>
  <si>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</si>
  <si>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</si>
  <si>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</si>
  <si>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</si>
  <si>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</si>
  <si>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</si>
  <si>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</si>
  <si>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</si>
  <si>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</si>
  <si>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</si>
  <si>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</si>
  <si>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</si>
  <si>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</si>
  <si>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</si>
  <si>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</si>
  <si>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</si>
  <si>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</si>
  <si>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PROCUREMENT (KPC &amp; 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</si>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</sst>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workbookViewId="0">
      <selection activeCell="A97" sqref="A97:AH97"/>
    </sheetView>
  </sheetViews>
  <sheetFormatPr defaultRowHeight="15" x14ac:dyDescent="0.25"/>
  <cols>
    <col min="1" max="1" width="36.140625" customWidth="1"/>
    <col min="2" max="2" width="12" customWidth="1"/>
    <col min="3" max="3" width="7.7109375" customWidth="1"/>
    <col min="4" max="4" width="10.28515625" customWidth="1"/>
    <col min="5" max="5" width="7.7109375" customWidth="1"/>
    <col min="6" max="6" width="12" customWidth="1"/>
    <col min="7" max="7" width="8.5703125" customWidth="1"/>
    <col min="8" max="8" width="10.28515625" customWidth="1"/>
    <col min="9" max="9" width="9.42578125" customWidth="1"/>
    <col min="10" max="11" width="10.28515625" customWidth="1"/>
    <col min="12" max="12" width="9.42578125" customWidth="1"/>
    <col min="13" max="13" width="12" customWidth="1"/>
    <col min="14" max="14" width="9.42578125" customWidth="1"/>
    <col min="15" max="15" width="10.28515625" customWidth="1"/>
    <col min="16" max="16" width="8.5703125" customWidth="1"/>
    <col min="17" max="19" width="11.140625" customWidth="1"/>
    <col min="20" max="20" width="9.42578125" customWidth="1"/>
    <col min="21" max="21" width="8.5703125" customWidth="1"/>
    <col min="22" max="22" width="10.28515625" customWidth="1"/>
    <col min="23" max="23" width="11.140625" customWidth="1"/>
    <col min="24" max="24" width="9.42578125" customWidth="1"/>
    <col min="25" max="25" width="8.5703125" customWidth="1"/>
    <col min="26" max="26" width="9.42578125" customWidth="1"/>
    <col min="27" max="27" width="8.5703125" customWidth="1"/>
    <col min="28" max="28" width="10.28515625" customWidth="1"/>
    <col min="29" max="29" width="12" customWidth="1"/>
    <col min="30" max="30" width="7.7109375" customWidth="1"/>
    <col min="31" max="31" width="12" customWidth="1"/>
    <col min="32" max="32" width="9.42578125" customWidth="1"/>
    <col min="33" max="33" width="7.7109375" customWidth="1"/>
    <col min="34" max="34" width="12" customWidth="1"/>
  </cols>
  <sheetData>
    <row r="1" spans="1:34" ht="18" x14ac:dyDescent="0.25">
      <c r="A1" s="10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8" x14ac:dyDescent="0.25">
      <c r="A2" s="10" t="s">
        <v>122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1" t="s">
        <v>123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5" spans="1:34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</row>
    <row r="6" spans="1:34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 t="shared" ref="AH7:AH30" si="0">(((((((((((((((((((((((((((((((B7)+(C7))+(D7))+(E7))+(F7))+(G7))+(H7))+(I7))+(J7))+(K7))+(L7))+(M7))+(N7))+(O7))+(P7))+(Q7))+(R7))+(S7))+(T7))+(U7))+(V7))+(W7))+(X7))+(Y7))+(Z7))+(AA7))+(AB7))+(AC7))+(AD7))+(AE7))+(AF7))+(AG7)</f>
        <v>0</v>
      </c>
    </row>
    <row r="8" spans="1:34" x14ac:dyDescent="0.25">
      <c r="A8" s="3" t="s">
        <v>35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 t="shared" si="0"/>
        <v>282607.03000000003</v>
      </c>
    </row>
    <row r="9" spans="1:34" x14ac:dyDescent="0.25">
      <c r="A9" s="3" t="s">
        <v>36</v>
      </c>
      <c r="B9" s="5">
        <f>184482.78</f>
        <v>184482.78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 t="shared" si="0"/>
        <v>184482.78</v>
      </c>
    </row>
    <row r="10" spans="1:34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5">
        <f>381736.7</f>
        <v>381736.7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 t="shared" si="0"/>
        <v>385616.7</v>
      </c>
    </row>
    <row r="11" spans="1:34" x14ac:dyDescent="0.25">
      <c r="A11" s="3" t="s">
        <v>38</v>
      </c>
      <c r="B11" s="4"/>
      <c r="C11" s="4"/>
      <c r="D11" s="4"/>
      <c r="E11" s="4"/>
      <c r="F11" s="5">
        <f>2500</f>
        <v>2500</v>
      </c>
      <c r="G11" s="4"/>
      <c r="H11" s="4"/>
      <c r="I11" s="5">
        <f>99288.25</f>
        <v>99288.25</v>
      </c>
      <c r="J11" s="4"/>
      <c r="K11" s="4"/>
      <c r="L11" s="4"/>
      <c r="M11" s="4"/>
      <c r="N11" s="4"/>
      <c r="O11" s="4"/>
      <c r="P11" s="5">
        <f>8000</f>
        <v>8000</v>
      </c>
      <c r="Q11" s="4"/>
      <c r="R11" s="4"/>
      <c r="S11" s="4"/>
      <c r="T11" s="4"/>
      <c r="U11" s="4"/>
      <c r="V11" s="4"/>
      <c r="W11" s="4"/>
      <c r="X11" s="4"/>
      <c r="Y11" s="4"/>
      <c r="Z11" s="5">
        <f>30000</f>
        <v>30000</v>
      </c>
      <c r="AA11" s="4"/>
      <c r="AB11" s="4"/>
      <c r="AC11" s="4"/>
      <c r="AD11" s="4"/>
      <c r="AE11" s="4"/>
      <c r="AF11" s="4"/>
      <c r="AG11" s="4"/>
      <c r="AH11" s="5">
        <f t="shared" si="0"/>
        <v>139788.25</v>
      </c>
    </row>
    <row r="12" spans="1:34" x14ac:dyDescent="0.25">
      <c r="A12" s="3" t="s">
        <v>39</v>
      </c>
      <c r="B12" s="5">
        <f>2000</f>
        <v>2000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>
        <f t="shared" si="0"/>
        <v>8000</v>
      </c>
    </row>
    <row r="13" spans="1:34" x14ac:dyDescent="0.25">
      <c r="A13" s="3" t="s">
        <v>40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>
        <f t="shared" si="0"/>
        <v>9848.48</v>
      </c>
    </row>
    <row r="14" spans="1:34" x14ac:dyDescent="0.25">
      <c r="A14" s="3" t="s">
        <v>41</v>
      </c>
      <c r="B14" s="5">
        <f>132347.4</f>
        <v>132347.4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>
        <f t="shared" si="0"/>
        <v>132347.4</v>
      </c>
    </row>
    <row r="15" spans="1:34" x14ac:dyDescent="0.25">
      <c r="A15" s="3" t="s">
        <v>42</v>
      </c>
      <c r="B15" s="5">
        <f>751440.36</f>
        <v>751440.36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>
        <f t="shared" si="0"/>
        <v>751440.36</v>
      </c>
    </row>
    <row r="16" spans="1:34" x14ac:dyDescent="0.25">
      <c r="A16" s="3" t="s">
        <v>43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>
        <f t="shared" si="0"/>
        <v>40000</v>
      </c>
    </row>
    <row r="17" spans="1:34" x14ac:dyDescent="0.25">
      <c r="A17" s="3" t="s">
        <v>44</v>
      </c>
      <c r="B17" s="5">
        <f>1774.21</f>
        <v>1774.21</v>
      </c>
      <c r="C17" s="5">
        <f>225</f>
        <v>225</v>
      </c>
      <c r="D17" s="4"/>
      <c r="E17" s="4"/>
      <c r="F17" s="5">
        <f>153.25</f>
        <v>153.25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>
        <f t="shared" si="0"/>
        <v>9403.4599999999991</v>
      </c>
    </row>
    <row r="18" spans="1:34" x14ac:dyDescent="0.25">
      <c r="A18" s="3" t="s">
        <v>45</v>
      </c>
      <c r="B18" s="4"/>
      <c r="C18" s="4"/>
      <c r="D18" s="4"/>
      <c r="E18" s="4"/>
      <c r="F18" s="5">
        <f>197163</f>
        <v>197163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>
        <f t="shared" si="0"/>
        <v>197163</v>
      </c>
    </row>
    <row r="19" spans="1:34" x14ac:dyDescent="0.25">
      <c r="A19" s="3" t="s">
        <v>46</v>
      </c>
      <c r="B19" s="6">
        <f t="shared" ref="B19:AG19" si="1">(((((((((((B7)+(B8))+(B9))+(B10))+(B11))+(B12))+(B13))+(B14))+(B15))+(B16))+(B17))+(B18)</f>
        <v>1403804.55</v>
      </c>
      <c r="C19" s="6">
        <f t="shared" si="1"/>
        <v>225</v>
      </c>
      <c r="D19" s="6">
        <f t="shared" si="1"/>
        <v>0</v>
      </c>
      <c r="E19" s="6">
        <f t="shared" si="1"/>
        <v>0</v>
      </c>
      <c r="F19" s="6">
        <f t="shared" si="1"/>
        <v>200025.49</v>
      </c>
      <c r="G19" s="6">
        <f t="shared" si="1"/>
        <v>7251</v>
      </c>
      <c r="H19" s="6">
        <f t="shared" si="1"/>
        <v>0</v>
      </c>
      <c r="I19" s="6">
        <f t="shared" si="1"/>
        <v>99288.25</v>
      </c>
      <c r="J19" s="6">
        <f t="shared" si="1"/>
        <v>388173.17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8000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30000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1"/>
        <v>0</v>
      </c>
      <c r="AH19" s="6">
        <f t="shared" si="0"/>
        <v>2140697.46</v>
      </c>
    </row>
    <row r="20" spans="1:34" x14ac:dyDescent="0.25">
      <c r="A20" s="3" t="s">
        <v>47</v>
      </c>
      <c r="B20" s="4"/>
      <c r="C20" s="4"/>
      <c r="D20" s="4"/>
      <c r="E20" s="4"/>
      <c r="F20" s="5">
        <f>2209944.08</f>
        <v>2209944.08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>
        <f t="shared" si="0"/>
        <v>2301040.88</v>
      </c>
    </row>
    <row r="21" spans="1:34" x14ac:dyDescent="0.25">
      <c r="A21" s="3" t="s">
        <v>48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>
        <f t="shared" si="0"/>
        <v>46224.32</v>
      </c>
    </row>
    <row r="22" spans="1:34" x14ac:dyDescent="0.25">
      <c r="A22" s="3" t="s">
        <v>49</v>
      </c>
      <c r="B22" s="6">
        <f t="shared" ref="B22:AG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2256168.4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0"/>
        <v>2347265.1999999997</v>
      </c>
    </row>
    <row r="23" spans="1:34" x14ac:dyDescent="0.25">
      <c r="A23" s="3" t="s">
        <v>50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>
        <f t="shared" si="0"/>
        <v>5292</v>
      </c>
    </row>
    <row r="24" spans="1:34" x14ac:dyDescent="0.25">
      <c r="A24" s="3" t="s">
        <v>51</v>
      </c>
      <c r="B24" s="5">
        <f>49298.87</f>
        <v>49298.87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>
        <f t="shared" si="0"/>
        <v>49298.87</v>
      </c>
    </row>
    <row r="25" spans="1:34" x14ac:dyDescent="0.25">
      <c r="A25" s="3" t="s">
        <v>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>
        <f t="shared" si="0"/>
        <v>0</v>
      </c>
    </row>
    <row r="26" spans="1:34" x14ac:dyDescent="0.25">
      <c r="A26" s="3" t="s">
        <v>53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757245.39</f>
        <v>757245.39</v>
      </c>
      <c r="N26" s="5">
        <f>286.8</f>
        <v>286.8</v>
      </c>
      <c r="O26" s="4"/>
      <c r="P26" s="4"/>
      <c r="Q26" s="5">
        <f>453281.01</f>
        <v>453281.01</v>
      </c>
      <c r="R26" s="5">
        <f>252026.18</f>
        <v>252026.18</v>
      </c>
      <c r="S26" s="4"/>
      <c r="T26" s="5">
        <f>94666</f>
        <v>94666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>
        <f t="shared" si="0"/>
        <v>1557505.3800000001</v>
      </c>
    </row>
    <row r="27" spans="1:34" x14ac:dyDescent="0.25">
      <c r="A27" s="3" t="s">
        <v>54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29815.72</f>
        <v>29815.72</v>
      </c>
      <c r="O27" s="5">
        <f>283122.82</f>
        <v>283122.82</v>
      </c>
      <c r="P27" s="4"/>
      <c r="Q27" s="4"/>
      <c r="R27" s="4"/>
      <c r="S27" s="5">
        <f>315025.11</f>
        <v>315025.11</v>
      </c>
      <c r="T27" s="4"/>
      <c r="U27" s="5">
        <f>-199.99</f>
        <v>-199.99</v>
      </c>
      <c r="V27" s="5">
        <f>65084.17</f>
        <v>65084.17</v>
      </c>
      <c r="W27" s="5">
        <f>735563.39</f>
        <v>735563.39</v>
      </c>
      <c r="X27" s="5">
        <f>86658.42</f>
        <v>86658.42</v>
      </c>
      <c r="Y27" s="4"/>
      <c r="Z27" s="4"/>
      <c r="AA27" s="5">
        <f>1734.62</f>
        <v>1734.62</v>
      </c>
      <c r="AB27" s="5">
        <f>1108.96</f>
        <v>1108.96</v>
      </c>
      <c r="AC27" s="5">
        <f>688409.45</f>
        <v>688409.45</v>
      </c>
      <c r="AD27" s="5">
        <f>0</f>
        <v>0</v>
      </c>
      <c r="AE27" s="5">
        <f>1195266.51</f>
        <v>1195266.51</v>
      </c>
      <c r="AF27" s="5">
        <f>98000</f>
        <v>98000</v>
      </c>
      <c r="AG27" s="5">
        <f>0</f>
        <v>0</v>
      </c>
      <c r="AH27" s="5">
        <f t="shared" si="0"/>
        <v>3492338.04</v>
      </c>
    </row>
    <row r="28" spans="1:34" x14ac:dyDescent="0.25">
      <c r="A28" s="3" t="s">
        <v>55</v>
      </c>
      <c r="B28" s="6">
        <f t="shared" ref="B28:AG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757245.39</v>
      </c>
      <c r="N28" s="6">
        <f t="shared" si="3"/>
        <v>30102.52</v>
      </c>
      <c r="O28" s="6">
        <f t="shared" si="3"/>
        <v>283122.82</v>
      </c>
      <c r="P28" s="6">
        <f t="shared" si="3"/>
        <v>0</v>
      </c>
      <c r="Q28" s="6">
        <f t="shared" si="3"/>
        <v>453281.01</v>
      </c>
      <c r="R28" s="6">
        <f t="shared" si="3"/>
        <v>252026.18</v>
      </c>
      <c r="S28" s="6">
        <f t="shared" si="3"/>
        <v>315025.11</v>
      </c>
      <c r="T28" s="6">
        <f t="shared" si="3"/>
        <v>94666</v>
      </c>
      <c r="U28" s="6">
        <f t="shared" si="3"/>
        <v>-199.99</v>
      </c>
      <c r="V28" s="6">
        <f t="shared" si="3"/>
        <v>65084.17</v>
      </c>
      <c r="W28" s="6">
        <f t="shared" si="3"/>
        <v>735563.39</v>
      </c>
      <c r="X28" s="6">
        <f t="shared" si="3"/>
        <v>86658.42</v>
      </c>
      <c r="Y28" s="6">
        <f t="shared" si="3"/>
        <v>0</v>
      </c>
      <c r="Z28" s="6">
        <f t="shared" si="3"/>
        <v>0</v>
      </c>
      <c r="AA28" s="6">
        <f t="shared" si="3"/>
        <v>1734.62</v>
      </c>
      <c r="AB28" s="6">
        <f t="shared" si="3"/>
        <v>1108.96</v>
      </c>
      <c r="AC28" s="6">
        <f t="shared" si="3"/>
        <v>688409.45</v>
      </c>
      <c r="AD28" s="6">
        <f t="shared" si="3"/>
        <v>0</v>
      </c>
      <c r="AE28" s="6">
        <f t="shared" si="3"/>
        <v>1195266.51</v>
      </c>
      <c r="AF28" s="6">
        <f t="shared" si="3"/>
        <v>98000</v>
      </c>
      <c r="AG28" s="6">
        <f t="shared" si="3"/>
        <v>0</v>
      </c>
      <c r="AH28" s="6">
        <f t="shared" si="0"/>
        <v>5049843.42</v>
      </c>
    </row>
    <row r="29" spans="1:34" x14ac:dyDescent="0.25">
      <c r="A29" s="3" t="s">
        <v>56</v>
      </c>
      <c r="B29" s="6">
        <f t="shared" ref="B29:AG29" si="4">((((B19)+(B22))+(B23))+(B24))+(B28)</f>
        <v>1458395.4200000002</v>
      </c>
      <c r="C29" s="6">
        <f t="shared" si="4"/>
        <v>225</v>
      </c>
      <c r="D29" s="6">
        <f t="shared" si="4"/>
        <v>0</v>
      </c>
      <c r="E29" s="6">
        <f t="shared" si="4"/>
        <v>-0.14000000000000001</v>
      </c>
      <c r="F29" s="6">
        <f t="shared" si="4"/>
        <v>2456193.8899999997</v>
      </c>
      <c r="G29" s="6">
        <f t="shared" si="4"/>
        <v>0</v>
      </c>
      <c r="H29" s="6">
        <f t="shared" si="4"/>
        <v>-1941.89</v>
      </c>
      <c r="I29" s="6">
        <f t="shared" si="4"/>
        <v>99288.25</v>
      </c>
      <c r="J29" s="6">
        <f t="shared" si="4"/>
        <v>388173.17</v>
      </c>
      <c r="K29" s="6">
        <f t="shared" si="4"/>
        <v>3930</v>
      </c>
      <c r="L29" s="6">
        <f t="shared" si="4"/>
        <v>93038.69</v>
      </c>
      <c r="M29" s="6">
        <f t="shared" si="4"/>
        <v>757245.39</v>
      </c>
      <c r="N29" s="6">
        <f t="shared" si="4"/>
        <v>30102.52</v>
      </c>
      <c r="O29" s="6">
        <f t="shared" si="4"/>
        <v>283122.82</v>
      </c>
      <c r="P29" s="6">
        <f t="shared" si="4"/>
        <v>8000</v>
      </c>
      <c r="Q29" s="6">
        <f t="shared" si="4"/>
        <v>453281.01</v>
      </c>
      <c r="R29" s="6">
        <f t="shared" si="4"/>
        <v>252026.18</v>
      </c>
      <c r="S29" s="6">
        <f t="shared" si="4"/>
        <v>315025.11</v>
      </c>
      <c r="T29" s="6">
        <f t="shared" si="4"/>
        <v>94666</v>
      </c>
      <c r="U29" s="6">
        <f t="shared" si="4"/>
        <v>-199.99</v>
      </c>
      <c r="V29" s="6">
        <f t="shared" si="4"/>
        <v>65084.17</v>
      </c>
      <c r="W29" s="6">
        <f t="shared" si="4"/>
        <v>735563.39</v>
      </c>
      <c r="X29" s="6">
        <f t="shared" si="4"/>
        <v>86658.42</v>
      </c>
      <c r="Y29" s="6">
        <f t="shared" si="4"/>
        <v>0</v>
      </c>
      <c r="Z29" s="6">
        <f t="shared" si="4"/>
        <v>30000</v>
      </c>
      <c r="AA29" s="6">
        <f t="shared" si="4"/>
        <v>1734.62</v>
      </c>
      <c r="AB29" s="6">
        <f t="shared" si="4"/>
        <v>1108.96</v>
      </c>
      <c r="AC29" s="6">
        <f t="shared" si="4"/>
        <v>688409.45</v>
      </c>
      <c r="AD29" s="6">
        <f t="shared" si="4"/>
        <v>0</v>
      </c>
      <c r="AE29" s="6">
        <f t="shared" si="4"/>
        <v>1195266.51</v>
      </c>
      <c r="AF29" s="6">
        <f t="shared" si="4"/>
        <v>98000</v>
      </c>
      <c r="AG29" s="6">
        <f t="shared" si="4"/>
        <v>0</v>
      </c>
      <c r="AH29" s="6">
        <f t="shared" si="0"/>
        <v>9592396.9499999993</v>
      </c>
    </row>
    <row r="30" spans="1:34" x14ac:dyDescent="0.25">
      <c r="A30" s="3" t="s">
        <v>57</v>
      </c>
      <c r="B30" s="6">
        <f t="shared" ref="B30:AG30" si="5">(B29)-(0)</f>
        <v>1458395.4200000002</v>
      </c>
      <c r="C30" s="6">
        <f t="shared" si="5"/>
        <v>225</v>
      </c>
      <c r="D30" s="6">
        <f t="shared" si="5"/>
        <v>0</v>
      </c>
      <c r="E30" s="6">
        <f t="shared" si="5"/>
        <v>-0.14000000000000001</v>
      </c>
      <c r="F30" s="6">
        <f t="shared" si="5"/>
        <v>2456193.8899999997</v>
      </c>
      <c r="G30" s="6">
        <f t="shared" si="5"/>
        <v>0</v>
      </c>
      <c r="H30" s="6">
        <f t="shared" si="5"/>
        <v>-1941.89</v>
      </c>
      <c r="I30" s="6">
        <f t="shared" si="5"/>
        <v>99288.25</v>
      </c>
      <c r="J30" s="6">
        <f t="shared" si="5"/>
        <v>388173.17</v>
      </c>
      <c r="K30" s="6">
        <f t="shared" si="5"/>
        <v>3930</v>
      </c>
      <c r="L30" s="6">
        <f t="shared" si="5"/>
        <v>93038.69</v>
      </c>
      <c r="M30" s="6">
        <f t="shared" si="5"/>
        <v>757245.39</v>
      </c>
      <c r="N30" s="6">
        <f t="shared" si="5"/>
        <v>30102.52</v>
      </c>
      <c r="O30" s="6">
        <f t="shared" si="5"/>
        <v>283122.82</v>
      </c>
      <c r="P30" s="6">
        <f t="shared" si="5"/>
        <v>8000</v>
      </c>
      <c r="Q30" s="6">
        <f t="shared" si="5"/>
        <v>453281.01</v>
      </c>
      <c r="R30" s="6">
        <f t="shared" si="5"/>
        <v>252026.18</v>
      </c>
      <c r="S30" s="6">
        <f t="shared" si="5"/>
        <v>315025.11</v>
      </c>
      <c r="T30" s="6">
        <f t="shared" si="5"/>
        <v>94666</v>
      </c>
      <c r="U30" s="6">
        <f t="shared" si="5"/>
        <v>-199.99</v>
      </c>
      <c r="V30" s="6">
        <f t="shared" si="5"/>
        <v>65084.17</v>
      </c>
      <c r="W30" s="6">
        <f t="shared" si="5"/>
        <v>735563.39</v>
      </c>
      <c r="X30" s="6">
        <f t="shared" si="5"/>
        <v>86658.42</v>
      </c>
      <c r="Y30" s="6">
        <f t="shared" si="5"/>
        <v>0</v>
      </c>
      <c r="Z30" s="6">
        <f t="shared" si="5"/>
        <v>30000</v>
      </c>
      <c r="AA30" s="6">
        <f t="shared" si="5"/>
        <v>1734.62</v>
      </c>
      <c r="AB30" s="6">
        <f t="shared" si="5"/>
        <v>1108.96</v>
      </c>
      <c r="AC30" s="6">
        <f t="shared" si="5"/>
        <v>688409.45</v>
      </c>
      <c r="AD30" s="6">
        <f t="shared" si="5"/>
        <v>0</v>
      </c>
      <c r="AE30" s="6">
        <f t="shared" si="5"/>
        <v>1195266.51</v>
      </c>
      <c r="AF30" s="6">
        <f t="shared" si="5"/>
        <v>98000</v>
      </c>
      <c r="AG30" s="6">
        <f t="shared" si="5"/>
        <v>0</v>
      </c>
      <c r="AH30" s="6">
        <f t="shared" si="0"/>
        <v>9592396.9499999993</v>
      </c>
    </row>
    <row r="31" spans="1:34" x14ac:dyDescent="0.25">
      <c r="A31" s="3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25">
      <c r="A32" s="3" t="s">
        <v>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>
        <f t="shared" ref="AH32:AH63" si="6">(((((((((((((((((((((((((((((((B32)+(C32))+(D32))+(E32))+(F32))+(G32))+(H32))+(I32))+(J32))+(K32))+(L32))+(M32))+(N32))+(O32))+(P32))+(Q32))+(R32))+(S32))+(T32))+(U32))+(V32))+(W32))+(X32))+(Y32))+(Z32))+(AA32))+(AB32))+(AC32))+(AD32))+(AE32))+(AF32))+(AG32)</f>
        <v>0</v>
      </c>
    </row>
    <row r="33" spans="1:34" x14ac:dyDescent="0.25">
      <c r="A33" s="3" t="s">
        <v>60</v>
      </c>
      <c r="B33" s="5">
        <f>425686.52</f>
        <v>425686.52</v>
      </c>
      <c r="C33" s="4"/>
      <c r="D33" s="4"/>
      <c r="E33" s="4"/>
      <c r="F33" s="5">
        <f>810985.98</f>
        <v>810985.98</v>
      </c>
      <c r="G33" s="4"/>
      <c r="H33" s="4"/>
      <c r="I33" s="4"/>
      <c r="J33" s="4"/>
      <c r="K33" s="4"/>
      <c r="L33" s="5">
        <f>49278.06</f>
        <v>49278.06</v>
      </c>
      <c r="M33" s="5">
        <f>644454.93</f>
        <v>644454.93000000005</v>
      </c>
      <c r="N33" s="4"/>
      <c r="O33" s="5">
        <f>28634.28</f>
        <v>28634.28</v>
      </c>
      <c r="P33" s="4"/>
      <c r="Q33" s="4"/>
      <c r="R33" s="4"/>
      <c r="S33" s="5">
        <f>79567.56</f>
        <v>79567.56</v>
      </c>
      <c r="T33" s="5">
        <f>82777.5</f>
        <v>82777.5</v>
      </c>
      <c r="U33" s="4"/>
      <c r="V33" s="4"/>
      <c r="W33" s="5">
        <f>417891.66</f>
        <v>417891.66</v>
      </c>
      <c r="X33" s="5">
        <f>30837.12</f>
        <v>30837.119999999999</v>
      </c>
      <c r="Y33" s="4"/>
      <c r="Z33" s="4"/>
      <c r="AA33" s="4"/>
      <c r="AB33" s="4"/>
      <c r="AC33" s="5">
        <f>296576.46</f>
        <v>296576.46000000002</v>
      </c>
      <c r="AD33" s="4"/>
      <c r="AE33" s="5">
        <f>425166.1</f>
        <v>425166.1</v>
      </c>
      <c r="AF33" s="5">
        <f>46261.26</f>
        <v>46261.26</v>
      </c>
      <c r="AG33" s="4"/>
      <c r="AH33" s="5">
        <f t="shared" si="6"/>
        <v>3338117.43</v>
      </c>
    </row>
    <row r="34" spans="1:34" x14ac:dyDescent="0.25">
      <c r="A34" s="3" t="s">
        <v>61</v>
      </c>
      <c r="B34" s="5">
        <f>260091.42</f>
        <v>260091.42</v>
      </c>
      <c r="C34" s="4"/>
      <c r="D34" s="4"/>
      <c r="E34" s="4"/>
      <c r="F34" s="5">
        <f>242780.34</f>
        <v>242780.34</v>
      </c>
      <c r="G34" s="4"/>
      <c r="H34" s="4"/>
      <c r="I34" s="5">
        <f>71008.2</f>
        <v>71008.2</v>
      </c>
      <c r="J34" s="4"/>
      <c r="K34" s="4"/>
      <c r="L34" s="4"/>
      <c r="M34" s="5">
        <f>35805.42</f>
        <v>35805.42</v>
      </c>
      <c r="N34" s="4"/>
      <c r="O34" s="4"/>
      <c r="P34" s="4"/>
      <c r="Q34" s="5">
        <f>354210.54</f>
        <v>354210.54</v>
      </c>
      <c r="R34" s="5">
        <f>194396.14</f>
        <v>194396.14</v>
      </c>
      <c r="S34" s="4"/>
      <c r="T34" s="4"/>
      <c r="U34" s="4"/>
      <c r="V34" s="4"/>
      <c r="W34" s="5">
        <f>53467.02</f>
        <v>53467.02</v>
      </c>
      <c r="X34" s="4"/>
      <c r="Y34" s="4"/>
      <c r="Z34" s="5">
        <f>12918.56</f>
        <v>12918.56</v>
      </c>
      <c r="AA34" s="4"/>
      <c r="AB34" s="4"/>
      <c r="AC34" s="5">
        <f>46256.22</f>
        <v>46256.22</v>
      </c>
      <c r="AD34" s="5">
        <f>0</f>
        <v>0</v>
      </c>
      <c r="AE34" s="5">
        <f>45969.53</f>
        <v>45969.53</v>
      </c>
      <c r="AF34" s="4"/>
      <c r="AG34" s="5">
        <f>0</f>
        <v>0</v>
      </c>
      <c r="AH34" s="5">
        <f t="shared" si="6"/>
        <v>1316903.3900000001</v>
      </c>
    </row>
    <row r="35" spans="1:34" x14ac:dyDescent="0.25">
      <c r="A35" s="3" t="s">
        <v>62</v>
      </c>
      <c r="B35" s="6">
        <f t="shared" ref="B35:AG35" si="7">((B32)+(B33))+(B34)</f>
        <v>685777.94000000006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1053766.32</v>
      </c>
      <c r="G35" s="6">
        <f t="shared" si="7"/>
        <v>0</v>
      </c>
      <c r="H35" s="6">
        <f t="shared" si="7"/>
        <v>0</v>
      </c>
      <c r="I35" s="6">
        <f t="shared" si="7"/>
        <v>71008.2</v>
      </c>
      <c r="J35" s="6">
        <f t="shared" si="7"/>
        <v>0</v>
      </c>
      <c r="K35" s="6">
        <f t="shared" si="7"/>
        <v>0</v>
      </c>
      <c r="L35" s="6">
        <f t="shared" si="7"/>
        <v>49278.06</v>
      </c>
      <c r="M35" s="6">
        <f t="shared" si="7"/>
        <v>680260.35000000009</v>
      </c>
      <c r="N35" s="6">
        <f t="shared" si="7"/>
        <v>0</v>
      </c>
      <c r="O35" s="6">
        <f t="shared" si="7"/>
        <v>28634.28</v>
      </c>
      <c r="P35" s="6">
        <f t="shared" si="7"/>
        <v>0</v>
      </c>
      <c r="Q35" s="6">
        <f t="shared" si="7"/>
        <v>354210.54</v>
      </c>
      <c r="R35" s="6">
        <f t="shared" si="7"/>
        <v>194396.14</v>
      </c>
      <c r="S35" s="6">
        <f t="shared" si="7"/>
        <v>79567.56</v>
      </c>
      <c r="T35" s="6">
        <f t="shared" si="7"/>
        <v>82777.5</v>
      </c>
      <c r="U35" s="6">
        <f t="shared" si="7"/>
        <v>0</v>
      </c>
      <c r="V35" s="6">
        <f t="shared" si="7"/>
        <v>0</v>
      </c>
      <c r="W35" s="6">
        <f t="shared" si="7"/>
        <v>471358.68</v>
      </c>
      <c r="X35" s="6">
        <f t="shared" si="7"/>
        <v>30837.119999999999</v>
      </c>
      <c r="Y35" s="6">
        <f t="shared" si="7"/>
        <v>0</v>
      </c>
      <c r="Z35" s="6">
        <f t="shared" si="7"/>
        <v>12918.56</v>
      </c>
      <c r="AA35" s="6">
        <f t="shared" si="7"/>
        <v>0</v>
      </c>
      <c r="AB35" s="6">
        <f t="shared" si="7"/>
        <v>0</v>
      </c>
      <c r="AC35" s="6">
        <f t="shared" si="7"/>
        <v>342832.68000000005</v>
      </c>
      <c r="AD35" s="6">
        <f t="shared" si="7"/>
        <v>0</v>
      </c>
      <c r="AE35" s="6">
        <f t="shared" si="7"/>
        <v>471135.63</v>
      </c>
      <c r="AF35" s="6">
        <f t="shared" si="7"/>
        <v>46261.26</v>
      </c>
      <c r="AG35" s="6">
        <f t="shared" si="7"/>
        <v>0</v>
      </c>
      <c r="AH35" s="6">
        <f t="shared" si="6"/>
        <v>4655020.82</v>
      </c>
    </row>
    <row r="36" spans="1:34" x14ac:dyDescent="0.25">
      <c r="A36" s="3" t="s">
        <v>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>
        <f t="shared" si="6"/>
        <v>0</v>
      </c>
    </row>
    <row r="37" spans="1:34" x14ac:dyDescent="0.25">
      <c r="A37" s="3" t="s">
        <v>64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>
        <f>3.57</f>
        <v>3.57</v>
      </c>
      <c r="P37" s="4"/>
      <c r="Q37" s="5">
        <f>0</f>
        <v>0</v>
      </c>
      <c r="R37" s="5">
        <f>0</f>
        <v>0</v>
      </c>
      <c r="S37" s="5">
        <f>11.25</f>
        <v>11.25</v>
      </c>
      <c r="T37" s="4"/>
      <c r="U37" s="4"/>
      <c r="V37" s="4"/>
      <c r="W37" s="5">
        <f>62.79</f>
        <v>62.79</v>
      </c>
      <c r="X37" s="5">
        <f>3.53</f>
        <v>3.53</v>
      </c>
      <c r="Y37" s="4"/>
      <c r="Z37" s="4"/>
      <c r="AA37" s="4"/>
      <c r="AB37" s="4"/>
      <c r="AC37" s="5">
        <f>47.88</f>
        <v>47.88</v>
      </c>
      <c r="AD37" s="5">
        <f>0</f>
        <v>0</v>
      </c>
      <c r="AE37" s="5">
        <f>65.05</f>
        <v>65.05</v>
      </c>
      <c r="AF37" s="5">
        <f>9</f>
        <v>9</v>
      </c>
      <c r="AG37" s="5">
        <f>0</f>
        <v>0</v>
      </c>
      <c r="AH37" s="5">
        <f t="shared" si="6"/>
        <v>203.07</v>
      </c>
    </row>
    <row r="38" spans="1:34" x14ac:dyDescent="0.25">
      <c r="A38" s="3" t="s">
        <v>65</v>
      </c>
      <c r="B38" s="5">
        <f>3030</f>
        <v>3030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>
        <f t="shared" si="6"/>
        <v>3030</v>
      </c>
    </row>
    <row r="39" spans="1:34" x14ac:dyDescent="0.25">
      <c r="A39" s="3" t="s">
        <v>66</v>
      </c>
      <c r="B39" s="5">
        <f>15518.15</f>
        <v>15518.15</v>
      </c>
      <c r="C39" s="4"/>
      <c r="D39" s="4"/>
      <c r="E39" s="4"/>
      <c r="F39" s="5">
        <f>14224.26</f>
        <v>14224.26</v>
      </c>
      <c r="G39" s="4"/>
      <c r="H39" s="4"/>
      <c r="I39" s="5">
        <f>4231.75</f>
        <v>4231.75</v>
      </c>
      <c r="J39" s="4"/>
      <c r="K39" s="4"/>
      <c r="L39" s="4"/>
      <c r="M39" s="5">
        <f>2136.96</f>
        <v>2136.96</v>
      </c>
      <c r="N39" s="4"/>
      <c r="O39" s="4"/>
      <c r="P39" s="4"/>
      <c r="Q39" s="5">
        <f>21308.55</f>
        <v>21308.55</v>
      </c>
      <c r="R39" s="5">
        <f>11465.04</f>
        <v>11465.04</v>
      </c>
      <c r="S39" s="4"/>
      <c r="T39" s="4"/>
      <c r="U39" s="4"/>
      <c r="V39" s="4"/>
      <c r="W39" s="5">
        <f>3236.24</f>
        <v>3236.24</v>
      </c>
      <c r="X39" s="4"/>
      <c r="Y39" s="4"/>
      <c r="Z39" s="4"/>
      <c r="AA39" s="4"/>
      <c r="AB39" s="4"/>
      <c r="AC39" s="5">
        <f>2450.03</f>
        <v>2450.0300000000002</v>
      </c>
      <c r="AD39" s="5">
        <f>0</f>
        <v>0</v>
      </c>
      <c r="AE39" s="5">
        <f>2712.13</f>
        <v>2712.13</v>
      </c>
      <c r="AF39" s="4"/>
      <c r="AG39" s="5">
        <f>0</f>
        <v>0</v>
      </c>
      <c r="AH39" s="5">
        <f t="shared" si="6"/>
        <v>77283.11</v>
      </c>
    </row>
    <row r="40" spans="1:34" x14ac:dyDescent="0.25">
      <c r="A40" s="3" t="s">
        <v>67</v>
      </c>
      <c r="B40" s="5">
        <f>9826.82</f>
        <v>9826.82</v>
      </c>
      <c r="C40" s="4"/>
      <c r="D40" s="4"/>
      <c r="E40" s="4"/>
      <c r="F40" s="5">
        <f>14644.64</f>
        <v>14644.64</v>
      </c>
      <c r="G40" s="4"/>
      <c r="H40" s="4"/>
      <c r="I40" s="5">
        <f>989.69</f>
        <v>989.69</v>
      </c>
      <c r="J40" s="4"/>
      <c r="K40" s="4"/>
      <c r="L40" s="5">
        <f>703.2</f>
        <v>703.2</v>
      </c>
      <c r="M40" s="5">
        <f>9413.3</f>
        <v>9413.2999999999993</v>
      </c>
      <c r="N40" s="4"/>
      <c r="O40" s="5">
        <f>388.02</f>
        <v>388.02</v>
      </c>
      <c r="P40" s="4"/>
      <c r="Q40" s="5">
        <f>4983.47</f>
        <v>4983.47</v>
      </c>
      <c r="R40" s="5">
        <f>2681.31</f>
        <v>2681.31</v>
      </c>
      <c r="S40" s="5">
        <f>1118.1</f>
        <v>1118.0999999999999</v>
      </c>
      <c r="T40" s="5">
        <f>1166.04</f>
        <v>1166.04</v>
      </c>
      <c r="U40" s="4"/>
      <c r="V40" s="4"/>
      <c r="W40" s="5">
        <f>6546.16</f>
        <v>6546.16</v>
      </c>
      <c r="X40" s="5">
        <f>423.2</f>
        <v>423.2</v>
      </c>
      <c r="Y40" s="4"/>
      <c r="Z40" s="5">
        <f>181.98</f>
        <v>181.98</v>
      </c>
      <c r="AA40" s="4"/>
      <c r="AB40" s="4"/>
      <c r="AC40" s="5">
        <f>4701.88</f>
        <v>4701.88</v>
      </c>
      <c r="AD40" s="5">
        <f>0</f>
        <v>0</v>
      </c>
      <c r="AE40" s="5">
        <f>6557.4</f>
        <v>6557.4</v>
      </c>
      <c r="AF40" s="5">
        <f>655.2</f>
        <v>655.20000000000005</v>
      </c>
      <c r="AG40" s="5">
        <f>0</f>
        <v>0</v>
      </c>
      <c r="AH40" s="5">
        <f t="shared" si="6"/>
        <v>64980.409999999982</v>
      </c>
    </row>
    <row r="41" spans="1:34" x14ac:dyDescent="0.25">
      <c r="A41" s="3" t="s">
        <v>68</v>
      </c>
      <c r="B41" s="5">
        <f>13216.36</f>
        <v>13216.36</v>
      </c>
      <c r="C41" s="4"/>
      <c r="D41" s="4"/>
      <c r="E41" s="4"/>
      <c r="F41" s="5">
        <f>24329.73</f>
        <v>24329.73</v>
      </c>
      <c r="G41" s="4"/>
      <c r="H41" s="4"/>
      <c r="I41" s="4"/>
      <c r="J41" s="4"/>
      <c r="K41" s="4"/>
      <c r="L41" s="5">
        <f>1478.34</f>
        <v>1478.34</v>
      </c>
      <c r="M41" s="5">
        <f>19333.04</f>
        <v>19333.04</v>
      </c>
      <c r="N41" s="4"/>
      <c r="O41" s="5">
        <f>4620.23</f>
        <v>4620.2299999999996</v>
      </c>
      <c r="P41" s="4"/>
      <c r="Q41" s="4"/>
      <c r="R41" s="4"/>
      <c r="S41" s="5">
        <f>12814.38</f>
        <v>12814.38</v>
      </c>
      <c r="T41" s="5">
        <f>2483.28</f>
        <v>2483.2800000000002</v>
      </c>
      <c r="U41" s="4"/>
      <c r="V41" s="4"/>
      <c r="W41" s="5">
        <f>67708.8</f>
        <v>67708.800000000003</v>
      </c>
      <c r="X41" s="5">
        <f>5023.1</f>
        <v>5023.1000000000004</v>
      </c>
      <c r="Y41" s="4"/>
      <c r="Z41" s="5">
        <f>387.6</f>
        <v>387.6</v>
      </c>
      <c r="AA41" s="4"/>
      <c r="AB41" s="4"/>
      <c r="AC41" s="5">
        <f>48640.7</f>
        <v>48640.7</v>
      </c>
      <c r="AD41" s="4"/>
      <c r="AE41" s="5">
        <f>68545.5</f>
        <v>68545.5</v>
      </c>
      <c r="AF41" s="5">
        <f>6360.84</f>
        <v>6360.84</v>
      </c>
      <c r="AG41" s="4"/>
      <c r="AH41" s="5">
        <f t="shared" si="6"/>
        <v>274941.90000000002</v>
      </c>
    </row>
    <row r="42" spans="1:34" x14ac:dyDescent="0.25">
      <c r="A42" s="3" t="s">
        <v>69</v>
      </c>
      <c r="B42" s="5">
        <f>48406.22</f>
        <v>48406.22</v>
      </c>
      <c r="C42" s="4"/>
      <c r="D42" s="4"/>
      <c r="E42" s="4"/>
      <c r="F42" s="5">
        <f>45115.53</f>
        <v>45115.53</v>
      </c>
      <c r="G42" s="4"/>
      <c r="H42" s="4"/>
      <c r="I42" s="5">
        <f>13221.72</f>
        <v>13221.72</v>
      </c>
      <c r="J42" s="4"/>
      <c r="K42" s="4"/>
      <c r="L42" s="4"/>
      <c r="M42" s="5">
        <f>6667.02</f>
        <v>6667.02</v>
      </c>
      <c r="N42" s="4"/>
      <c r="O42" s="4"/>
      <c r="P42" s="4"/>
      <c r="Q42" s="5">
        <f>64310.2</f>
        <v>64310.2</v>
      </c>
      <c r="R42" s="5">
        <f>36196.43</f>
        <v>36196.43</v>
      </c>
      <c r="S42" s="4"/>
      <c r="T42" s="4"/>
      <c r="U42" s="4"/>
      <c r="V42" s="4"/>
      <c r="W42" s="5">
        <f>6511.14</f>
        <v>6511.14</v>
      </c>
      <c r="X42" s="4"/>
      <c r="Y42" s="4"/>
      <c r="Z42" s="4"/>
      <c r="AA42" s="4"/>
      <c r="AB42" s="4"/>
      <c r="AC42" s="5">
        <f>8612.82</f>
        <v>8612.82</v>
      </c>
      <c r="AD42" s="5">
        <f>0</f>
        <v>0</v>
      </c>
      <c r="AE42" s="5">
        <f>8582.4</f>
        <v>8582.4</v>
      </c>
      <c r="AF42" s="4"/>
      <c r="AG42" s="5">
        <f>0</f>
        <v>0</v>
      </c>
      <c r="AH42" s="5">
        <f t="shared" si="6"/>
        <v>237623.48</v>
      </c>
    </row>
    <row r="43" spans="1:34" x14ac:dyDescent="0.25">
      <c r="A43" s="3" t="s">
        <v>70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>
        <f>5633.61</f>
        <v>5633.61</v>
      </c>
      <c r="P43" s="4"/>
      <c r="Q43" s="5">
        <f>7708.82</f>
        <v>7708.82</v>
      </c>
      <c r="R43" s="5">
        <f>0</f>
        <v>0</v>
      </c>
      <c r="S43" s="5">
        <f>13198.32</f>
        <v>13198.32</v>
      </c>
      <c r="T43" s="4"/>
      <c r="U43" s="4"/>
      <c r="V43" s="4"/>
      <c r="W43" s="5">
        <f>72095.88</f>
        <v>72095.88</v>
      </c>
      <c r="X43" s="5">
        <f>3646.75</f>
        <v>3646.75</v>
      </c>
      <c r="Y43" s="4"/>
      <c r="Z43" s="4"/>
      <c r="AA43" s="4"/>
      <c r="AB43" s="4"/>
      <c r="AC43" s="5">
        <f>55847.43</f>
        <v>55847.43</v>
      </c>
      <c r="AD43" s="5">
        <f>0</f>
        <v>0</v>
      </c>
      <c r="AE43" s="5">
        <f>58427.16</f>
        <v>58427.16</v>
      </c>
      <c r="AF43" s="5">
        <f>7775.7</f>
        <v>7775.7</v>
      </c>
      <c r="AG43" s="5">
        <f>0</f>
        <v>0</v>
      </c>
      <c r="AH43" s="5">
        <f t="shared" si="6"/>
        <v>224333.67</v>
      </c>
    </row>
    <row r="44" spans="1:34" x14ac:dyDescent="0.25">
      <c r="A44" s="3" t="s">
        <v>71</v>
      </c>
      <c r="B44" s="5">
        <f>-4781.48</f>
        <v>-4781.4799999999996</v>
      </c>
      <c r="C44" s="4"/>
      <c r="D44" s="4"/>
      <c r="E44" s="4"/>
      <c r="F44" s="5">
        <f>2127.81</f>
        <v>2127.81</v>
      </c>
      <c r="G44" s="4"/>
      <c r="H44" s="4"/>
      <c r="I44" s="5">
        <f>60</f>
        <v>60</v>
      </c>
      <c r="J44" s="4"/>
      <c r="K44" s="4"/>
      <c r="L44" s="5">
        <f>60</f>
        <v>60</v>
      </c>
      <c r="M44" s="5">
        <f>780</f>
        <v>780</v>
      </c>
      <c r="N44" s="4"/>
      <c r="O44" s="4"/>
      <c r="P44" s="4"/>
      <c r="Q44" s="5">
        <f>480</f>
        <v>480</v>
      </c>
      <c r="R44" s="5">
        <f>300</f>
        <v>300</v>
      </c>
      <c r="S44" s="5">
        <f>120</f>
        <v>120</v>
      </c>
      <c r="T44" s="5">
        <f>60</f>
        <v>60</v>
      </c>
      <c r="U44" s="4"/>
      <c r="V44" s="4"/>
      <c r="W44" s="5">
        <f>480</f>
        <v>480</v>
      </c>
      <c r="X44" s="4"/>
      <c r="Y44" s="4"/>
      <c r="Z44" s="4"/>
      <c r="AA44" s="4"/>
      <c r="AB44" s="4"/>
      <c r="AC44" s="5">
        <f>360</f>
        <v>360</v>
      </c>
      <c r="AD44" s="4"/>
      <c r="AE44" s="5">
        <f>480</f>
        <v>480</v>
      </c>
      <c r="AF44" s="5">
        <f>60</f>
        <v>60</v>
      </c>
      <c r="AG44" s="4"/>
      <c r="AH44" s="5">
        <f t="shared" si="6"/>
        <v>586.33000000000038</v>
      </c>
    </row>
    <row r="45" spans="1:34" x14ac:dyDescent="0.25">
      <c r="A45" s="3" t="s">
        <v>72</v>
      </c>
      <c r="B45" s="5">
        <f>9847.47</f>
        <v>9847.4699999999993</v>
      </c>
      <c r="C45" s="4"/>
      <c r="D45" s="4"/>
      <c r="E45" s="4"/>
      <c r="F45" s="5">
        <f>16450</f>
        <v>16450</v>
      </c>
      <c r="G45" s="4"/>
      <c r="H45" s="4"/>
      <c r="I45" s="5">
        <f>1002</f>
        <v>1002</v>
      </c>
      <c r="J45" s="4"/>
      <c r="K45" s="4"/>
      <c r="L45" s="5">
        <f>695</f>
        <v>695</v>
      </c>
      <c r="M45" s="5">
        <f>9570</f>
        <v>9570</v>
      </c>
      <c r="N45" s="4"/>
      <c r="O45" s="4"/>
      <c r="P45" s="4"/>
      <c r="Q45" s="5">
        <f>4855</f>
        <v>4855</v>
      </c>
      <c r="R45" s="5">
        <f>2719</f>
        <v>2719</v>
      </c>
      <c r="S45" s="5">
        <f>1133</f>
        <v>1133</v>
      </c>
      <c r="T45" s="5">
        <f>1167</f>
        <v>1167</v>
      </c>
      <c r="U45" s="4"/>
      <c r="V45" s="4"/>
      <c r="W45" s="5">
        <f>6504</f>
        <v>6504</v>
      </c>
      <c r="X45" s="4"/>
      <c r="Y45" s="4"/>
      <c r="Z45" s="5">
        <f>239</f>
        <v>239</v>
      </c>
      <c r="AA45" s="4"/>
      <c r="AB45" s="4"/>
      <c r="AC45" s="5">
        <f>4835</f>
        <v>4835</v>
      </c>
      <c r="AD45" s="4"/>
      <c r="AE45" s="5">
        <f>6472</f>
        <v>6472</v>
      </c>
      <c r="AF45" s="5">
        <f>652</f>
        <v>652</v>
      </c>
      <c r="AG45" s="4"/>
      <c r="AH45" s="5">
        <f t="shared" si="6"/>
        <v>66140.47</v>
      </c>
    </row>
    <row r="46" spans="1:34" x14ac:dyDescent="0.25">
      <c r="A46" s="3" t="s">
        <v>73</v>
      </c>
      <c r="B46" s="4"/>
      <c r="C46" s="4"/>
      <c r="D46" s="4"/>
      <c r="E46" s="4"/>
      <c r="F46" s="5">
        <f>10537.66</f>
        <v>10537.66</v>
      </c>
      <c r="G46" s="4"/>
      <c r="H46" s="4"/>
      <c r="I46" s="5">
        <f>1420.2</f>
        <v>1420.2</v>
      </c>
      <c r="J46" s="4"/>
      <c r="K46" s="4"/>
      <c r="L46" s="5">
        <f>492.75</f>
        <v>492.75</v>
      </c>
      <c r="M46" s="5">
        <f>13525.67</f>
        <v>13525.67</v>
      </c>
      <c r="N46" s="4"/>
      <c r="O46" s="5">
        <f>572.7</f>
        <v>572.70000000000005</v>
      </c>
      <c r="P46" s="4"/>
      <c r="Q46" s="4"/>
      <c r="R46" s="5">
        <f>3886.25</f>
        <v>3886.25</v>
      </c>
      <c r="S46" s="5">
        <f>1591.43</f>
        <v>1591.43</v>
      </c>
      <c r="T46" s="4"/>
      <c r="U46" s="4"/>
      <c r="V46" s="4"/>
      <c r="W46" s="4"/>
      <c r="X46" s="5">
        <f>730.32</f>
        <v>730.32</v>
      </c>
      <c r="Y46" s="4"/>
      <c r="Z46" s="5">
        <f>258.34</f>
        <v>258.33999999999997</v>
      </c>
      <c r="AA46" s="4"/>
      <c r="AB46" s="4"/>
      <c r="AC46" s="5">
        <f>6856.65</f>
        <v>6856.65</v>
      </c>
      <c r="AD46" s="4"/>
      <c r="AE46" s="5">
        <f>9426.9</f>
        <v>9426.9</v>
      </c>
      <c r="AF46" s="4"/>
      <c r="AG46" s="5">
        <f>0</f>
        <v>0</v>
      </c>
      <c r="AH46" s="5">
        <f t="shared" si="6"/>
        <v>49298.87</v>
      </c>
    </row>
    <row r="47" spans="1:34" x14ac:dyDescent="0.25">
      <c r="A47" s="3" t="s">
        <v>74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>
        <f>28.56</f>
        <v>28.56</v>
      </c>
      <c r="P47" s="4"/>
      <c r="Q47" s="5">
        <f>0</f>
        <v>0</v>
      </c>
      <c r="R47" s="5">
        <f>0</f>
        <v>0</v>
      </c>
      <c r="S47" s="5">
        <f>90</f>
        <v>90</v>
      </c>
      <c r="T47" s="4"/>
      <c r="U47" s="4"/>
      <c r="V47" s="4"/>
      <c r="W47" s="5">
        <f>502.32</f>
        <v>502.32</v>
      </c>
      <c r="X47" s="5">
        <f>28.24</f>
        <v>28.24</v>
      </c>
      <c r="Y47" s="4"/>
      <c r="Z47" s="4"/>
      <c r="AA47" s="4"/>
      <c r="AB47" s="4"/>
      <c r="AC47" s="5">
        <f>383.04</f>
        <v>383.04</v>
      </c>
      <c r="AD47" s="5">
        <f>0</f>
        <v>0</v>
      </c>
      <c r="AE47" s="5">
        <f>520.4</f>
        <v>520.4</v>
      </c>
      <c r="AF47" s="5">
        <f>72</f>
        <v>72</v>
      </c>
      <c r="AG47" s="5">
        <f>0</f>
        <v>0</v>
      </c>
      <c r="AH47" s="5">
        <f t="shared" si="6"/>
        <v>1624.56</v>
      </c>
    </row>
    <row r="48" spans="1:34" x14ac:dyDescent="0.25">
      <c r="A48" s="3" t="s">
        <v>75</v>
      </c>
      <c r="B48" s="6">
        <f t="shared" ref="B48:AG48" si="8">(((((((((((B36)+(B37))+(B38))+(B39))+(B40))+(B41))+(B42))+(B43))+(B44))+(B45))+(B46))+(B47)</f>
        <v>95063.540000000008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127429.63</v>
      </c>
      <c r="G48" s="6">
        <f t="shared" si="8"/>
        <v>0</v>
      </c>
      <c r="H48" s="6">
        <f t="shared" si="8"/>
        <v>0</v>
      </c>
      <c r="I48" s="6">
        <f t="shared" si="8"/>
        <v>20925.36</v>
      </c>
      <c r="J48" s="6">
        <f t="shared" si="8"/>
        <v>0</v>
      </c>
      <c r="K48" s="6">
        <f t="shared" si="8"/>
        <v>0</v>
      </c>
      <c r="L48" s="6">
        <f t="shared" si="8"/>
        <v>3429.29</v>
      </c>
      <c r="M48" s="6">
        <f t="shared" si="8"/>
        <v>61425.99</v>
      </c>
      <c r="N48" s="6">
        <f t="shared" si="8"/>
        <v>0</v>
      </c>
      <c r="O48" s="6">
        <f t="shared" si="8"/>
        <v>11246.69</v>
      </c>
      <c r="P48" s="6">
        <f t="shared" si="8"/>
        <v>0</v>
      </c>
      <c r="Q48" s="6">
        <f t="shared" si="8"/>
        <v>103646.04000000001</v>
      </c>
      <c r="R48" s="6">
        <f t="shared" si="8"/>
        <v>57248.03</v>
      </c>
      <c r="S48" s="6">
        <f t="shared" si="8"/>
        <v>30076.48</v>
      </c>
      <c r="T48" s="6">
        <f t="shared" si="8"/>
        <v>4876.32</v>
      </c>
      <c r="U48" s="6">
        <f t="shared" si="8"/>
        <v>0</v>
      </c>
      <c r="V48" s="6">
        <f t="shared" si="8"/>
        <v>0</v>
      </c>
      <c r="W48" s="6">
        <f t="shared" si="8"/>
        <v>163647.33000000002</v>
      </c>
      <c r="X48" s="6">
        <f t="shared" si="8"/>
        <v>9855.14</v>
      </c>
      <c r="Y48" s="6">
        <f t="shared" si="8"/>
        <v>0</v>
      </c>
      <c r="Z48" s="6">
        <f t="shared" si="8"/>
        <v>1066.92</v>
      </c>
      <c r="AA48" s="6">
        <f t="shared" si="8"/>
        <v>0</v>
      </c>
      <c r="AB48" s="6">
        <f t="shared" si="8"/>
        <v>0</v>
      </c>
      <c r="AC48" s="6">
        <f t="shared" si="8"/>
        <v>132735.43</v>
      </c>
      <c r="AD48" s="6">
        <f t="shared" si="8"/>
        <v>0</v>
      </c>
      <c r="AE48" s="6">
        <f t="shared" si="8"/>
        <v>161788.94</v>
      </c>
      <c r="AF48" s="6">
        <f t="shared" si="8"/>
        <v>15584.74</v>
      </c>
      <c r="AG48" s="6">
        <f t="shared" si="8"/>
        <v>0</v>
      </c>
      <c r="AH48" s="6">
        <f t="shared" si="6"/>
        <v>1000045.8700000001</v>
      </c>
    </row>
    <row r="49" spans="1:34" x14ac:dyDescent="0.25">
      <c r="A49" s="3" t="s">
        <v>76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5">
        <f t="shared" si="6"/>
        <v>0</v>
      </c>
    </row>
    <row r="50" spans="1:34" x14ac:dyDescent="0.25">
      <c r="A50" s="3" t="s">
        <v>77</v>
      </c>
      <c r="B50" s="5">
        <f>7345.85</f>
        <v>7345.85</v>
      </c>
      <c r="C50" s="4"/>
      <c r="D50" s="4"/>
      <c r="E50" s="4"/>
      <c r="F50" s="5">
        <f>13975.3</f>
        <v>13975.3</v>
      </c>
      <c r="G50" s="4"/>
      <c r="H50" s="4"/>
      <c r="I50" s="4"/>
      <c r="J50" s="5">
        <f>500</f>
        <v>500</v>
      </c>
      <c r="K50" s="5">
        <f>347.77</f>
        <v>347.77</v>
      </c>
      <c r="L50" s="4"/>
      <c r="M50" s="5">
        <f>64</f>
        <v>64</v>
      </c>
      <c r="N50" s="4"/>
      <c r="O50" s="4"/>
      <c r="P50" s="4"/>
      <c r="Q50" s="5">
        <f>74</f>
        <v>74</v>
      </c>
      <c r="R50" s="5">
        <f>0</f>
        <v>0</v>
      </c>
      <c r="S50" s="4"/>
      <c r="T50" s="4"/>
      <c r="U50" s="4"/>
      <c r="V50" s="4"/>
      <c r="W50" s="5">
        <f>125</f>
        <v>125</v>
      </c>
      <c r="X50" s="4"/>
      <c r="Y50" s="4"/>
      <c r="Z50" s="4"/>
      <c r="AA50" s="4"/>
      <c r="AB50" s="4"/>
      <c r="AC50" s="4"/>
      <c r="AD50" s="4"/>
      <c r="AE50" s="5">
        <f>3421</f>
        <v>3421</v>
      </c>
      <c r="AF50" s="4"/>
      <c r="AG50" s="4"/>
      <c r="AH50" s="5">
        <f t="shared" si="6"/>
        <v>25852.920000000002</v>
      </c>
    </row>
    <row r="51" spans="1:34" x14ac:dyDescent="0.25">
      <c r="A51" s="3" t="s">
        <v>78</v>
      </c>
      <c r="B51" s="5">
        <f>29200</f>
        <v>29200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5">
        <f t="shared" si="6"/>
        <v>29200</v>
      </c>
    </row>
    <row r="52" spans="1:34" x14ac:dyDescent="0.25">
      <c r="A52" s="3" t="s">
        <v>79</v>
      </c>
      <c r="B52" s="5">
        <f>8935.84</f>
        <v>8935.84</v>
      </c>
      <c r="C52" s="4"/>
      <c r="D52" s="4"/>
      <c r="E52" s="4"/>
      <c r="F52" s="5">
        <f>6971.77</f>
        <v>6971.77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>
        <f t="shared" si="6"/>
        <v>15907.61</v>
      </c>
    </row>
    <row r="53" spans="1:34" x14ac:dyDescent="0.25">
      <c r="A53" s="3" t="s">
        <v>80</v>
      </c>
      <c r="B53" s="5">
        <f>10101.43</f>
        <v>10101.43</v>
      </c>
      <c r="C53" s="4"/>
      <c r="D53" s="4"/>
      <c r="E53" s="4"/>
      <c r="F53" s="5">
        <f>9841.59</f>
        <v>9841.59</v>
      </c>
      <c r="G53" s="4"/>
      <c r="H53" s="4"/>
      <c r="I53" s="4"/>
      <c r="J53" s="5">
        <f>16425.17</f>
        <v>16425.169999999998</v>
      </c>
      <c r="K53" s="4"/>
      <c r="L53" s="5">
        <f>174.24</f>
        <v>174.24</v>
      </c>
      <c r="M53" s="4"/>
      <c r="N53" s="4"/>
      <c r="O53" s="5">
        <f>5858.08</f>
        <v>5858.08</v>
      </c>
      <c r="P53" s="4"/>
      <c r="Q53" s="4"/>
      <c r="R53" s="4"/>
      <c r="S53" s="4"/>
      <c r="T53" s="4"/>
      <c r="U53" s="4"/>
      <c r="V53" s="5">
        <f>2294.86</f>
        <v>2294.86</v>
      </c>
      <c r="W53" s="5">
        <f>7194.29</f>
        <v>7194.29</v>
      </c>
      <c r="X53" s="5">
        <f>77.44</f>
        <v>77.44</v>
      </c>
      <c r="Y53" s="4"/>
      <c r="Z53" s="4"/>
      <c r="AA53" s="4"/>
      <c r="AB53" s="4"/>
      <c r="AC53" s="5">
        <f>696.96</f>
        <v>696.96</v>
      </c>
      <c r="AD53" s="4"/>
      <c r="AE53" s="5">
        <f>1335.81</f>
        <v>1335.81</v>
      </c>
      <c r="AF53" s="4"/>
      <c r="AG53" s="4"/>
      <c r="AH53" s="5">
        <f t="shared" si="6"/>
        <v>53999.87</v>
      </c>
    </row>
    <row r="54" spans="1:34" x14ac:dyDescent="0.25">
      <c r="A54" s="3" t="s">
        <v>81</v>
      </c>
      <c r="B54" s="6">
        <f t="shared" ref="B54:AG54" si="9">((((B49)+(B50))+(B51))+(B52))+(B53)</f>
        <v>55583.12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30788.66</v>
      </c>
      <c r="G54" s="6">
        <f t="shared" si="9"/>
        <v>0</v>
      </c>
      <c r="H54" s="6">
        <f t="shared" si="9"/>
        <v>0</v>
      </c>
      <c r="I54" s="6">
        <f t="shared" si="9"/>
        <v>0</v>
      </c>
      <c r="J54" s="6">
        <f t="shared" si="9"/>
        <v>16925.169999999998</v>
      </c>
      <c r="K54" s="6">
        <f t="shared" si="9"/>
        <v>347.77</v>
      </c>
      <c r="L54" s="6">
        <f t="shared" si="9"/>
        <v>174.24</v>
      </c>
      <c r="M54" s="6">
        <f t="shared" si="9"/>
        <v>64</v>
      </c>
      <c r="N54" s="6">
        <f t="shared" si="9"/>
        <v>0</v>
      </c>
      <c r="O54" s="6">
        <f t="shared" si="9"/>
        <v>5858.08</v>
      </c>
      <c r="P54" s="6">
        <f t="shared" si="9"/>
        <v>0</v>
      </c>
      <c r="Q54" s="6">
        <f t="shared" si="9"/>
        <v>74</v>
      </c>
      <c r="R54" s="6">
        <f t="shared" si="9"/>
        <v>0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2294.86</v>
      </c>
      <c r="W54" s="6">
        <f t="shared" si="9"/>
        <v>7319.29</v>
      </c>
      <c r="X54" s="6">
        <f t="shared" si="9"/>
        <v>77.44</v>
      </c>
      <c r="Y54" s="6">
        <f t="shared" si="9"/>
        <v>0</v>
      </c>
      <c r="Z54" s="6">
        <f t="shared" si="9"/>
        <v>0</v>
      </c>
      <c r="AA54" s="6">
        <f t="shared" si="9"/>
        <v>0</v>
      </c>
      <c r="AB54" s="6">
        <f t="shared" si="9"/>
        <v>0</v>
      </c>
      <c r="AC54" s="6">
        <f t="shared" si="9"/>
        <v>696.96</v>
      </c>
      <c r="AD54" s="6">
        <f t="shared" si="9"/>
        <v>0</v>
      </c>
      <c r="AE54" s="6">
        <f t="shared" si="9"/>
        <v>4756.8099999999995</v>
      </c>
      <c r="AF54" s="6">
        <f t="shared" si="9"/>
        <v>0</v>
      </c>
      <c r="AG54" s="6">
        <f t="shared" si="9"/>
        <v>0</v>
      </c>
      <c r="AH54" s="6">
        <f t="shared" si="6"/>
        <v>124960.40000000001</v>
      </c>
    </row>
    <row r="55" spans="1:34" x14ac:dyDescent="0.25">
      <c r="A55" s="3" t="s">
        <v>82</v>
      </c>
      <c r="B55" s="5">
        <f>20630.41</f>
        <v>20630.41</v>
      </c>
      <c r="C55" s="4"/>
      <c r="D55" s="4"/>
      <c r="E55" s="4"/>
      <c r="F55" s="5">
        <f>20945.56</f>
        <v>20945.560000000001</v>
      </c>
      <c r="G55" s="4"/>
      <c r="H55" s="4"/>
      <c r="I55" s="4"/>
      <c r="J55" s="5">
        <f>83791.57</f>
        <v>83791.570000000007</v>
      </c>
      <c r="K55" s="4"/>
      <c r="L55" s="4"/>
      <c r="M55" s="4"/>
      <c r="N55" s="5">
        <f>5664.3</f>
        <v>5664.3</v>
      </c>
      <c r="O55" s="5">
        <f>64973.68</f>
        <v>64973.68</v>
      </c>
      <c r="P55" s="4"/>
      <c r="Q55" s="4"/>
      <c r="R55" s="4"/>
      <c r="S55" s="4"/>
      <c r="T55" s="4"/>
      <c r="U55" s="4"/>
      <c r="V55" s="4"/>
      <c r="W55" s="4"/>
      <c r="X55" s="5">
        <f>0</f>
        <v>0</v>
      </c>
      <c r="Y55" s="4"/>
      <c r="Z55" s="4"/>
      <c r="AA55" s="4"/>
      <c r="AB55" s="4"/>
      <c r="AC55" s="5">
        <f>29200</f>
        <v>29200</v>
      </c>
      <c r="AD55" s="4"/>
      <c r="AE55" s="5">
        <f>18078.76</f>
        <v>18078.759999999998</v>
      </c>
      <c r="AF55" s="4"/>
      <c r="AG55" s="4"/>
      <c r="AH55" s="5">
        <f t="shared" si="6"/>
        <v>243284.28000000003</v>
      </c>
    </row>
    <row r="56" spans="1:34" x14ac:dyDescent="0.25">
      <c r="A56" s="3" t="s">
        <v>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>
        <f t="shared" si="6"/>
        <v>0</v>
      </c>
    </row>
    <row r="57" spans="1:34" x14ac:dyDescent="0.25">
      <c r="A57" s="3" t="s">
        <v>84</v>
      </c>
      <c r="B57" s="5">
        <f>381.17</f>
        <v>381.17</v>
      </c>
      <c r="C57" s="4"/>
      <c r="D57" s="4"/>
      <c r="E57" s="4"/>
      <c r="F57" s="5">
        <f>761.39</f>
        <v>761.39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5">
        <f t="shared" si="6"/>
        <v>1142.56</v>
      </c>
    </row>
    <row r="58" spans="1:34" x14ac:dyDescent="0.25">
      <c r="A58" s="3" t="s">
        <v>85</v>
      </c>
      <c r="B58" s="5">
        <f>2206.05</f>
        <v>2206.0500000000002</v>
      </c>
      <c r="C58" s="4"/>
      <c r="D58" s="4"/>
      <c r="E58" s="4"/>
      <c r="F58" s="5">
        <f>4478.95</f>
        <v>4478.95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5">
        <f t="shared" si="6"/>
        <v>6685</v>
      </c>
    </row>
    <row r="59" spans="1:34" x14ac:dyDescent="0.25">
      <c r="A59" s="3" t="s">
        <v>86</v>
      </c>
      <c r="B59" s="5">
        <f>2167.01</f>
        <v>2167.0100000000002</v>
      </c>
      <c r="C59" s="4"/>
      <c r="D59" s="4"/>
      <c r="E59" s="4"/>
      <c r="F59" s="5">
        <f>4064.69</f>
        <v>4064.69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5">
        <f t="shared" si="6"/>
        <v>6231.7000000000007</v>
      </c>
    </row>
    <row r="60" spans="1:34" x14ac:dyDescent="0.25">
      <c r="A60" s="3" t="s">
        <v>87</v>
      </c>
      <c r="B60" s="5">
        <f>76525.74</f>
        <v>76525.740000000005</v>
      </c>
      <c r="C60" s="4"/>
      <c r="D60" s="4"/>
      <c r="E60" s="4"/>
      <c r="F60" s="5">
        <f>28292.07</f>
        <v>28292.07</v>
      </c>
      <c r="G60" s="4"/>
      <c r="H60" s="4"/>
      <c r="I60" s="4"/>
      <c r="J60" s="5">
        <f>30361</f>
        <v>30361</v>
      </c>
      <c r="K60" s="4"/>
      <c r="L60" s="4"/>
      <c r="M60" s="4"/>
      <c r="N60" s="5">
        <f>3525.84</f>
        <v>3525.84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5">
        <f t="shared" si="6"/>
        <v>138704.65</v>
      </c>
    </row>
    <row r="61" spans="1:34" x14ac:dyDescent="0.25">
      <c r="A61" s="3" t="s">
        <v>88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>
        <f>40000</f>
        <v>40000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5">
        <f t="shared" si="6"/>
        <v>40000</v>
      </c>
    </row>
    <row r="62" spans="1:34" x14ac:dyDescent="0.25">
      <c r="A62" s="3" t="s">
        <v>89</v>
      </c>
      <c r="B62" s="5">
        <f>23914.17</f>
        <v>23914.17</v>
      </c>
      <c r="C62" s="4"/>
      <c r="D62" s="4"/>
      <c r="E62" s="4"/>
      <c r="F62" s="5">
        <f>48553.02</f>
        <v>48553.02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5">
        <f t="shared" si="6"/>
        <v>72467.19</v>
      </c>
    </row>
    <row r="63" spans="1:34" x14ac:dyDescent="0.25">
      <c r="A63" s="3" t="s">
        <v>90</v>
      </c>
      <c r="B63" s="5">
        <f>11229.1</f>
        <v>11229.1</v>
      </c>
      <c r="C63" s="4"/>
      <c r="D63" s="4"/>
      <c r="E63" s="4"/>
      <c r="F63" s="5">
        <f>1241.81</f>
        <v>1241.81</v>
      </c>
      <c r="G63" s="4"/>
      <c r="H63" s="4"/>
      <c r="I63" s="4"/>
      <c r="J63" s="5">
        <f>7500</f>
        <v>7500</v>
      </c>
      <c r="K63" s="4"/>
      <c r="L63" s="4"/>
      <c r="M63" s="4"/>
      <c r="N63" s="4"/>
      <c r="O63" s="5">
        <f>56.7</f>
        <v>56.7</v>
      </c>
      <c r="P63" s="4"/>
      <c r="Q63" s="4"/>
      <c r="R63" s="4"/>
      <c r="S63" s="4"/>
      <c r="T63" s="4"/>
      <c r="U63" s="4"/>
      <c r="V63" s="5">
        <f>696.6</f>
        <v>696.6</v>
      </c>
      <c r="W63" s="5">
        <f>4153.14</f>
        <v>4153.1400000000003</v>
      </c>
      <c r="X63" s="5">
        <f>56.7</f>
        <v>56.7</v>
      </c>
      <c r="Y63" s="4"/>
      <c r="Z63" s="4"/>
      <c r="AA63" s="4"/>
      <c r="AB63" s="4"/>
      <c r="AC63" s="5">
        <f>2180.4</f>
        <v>2180.4</v>
      </c>
      <c r="AD63" s="4"/>
      <c r="AE63" s="5">
        <f>850.5</f>
        <v>850.5</v>
      </c>
      <c r="AF63" s="4"/>
      <c r="AG63" s="4"/>
      <c r="AH63" s="5">
        <f t="shared" si="6"/>
        <v>27964.95</v>
      </c>
    </row>
    <row r="64" spans="1:34" x14ac:dyDescent="0.25">
      <c r="A64" s="3" t="s">
        <v>91</v>
      </c>
      <c r="B64" s="4"/>
      <c r="C64" s="4"/>
      <c r="D64" s="4"/>
      <c r="E64" s="4"/>
      <c r="F64" s="5">
        <f>0</f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5">
        <f t="shared" ref="AH64:AH95" si="10">(((((((((((((((((((((((((((((((B64)+(C64))+(D64))+(E64))+(F64))+(G64))+(H64))+(I64))+(J64))+(K64))+(L64))+(M64))+(N64))+(O64))+(P64))+(Q64))+(R64))+(S64))+(T64))+(U64))+(V64))+(W64))+(X64))+(Y64))+(Z64))+(AA64))+(AB64))+(AC64))+(AD64))+(AE64))+(AF64))+(AG64)</f>
        <v>0</v>
      </c>
    </row>
    <row r="65" spans="1:34" x14ac:dyDescent="0.25">
      <c r="A65" s="3" t="s">
        <v>92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5">
        <f t="shared" si="10"/>
        <v>8727.25</v>
      </c>
    </row>
    <row r="66" spans="1:34" x14ac:dyDescent="0.25">
      <c r="A66" s="3" t="s">
        <v>93</v>
      </c>
      <c r="B66" s="6">
        <f t="shared" ref="B66:AG66" si="11">(((((((((B56)+(B57))+(B58))+(B59))+(B60))+(B61))+(B62))+(B63))+(B64))+(B65)</f>
        <v>116423.24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87391.93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46588.25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3525.84</v>
      </c>
      <c r="O66" s="6">
        <f t="shared" si="11"/>
        <v>56.7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696.6</v>
      </c>
      <c r="W66" s="6">
        <f t="shared" si="11"/>
        <v>44153.14</v>
      </c>
      <c r="X66" s="6">
        <f t="shared" si="11"/>
        <v>56.7</v>
      </c>
      <c r="Y66" s="6">
        <f t="shared" si="11"/>
        <v>0</v>
      </c>
      <c r="Z66" s="6">
        <f t="shared" si="11"/>
        <v>0</v>
      </c>
      <c r="AA66" s="6">
        <f t="shared" si="11"/>
        <v>0</v>
      </c>
      <c r="AB66" s="6">
        <f t="shared" si="11"/>
        <v>0</v>
      </c>
      <c r="AC66" s="6">
        <f t="shared" si="11"/>
        <v>2180.4</v>
      </c>
      <c r="AD66" s="6">
        <f t="shared" si="11"/>
        <v>0</v>
      </c>
      <c r="AE66" s="6">
        <f t="shared" si="11"/>
        <v>850.5</v>
      </c>
      <c r="AF66" s="6">
        <f t="shared" si="11"/>
        <v>0</v>
      </c>
      <c r="AG66" s="6">
        <f t="shared" si="11"/>
        <v>0</v>
      </c>
      <c r="AH66" s="6">
        <f t="shared" si="10"/>
        <v>301923.30000000005</v>
      </c>
    </row>
    <row r="67" spans="1:34" x14ac:dyDescent="0.25">
      <c r="A67" s="3" t="s">
        <v>94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5">
        <f t="shared" si="10"/>
        <v>0</v>
      </c>
    </row>
    <row r="68" spans="1:34" x14ac:dyDescent="0.25">
      <c r="A68" s="3" t="s">
        <v>95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5">
        <f t="shared" si="10"/>
        <v>78195.72</v>
      </c>
    </row>
    <row r="69" spans="1:34" x14ac:dyDescent="0.25">
      <c r="A69" s="3" t="s">
        <v>96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5">
        <f t="shared" si="10"/>
        <v>47693</v>
      </c>
    </row>
    <row r="70" spans="1:34" x14ac:dyDescent="0.25">
      <c r="A70" s="3" t="s">
        <v>97</v>
      </c>
      <c r="B70" s="6">
        <f t="shared" ref="B70:AG70" si="12">((B67)+(B68))+(B69)</f>
        <v>66125.22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59763.5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0"/>
        <v>125888.72</v>
      </c>
    </row>
    <row r="71" spans="1:34" x14ac:dyDescent="0.25">
      <c r="A71" s="3" t="s">
        <v>98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5">
        <f t="shared" si="10"/>
        <v>0</v>
      </c>
    </row>
    <row r="72" spans="1:34" x14ac:dyDescent="0.25">
      <c r="A72" s="3" t="s">
        <v>99</v>
      </c>
      <c r="B72" s="5">
        <f>475.83</f>
        <v>475.83</v>
      </c>
      <c r="C72" s="4"/>
      <c r="D72" s="4"/>
      <c r="E72" s="4"/>
      <c r="F72" s="5">
        <f>333.06</f>
        <v>333.06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>
        <f>47.58</f>
        <v>47.58</v>
      </c>
      <c r="W72" s="5">
        <f>95.16</f>
        <v>95.16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5">
        <f t="shared" si="10"/>
        <v>951.63</v>
      </c>
    </row>
    <row r="73" spans="1:34" x14ac:dyDescent="0.25">
      <c r="A73" s="3" t="s">
        <v>100</v>
      </c>
      <c r="B73" s="5">
        <f>462.98</f>
        <v>462.98</v>
      </c>
      <c r="C73" s="4"/>
      <c r="D73" s="4"/>
      <c r="E73" s="4"/>
      <c r="F73" s="5">
        <f>180</f>
        <v>180</v>
      </c>
      <c r="G73" s="4"/>
      <c r="H73" s="4"/>
      <c r="I73" s="4"/>
      <c r="J73" s="4"/>
      <c r="K73" s="4"/>
      <c r="L73" s="4"/>
      <c r="M73" s="4"/>
      <c r="N73" s="4"/>
      <c r="O73" s="5">
        <f>87.05</f>
        <v>87.05</v>
      </c>
      <c r="P73" s="4"/>
      <c r="Q73" s="4"/>
      <c r="R73" s="4"/>
      <c r="S73" s="4"/>
      <c r="T73" s="4"/>
      <c r="U73" s="4"/>
      <c r="V73" s="5">
        <f>90</f>
        <v>90</v>
      </c>
      <c r="W73" s="5">
        <f>180</f>
        <v>180</v>
      </c>
      <c r="X73" s="4"/>
      <c r="Y73" s="4"/>
      <c r="Z73" s="4"/>
      <c r="AA73" s="4"/>
      <c r="AB73" s="4"/>
      <c r="AC73" s="5">
        <f>75.15</f>
        <v>75.150000000000006</v>
      </c>
      <c r="AD73" s="4"/>
      <c r="AE73" s="4"/>
      <c r="AF73" s="4"/>
      <c r="AG73" s="4"/>
      <c r="AH73" s="5">
        <f t="shared" si="10"/>
        <v>1075.18</v>
      </c>
    </row>
    <row r="74" spans="1:34" x14ac:dyDescent="0.25">
      <c r="A74" s="3" t="s">
        <v>101</v>
      </c>
      <c r="B74" s="5">
        <f>6219.74</f>
        <v>6219.74</v>
      </c>
      <c r="C74" s="4"/>
      <c r="D74" s="4"/>
      <c r="E74" s="4"/>
      <c r="F74" s="5">
        <f>3881.99</f>
        <v>3881.99</v>
      </c>
      <c r="G74" s="4"/>
      <c r="H74" s="4"/>
      <c r="I74" s="4"/>
      <c r="J74" s="4"/>
      <c r="K74" s="4"/>
      <c r="L74" s="4"/>
      <c r="M74" s="4"/>
      <c r="N74" s="4"/>
      <c r="O74" s="5">
        <f>35.81</f>
        <v>35.81</v>
      </c>
      <c r="P74" s="4"/>
      <c r="Q74" s="4"/>
      <c r="R74" s="4"/>
      <c r="S74" s="4"/>
      <c r="T74" s="4"/>
      <c r="U74" s="4"/>
      <c r="V74" s="5">
        <f>456.01</f>
        <v>456.01</v>
      </c>
      <c r="W74" s="5">
        <f>3088.69</f>
        <v>3088.69</v>
      </c>
      <c r="X74" s="5">
        <f>106.94</f>
        <v>106.94</v>
      </c>
      <c r="Y74" s="4"/>
      <c r="Z74" s="4"/>
      <c r="AA74" s="4"/>
      <c r="AB74" s="4"/>
      <c r="AC74" s="5">
        <f>2061.64</f>
        <v>2061.64</v>
      </c>
      <c r="AD74" s="4"/>
      <c r="AE74" s="5">
        <f>2746.68</f>
        <v>2746.68</v>
      </c>
      <c r="AF74" s="4"/>
      <c r="AG74" s="4"/>
      <c r="AH74" s="5">
        <f t="shared" si="10"/>
        <v>18597.5</v>
      </c>
    </row>
    <row r="75" spans="1:34" x14ac:dyDescent="0.25">
      <c r="A75" s="3" t="s">
        <v>102</v>
      </c>
      <c r="B75" s="5">
        <f>367.09</f>
        <v>367.09</v>
      </c>
      <c r="C75" s="4"/>
      <c r="D75" s="4"/>
      <c r="E75" s="4"/>
      <c r="F75" s="5">
        <f>2499.23</f>
        <v>2499.23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>
        <f>3687.22</f>
        <v>3687.22</v>
      </c>
      <c r="W75" s="5">
        <f>250.25</f>
        <v>250.25</v>
      </c>
      <c r="X75" s="4"/>
      <c r="Y75" s="4"/>
      <c r="Z75" s="4"/>
      <c r="AA75" s="4"/>
      <c r="AB75" s="4"/>
      <c r="AC75" s="5">
        <f>1528.54</f>
        <v>1528.54</v>
      </c>
      <c r="AD75" s="4"/>
      <c r="AE75" s="5">
        <f>1528.55</f>
        <v>1528.55</v>
      </c>
      <c r="AF75" s="4"/>
      <c r="AG75" s="4"/>
      <c r="AH75" s="5">
        <f t="shared" si="10"/>
        <v>9860.8799999999992</v>
      </c>
    </row>
    <row r="76" spans="1:34" x14ac:dyDescent="0.25">
      <c r="A76" s="3" t="s">
        <v>103</v>
      </c>
      <c r="B76" s="5">
        <f>23775.08</f>
        <v>23775.08</v>
      </c>
      <c r="C76" s="4"/>
      <c r="D76" s="4"/>
      <c r="E76" s="4"/>
      <c r="F76" s="5">
        <f>2196.91</f>
        <v>2196.91</v>
      </c>
      <c r="G76" s="4"/>
      <c r="H76" s="4"/>
      <c r="I76" s="4"/>
      <c r="J76" s="5">
        <f>10461.92</f>
        <v>10461.92</v>
      </c>
      <c r="K76" s="5">
        <f>4909.19</f>
        <v>4909.1899999999996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5">
        <f>435.57</f>
        <v>435.57</v>
      </c>
      <c r="Z76" s="4"/>
      <c r="AA76" s="4"/>
      <c r="AB76" s="4"/>
      <c r="AC76" s="4"/>
      <c r="AD76" s="4"/>
      <c r="AE76" s="4"/>
      <c r="AF76" s="4"/>
      <c r="AG76" s="4"/>
      <c r="AH76" s="5">
        <f t="shared" si="10"/>
        <v>41778.670000000006</v>
      </c>
    </row>
    <row r="77" spans="1:34" x14ac:dyDescent="0.25">
      <c r="A77" s="3" t="s">
        <v>104</v>
      </c>
      <c r="B77" s="5">
        <f>17647.68</f>
        <v>17647.68</v>
      </c>
      <c r="C77" s="5">
        <f>319.45</f>
        <v>319.45</v>
      </c>
      <c r="D77" s="5">
        <f>4517.73</f>
        <v>4517.7299999999996</v>
      </c>
      <c r="E77" s="4"/>
      <c r="F77" s="5">
        <f>17666.41</f>
        <v>17666.41</v>
      </c>
      <c r="G77" s="4"/>
      <c r="H77" s="5">
        <f>-1941.89</f>
        <v>-1941.89</v>
      </c>
      <c r="I77" s="4"/>
      <c r="J77" s="5">
        <f>13908.95</f>
        <v>13908.95</v>
      </c>
      <c r="K77" s="5">
        <f>1143.94</f>
        <v>1143.94</v>
      </c>
      <c r="L77" s="4"/>
      <c r="M77" s="4"/>
      <c r="N77" s="5">
        <f>19283.98</f>
        <v>19283.98</v>
      </c>
      <c r="O77" s="5">
        <f>87437.6</f>
        <v>87437.6</v>
      </c>
      <c r="P77" s="4"/>
      <c r="Q77" s="4"/>
      <c r="R77" s="4"/>
      <c r="S77" s="4"/>
      <c r="T77" s="4"/>
      <c r="U77" s="4"/>
      <c r="V77" s="5">
        <f>11162.63</f>
        <v>11162.63</v>
      </c>
      <c r="W77" s="5">
        <f>7241.15</f>
        <v>7241.15</v>
      </c>
      <c r="X77" s="5">
        <f>18560.54</f>
        <v>18560.54</v>
      </c>
      <c r="Y77" s="4"/>
      <c r="Z77" s="4"/>
      <c r="AA77" s="5">
        <f>1686.01</f>
        <v>1686.01</v>
      </c>
      <c r="AB77" s="5">
        <f>2603.18</f>
        <v>2603.1799999999998</v>
      </c>
      <c r="AC77" s="5">
        <f>35669.02</f>
        <v>35669.019999999997</v>
      </c>
      <c r="AD77" s="4"/>
      <c r="AE77" s="5">
        <f>41105.68</f>
        <v>41105.68</v>
      </c>
      <c r="AF77" s="5">
        <f>1420.94</f>
        <v>1420.94</v>
      </c>
      <c r="AG77" s="4"/>
      <c r="AH77" s="5">
        <f t="shared" si="10"/>
        <v>279433</v>
      </c>
    </row>
    <row r="78" spans="1:34" x14ac:dyDescent="0.25">
      <c r="A78" s="3" t="s">
        <v>105</v>
      </c>
      <c r="B78" s="5">
        <f>2178.04</f>
        <v>2178.04</v>
      </c>
      <c r="C78" s="4"/>
      <c r="D78" s="4"/>
      <c r="E78" s="4"/>
      <c r="F78" s="5">
        <f>1305.81</f>
        <v>1305.81</v>
      </c>
      <c r="G78" s="4"/>
      <c r="H78" s="4"/>
      <c r="I78" s="4"/>
      <c r="J78" s="4"/>
      <c r="K78" s="4"/>
      <c r="L78" s="4"/>
      <c r="M78" s="4"/>
      <c r="N78" s="5">
        <f>1628.4</f>
        <v>1628.4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5">
        <f t="shared" si="10"/>
        <v>5112.25</v>
      </c>
    </row>
    <row r="79" spans="1:34" x14ac:dyDescent="0.25">
      <c r="A79" s="3" t="s">
        <v>106</v>
      </c>
      <c r="B79" s="6">
        <f t="shared" ref="B79:AG79" si="13">(((((((B71)+(B72))+(B73))+(B74))+(B75))+(B76))+(B77))+(B78)</f>
        <v>51126.44</v>
      </c>
      <c r="C79" s="6">
        <f t="shared" si="13"/>
        <v>319.45</v>
      </c>
      <c r="D79" s="6">
        <f t="shared" si="13"/>
        <v>4517.7299999999996</v>
      </c>
      <c r="E79" s="6">
        <f t="shared" si="13"/>
        <v>0</v>
      </c>
      <c r="F79" s="6">
        <f t="shared" si="13"/>
        <v>28063.41</v>
      </c>
      <c r="G79" s="6">
        <f t="shared" si="13"/>
        <v>0</v>
      </c>
      <c r="H79" s="6">
        <f t="shared" si="13"/>
        <v>-1941.89</v>
      </c>
      <c r="I79" s="6">
        <f t="shared" si="13"/>
        <v>0</v>
      </c>
      <c r="J79" s="6">
        <f t="shared" si="13"/>
        <v>24370.870000000003</v>
      </c>
      <c r="K79" s="6">
        <f t="shared" si="13"/>
        <v>6053.1299999999992</v>
      </c>
      <c r="L79" s="6">
        <f t="shared" si="13"/>
        <v>0</v>
      </c>
      <c r="M79" s="6">
        <f t="shared" si="13"/>
        <v>0</v>
      </c>
      <c r="N79" s="6">
        <f t="shared" si="13"/>
        <v>20912.38</v>
      </c>
      <c r="O79" s="6">
        <f t="shared" si="13"/>
        <v>87560.46</v>
      </c>
      <c r="P79" s="6">
        <f t="shared" si="13"/>
        <v>0</v>
      </c>
      <c r="Q79" s="6">
        <f t="shared" si="13"/>
        <v>0</v>
      </c>
      <c r="R79" s="6">
        <f t="shared" si="13"/>
        <v>0</v>
      </c>
      <c r="S79" s="6">
        <f t="shared" si="13"/>
        <v>0</v>
      </c>
      <c r="T79" s="6">
        <f t="shared" si="13"/>
        <v>0</v>
      </c>
      <c r="U79" s="6">
        <f t="shared" si="13"/>
        <v>0</v>
      </c>
      <c r="V79" s="6">
        <f t="shared" si="13"/>
        <v>15443.439999999999</v>
      </c>
      <c r="W79" s="6">
        <f t="shared" si="13"/>
        <v>10855.25</v>
      </c>
      <c r="X79" s="6">
        <f t="shared" si="13"/>
        <v>18667.48</v>
      </c>
      <c r="Y79" s="6">
        <f t="shared" si="13"/>
        <v>435.57</v>
      </c>
      <c r="Z79" s="6">
        <f t="shared" si="13"/>
        <v>0</v>
      </c>
      <c r="AA79" s="6">
        <f t="shared" si="13"/>
        <v>1686.01</v>
      </c>
      <c r="AB79" s="6">
        <f t="shared" si="13"/>
        <v>2603.1799999999998</v>
      </c>
      <c r="AC79" s="6">
        <f t="shared" si="13"/>
        <v>39334.35</v>
      </c>
      <c r="AD79" s="6">
        <f t="shared" si="13"/>
        <v>0</v>
      </c>
      <c r="AE79" s="6">
        <f t="shared" si="13"/>
        <v>45380.91</v>
      </c>
      <c r="AF79" s="6">
        <f t="shared" si="13"/>
        <v>1420.94</v>
      </c>
      <c r="AG79" s="6">
        <f t="shared" si="13"/>
        <v>0</v>
      </c>
      <c r="AH79" s="6">
        <f t="shared" si="10"/>
        <v>356809.11000000004</v>
      </c>
    </row>
    <row r="80" spans="1:34" x14ac:dyDescent="0.25">
      <c r="A80" s="3" t="s">
        <v>107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5">
        <f t="shared" si="10"/>
        <v>0</v>
      </c>
    </row>
    <row r="81" spans="1:34" x14ac:dyDescent="0.25">
      <c r="A81" s="3" t="s">
        <v>108</v>
      </c>
      <c r="B81" s="5">
        <f>8251</f>
        <v>8251</v>
      </c>
      <c r="C81" s="4"/>
      <c r="D81" s="4"/>
      <c r="E81" s="4"/>
      <c r="F81" s="4"/>
      <c r="G81" s="4"/>
      <c r="H81" s="4"/>
      <c r="I81" s="4"/>
      <c r="J81" s="5">
        <f>40530</f>
        <v>40530</v>
      </c>
      <c r="K81" s="4"/>
      <c r="L81" s="4"/>
      <c r="M81" s="5">
        <f>93176.85</f>
        <v>93176.85</v>
      </c>
      <c r="N81" s="4"/>
      <c r="O81" s="5">
        <f>11000</f>
        <v>11000</v>
      </c>
      <c r="P81" s="4"/>
      <c r="Q81" s="4"/>
      <c r="R81" s="4"/>
      <c r="S81" s="4"/>
      <c r="T81" s="4"/>
      <c r="U81" s="4"/>
      <c r="V81" s="5">
        <f>7155</f>
        <v>7155</v>
      </c>
      <c r="W81" s="5">
        <f>13250</f>
        <v>13250</v>
      </c>
      <c r="X81" s="5">
        <f>10000</f>
        <v>10000</v>
      </c>
      <c r="Y81" s="4"/>
      <c r="Z81" s="4"/>
      <c r="AA81" s="4"/>
      <c r="AB81" s="4"/>
      <c r="AC81" s="5">
        <f>111195.88</f>
        <v>111195.88</v>
      </c>
      <c r="AD81" s="4"/>
      <c r="AE81" s="5">
        <f>560530.59</f>
        <v>560530.59</v>
      </c>
      <c r="AF81" s="5">
        <f>17661</f>
        <v>17661</v>
      </c>
      <c r="AG81" s="4"/>
      <c r="AH81" s="5">
        <f t="shared" si="10"/>
        <v>872750.32</v>
      </c>
    </row>
    <row r="82" spans="1:34" x14ac:dyDescent="0.25">
      <c r="A82" s="3" t="s">
        <v>109</v>
      </c>
      <c r="B82" s="5">
        <f>11883.52</f>
        <v>11883.52</v>
      </c>
      <c r="C82" s="4"/>
      <c r="D82" s="4"/>
      <c r="E82" s="4"/>
      <c r="F82" s="5">
        <f>580</f>
        <v>580</v>
      </c>
      <c r="G82" s="4"/>
      <c r="H82" s="4"/>
      <c r="I82" s="4"/>
      <c r="J82" s="4"/>
      <c r="K82" s="4"/>
      <c r="L82" s="4"/>
      <c r="M82" s="4"/>
      <c r="N82" s="4"/>
      <c r="O82" s="5">
        <f>12700</f>
        <v>12700</v>
      </c>
      <c r="P82" s="4"/>
      <c r="Q82" s="4"/>
      <c r="R82" s="4"/>
      <c r="S82" s="4"/>
      <c r="T82" s="4"/>
      <c r="U82" s="4"/>
      <c r="V82" s="5">
        <f>4690</f>
        <v>4690</v>
      </c>
      <c r="W82" s="5">
        <f>5544</f>
        <v>5544</v>
      </c>
      <c r="X82" s="5">
        <f>970</f>
        <v>970</v>
      </c>
      <c r="Y82" s="4"/>
      <c r="Z82" s="4"/>
      <c r="AA82" s="4"/>
      <c r="AB82" s="4"/>
      <c r="AC82" s="5">
        <f>32479</f>
        <v>32479</v>
      </c>
      <c r="AD82" s="4"/>
      <c r="AE82" s="5">
        <f>9273.51</f>
        <v>9273.51</v>
      </c>
      <c r="AF82" s="4"/>
      <c r="AG82" s="4"/>
      <c r="AH82" s="5">
        <f t="shared" si="10"/>
        <v>78120.03</v>
      </c>
    </row>
    <row r="83" spans="1:34" x14ac:dyDescent="0.25">
      <c r="A83" s="3" t="s">
        <v>110</v>
      </c>
      <c r="B83" s="5">
        <f>25816.22</f>
        <v>25816.22</v>
      </c>
      <c r="C83" s="4"/>
      <c r="D83" s="4"/>
      <c r="E83" s="4"/>
      <c r="F83" s="5">
        <f>1262.18</f>
        <v>1262.18</v>
      </c>
      <c r="G83" s="4"/>
      <c r="H83" s="4"/>
      <c r="I83" s="4"/>
      <c r="J83" s="5">
        <f>2440.52</f>
        <v>2440.52</v>
      </c>
      <c r="K83" s="4"/>
      <c r="L83" s="4"/>
      <c r="M83" s="4"/>
      <c r="N83" s="4"/>
      <c r="O83" s="5">
        <f>24497.33</f>
        <v>24497.33</v>
      </c>
      <c r="P83" s="4"/>
      <c r="Q83" s="4"/>
      <c r="R83" s="4"/>
      <c r="S83" s="5">
        <f>189001.6</f>
        <v>189001.60000000001</v>
      </c>
      <c r="T83" s="4"/>
      <c r="U83" s="4"/>
      <c r="V83" s="5">
        <f>3979.19</f>
        <v>3979.19</v>
      </c>
      <c r="W83" s="5">
        <f>15043.96</f>
        <v>15043.96</v>
      </c>
      <c r="X83" s="5">
        <f>40.91</f>
        <v>40.909999999999997</v>
      </c>
      <c r="Y83" s="4"/>
      <c r="Z83" s="4"/>
      <c r="AA83" s="5">
        <f>-0.36</f>
        <v>-0.36</v>
      </c>
      <c r="AB83" s="5">
        <f>0</f>
        <v>0</v>
      </c>
      <c r="AC83" s="5">
        <f>33307.01</f>
        <v>33307.01</v>
      </c>
      <c r="AD83" s="4"/>
      <c r="AE83" s="5">
        <f>16925.56</f>
        <v>16925.560000000001</v>
      </c>
      <c r="AF83" s="5">
        <f>4430.52</f>
        <v>4430.5200000000004</v>
      </c>
      <c r="AG83" s="4"/>
      <c r="AH83" s="5">
        <f t="shared" si="10"/>
        <v>316744.64</v>
      </c>
    </row>
    <row r="84" spans="1:34" x14ac:dyDescent="0.25">
      <c r="A84" s="3" t="s">
        <v>111</v>
      </c>
      <c r="B84" s="5">
        <f>500.18</f>
        <v>500.18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>
        <f>3726.54</f>
        <v>3726.54</v>
      </c>
      <c r="P84" s="4"/>
      <c r="Q84" s="4"/>
      <c r="R84" s="4"/>
      <c r="S84" s="4"/>
      <c r="T84" s="4"/>
      <c r="U84" s="4"/>
      <c r="V84" s="5">
        <f>26461.43</f>
        <v>26461.43</v>
      </c>
      <c r="W84" s="5">
        <f>-492.27</f>
        <v>-492.27</v>
      </c>
      <c r="X84" s="5">
        <f>5940.3</f>
        <v>5940.3</v>
      </c>
      <c r="Y84" s="4"/>
      <c r="Z84" s="4"/>
      <c r="AA84" s="4"/>
      <c r="AB84" s="5">
        <f>3632.42</f>
        <v>3632.42</v>
      </c>
      <c r="AC84" s="5">
        <f>2087.49</f>
        <v>2087.4899999999998</v>
      </c>
      <c r="AD84" s="4"/>
      <c r="AE84" s="4"/>
      <c r="AF84" s="4"/>
      <c r="AG84" s="4"/>
      <c r="AH84" s="5">
        <f t="shared" si="10"/>
        <v>41856.089999999997</v>
      </c>
    </row>
    <row r="85" spans="1:34" x14ac:dyDescent="0.25">
      <c r="A85" s="3" t="s">
        <v>112</v>
      </c>
      <c r="B85" s="5">
        <f>11068.75</f>
        <v>11068.75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5">
        <f t="shared" si="10"/>
        <v>11068.75</v>
      </c>
    </row>
    <row r="86" spans="1:34" x14ac:dyDescent="0.25">
      <c r="A86" s="3" t="s">
        <v>113</v>
      </c>
      <c r="B86" s="6">
        <f t="shared" ref="B86:AG86" si="14">(((((B80)+(B81))+(B82))+(B83))+(B84))+(B85)</f>
        <v>57519.670000000006</v>
      </c>
      <c r="C86" s="6">
        <f t="shared" si="14"/>
        <v>0</v>
      </c>
      <c r="D86" s="6">
        <f t="shared" si="14"/>
        <v>0</v>
      </c>
      <c r="E86" s="6">
        <f t="shared" si="14"/>
        <v>0</v>
      </c>
      <c r="F86" s="6">
        <f t="shared" si="14"/>
        <v>1842.18</v>
      </c>
      <c r="G86" s="6">
        <f t="shared" si="14"/>
        <v>0</v>
      </c>
      <c r="H86" s="6">
        <f t="shared" si="14"/>
        <v>0</v>
      </c>
      <c r="I86" s="6">
        <f t="shared" si="14"/>
        <v>0</v>
      </c>
      <c r="J86" s="6">
        <f t="shared" si="14"/>
        <v>42970.52</v>
      </c>
      <c r="K86" s="6">
        <f t="shared" si="14"/>
        <v>0</v>
      </c>
      <c r="L86" s="6">
        <f t="shared" si="14"/>
        <v>0</v>
      </c>
      <c r="M86" s="6">
        <f t="shared" si="14"/>
        <v>93176.85</v>
      </c>
      <c r="N86" s="6">
        <f t="shared" si="14"/>
        <v>0</v>
      </c>
      <c r="O86" s="6">
        <f t="shared" si="14"/>
        <v>51923.87</v>
      </c>
      <c r="P86" s="6">
        <f t="shared" si="14"/>
        <v>0</v>
      </c>
      <c r="Q86" s="6">
        <f t="shared" si="14"/>
        <v>0</v>
      </c>
      <c r="R86" s="6">
        <f t="shared" si="14"/>
        <v>0</v>
      </c>
      <c r="S86" s="6">
        <f t="shared" si="14"/>
        <v>189001.60000000001</v>
      </c>
      <c r="T86" s="6">
        <f t="shared" si="14"/>
        <v>0</v>
      </c>
      <c r="U86" s="6">
        <f t="shared" si="14"/>
        <v>0</v>
      </c>
      <c r="V86" s="6">
        <f t="shared" si="14"/>
        <v>42285.62</v>
      </c>
      <c r="W86" s="6">
        <f t="shared" si="14"/>
        <v>33345.69</v>
      </c>
      <c r="X86" s="6">
        <f t="shared" si="14"/>
        <v>16951.21</v>
      </c>
      <c r="Y86" s="6">
        <f t="shared" si="14"/>
        <v>0</v>
      </c>
      <c r="Z86" s="6">
        <f t="shared" si="14"/>
        <v>0</v>
      </c>
      <c r="AA86" s="6">
        <f t="shared" si="14"/>
        <v>-0.36</v>
      </c>
      <c r="AB86" s="6">
        <f t="shared" si="14"/>
        <v>3632.42</v>
      </c>
      <c r="AC86" s="6">
        <f t="shared" si="14"/>
        <v>179069.38</v>
      </c>
      <c r="AD86" s="6">
        <f t="shared" si="14"/>
        <v>0</v>
      </c>
      <c r="AE86" s="6">
        <f t="shared" si="14"/>
        <v>586729.66</v>
      </c>
      <c r="AF86" s="6">
        <f t="shared" si="14"/>
        <v>22091.52</v>
      </c>
      <c r="AG86" s="6">
        <f t="shared" si="14"/>
        <v>0</v>
      </c>
      <c r="AH86" s="6">
        <f t="shared" si="10"/>
        <v>1320539.83</v>
      </c>
    </row>
    <row r="87" spans="1:34" x14ac:dyDescent="0.25">
      <c r="A87" s="3" t="s">
        <v>114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5">
        <f t="shared" si="10"/>
        <v>0</v>
      </c>
    </row>
    <row r="88" spans="1:34" x14ac:dyDescent="0.25">
      <c r="A88" s="3" t="s">
        <v>115</v>
      </c>
      <c r="B88" s="5">
        <f>7151.64</f>
        <v>7151.64</v>
      </c>
      <c r="C88" s="4"/>
      <c r="D88" s="4"/>
      <c r="E88" s="4"/>
      <c r="F88" s="4"/>
      <c r="G88" s="4"/>
      <c r="H88" s="4"/>
      <c r="I88" s="4"/>
      <c r="J88" s="4"/>
      <c r="K88" s="5">
        <f>500</f>
        <v>500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5">
        <f>1965</f>
        <v>1965</v>
      </c>
      <c r="W88" s="5">
        <f>2687.77</f>
        <v>2687.77</v>
      </c>
      <c r="X88" s="4"/>
      <c r="Y88" s="4"/>
      <c r="Z88" s="4"/>
      <c r="AA88" s="4"/>
      <c r="AB88" s="4"/>
      <c r="AC88" s="5">
        <f>2661.18</f>
        <v>2661.18</v>
      </c>
      <c r="AD88" s="4"/>
      <c r="AE88" s="5">
        <f>290</f>
        <v>290</v>
      </c>
      <c r="AF88" s="4"/>
      <c r="AG88" s="4"/>
      <c r="AH88" s="5">
        <f t="shared" si="10"/>
        <v>15255.59</v>
      </c>
    </row>
    <row r="89" spans="1:34" x14ac:dyDescent="0.25">
      <c r="A89" s="3" t="s">
        <v>116</v>
      </c>
      <c r="B89" s="4"/>
      <c r="C89" s="4"/>
      <c r="D89" s="4"/>
      <c r="E89" s="4"/>
      <c r="F89" s="5">
        <f>140777.61</f>
        <v>140777.60999999999</v>
      </c>
      <c r="G89" s="4"/>
      <c r="H89" s="4"/>
      <c r="I89" s="5">
        <f>7354.69</f>
        <v>7354.69</v>
      </c>
      <c r="J89" s="4"/>
      <c r="K89" s="5">
        <f>926.75</f>
        <v>926.75</v>
      </c>
      <c r="L89" s="5">
        <f>5288.15</f>
        <v>5288.15</v>
      </c>
      <c r="M89" s="5">
        <f>83492.73</f>
        <v>83492.73</v>
      </c>
      <c r="N89" s="4"/>
      <c r="O89" s="5">
        <f>32869.06</f>
        <v>32869.06</v>
      </c>
      <c r="P89" s="4"/>
      <c r="Q89" s="5">
        <f>56609.1</f>
        <v>56609.1</v>
      </c>
      <c r="R89" s="5">
        <f>30804.05</f>
        <v>30804.05</v>
      </c>
      <c r="S89" s="5">
        <f>29864.58</f>
        <v>29864.58</v>
      </c>
      <c r="T89" s="5">
        <f>7012.32</f>
        <v>7012.32</v>
      </c>
      <c r="U89" s="4"/>
      <c r="V89" s="5">
        <f>5683.1</f>
        <v>5683.1</v>
      </c>
      <c r="W89" s="5">
        <f>55421.02</f>
        <v>55421.02</v>
      </c>
      <c r="X89" s="5">
        <f>10713.33</f>
        <v>10713.33</v>
      </c>
      <c r="Y89" s="5">
        <f>0</f>
        <v>0</v>
      </c>
      <c r="Z89" s="5">
        <f>2097.82</f>
        <v>2097.8200000000002</v>
      </c>
      <c r="AA89" s="5">
        <f>48.97</f>
        <v>48.97</v>
      </c>
      <c r="AB89" s="5">
        <f>124.71</f>
        <v>124.71</v>
      </c>
      <c r="AC89" s="5">
        <f>101942.97</f>
        <v>101942.97</v>
      </c>
      <c r="AD89" s="5">
        <f>0</f>
        <v>0</v>
      </c>
      <c r="AE89" s="5">
        <f>180409.4</f>
        <v>180409.4</v>
      </c>
      <c r="AF89" s="5">
        <f>0</f>
        <v>0</v>
      </c>
      <c r="AG89" s="5">
        <f>0</f>
        <v>0</v>
      </c>
      <c r="AH89" s="5">
        <f t="shared" si="10"/>
        <v>751440.36</v>
      </c>
    </row>
    <row r="90" spans="1:34" x14ac:dyDescent="0.25">
      <c r="A90" s="3" t="s">
        <v>117</v>
      </c>
      <c r="B90" s="6">
        <f t="shared" ref="B90:AG90" si="15">((B87)+(B88))+(B89)</f>
        <v>7151.64</v>
      </c>
      <c r="C90" s="6">
        <f t="shared" si="15"/>
        <v>0</v>
      </c>
      <c r="D90" s="6">
        <f t="shared" si="15"/>
        <v>0</v>
      </c>
      <c r="E90" s="6">
        <f t="shared" si="15"/>
        <v>0</v>
      </c>
      <c r="F90" s="6">
        <f t="shared" si="15"/>
        <v>140777.60999999999</v>
      </c>
      <c r="G90" s="6">
        <f t="shared" si="15"/>
        <v>0</v>
      </c>
      <c r="H90" s="6">
        <f t="shared" si="15"/>
        <v>0</v>
      </c>
      <c r="I90" s="6">
        <f t="shared" si="15"/>
        <v>7354.69</v>
      </c>
      <c r="J90" s="6">
        <f t="shared" si="15"/>
        <v>0</v>
      </c>
      <c r="K90" s="6">
        <f t="shared" si="15"/>
        <v>1426.75</v>
      </c>
      <c r="L90" s="6">
        <f t="shared" si="15"/>
        <v>5288.15</v>
      </c>
      <c r="M90" s="6">
        <f t="shared" si="15"/>
        <v>83492.73</v>
      </c>
      <c r="N90" s="6">
        <f t="shared" si="15"/>
        <v>0</v>
      </c>
      <c r="O90" s="6">
        <f t="shared" si="15"/>
        <v>32869.06</v>
      </c>
      <c r="P90" s="6">
        <f t="shared" si="15"/>
        <v>0</v>
      </c>
      <c r="Q90" s="6">
        <f t="shared" si="15"/>
        <v>56609.1</v>
      </c>
      <c r="R90" s="6">
        <f t="shared" si="15"/>
        <v>30804.05</v>
      </c>
      <c r="S90" s="6">
        <f t="shared" si="15"/>
        <v>29864.58</v>
      </c>
      <c r="T90" s="6">
        <f t="shared" si="15"/>
        <v>7012.32</v>
      </c>
      <c r="U90" s="6">
        <f t="shared" si="15"/>
        <v>0</v>
      </c>
      <c r="V90" s="6">
        <f t="shared" si="15"/>
        <v>7648.1</v>
      </c>
      <c r="W90" s="6">
        <f t="shared" si="15"/>
        <v>58108.789999999994</v>
      </c>
      <c r="X90" s="6">
        <f t="shared" si="15"/>
        <v>10713.33</v>
      </c>
      <c r="Y90" s="6">
        <f t="shared" si="15"/>
        <v>0</v>
      </c>
      <c r="Z90" s="6">
        <f t="shared" si="15"/>
        <v>2097.8200000000002</v>
      </c>
      <c r="AA90" s="6">
        <f t="shared" si="15"/>
        <v>48.97</v>
      </c>
      <c r="AB90" s="6">
        <f t="shared" si="15"/>
        <v>124.71</v>
      </c>
      <c r="AC90" s="6">
        <f t="shared" si="15"/>
        <v>104604.15</v>
      </c>
      <c r="AD90" s="6">
        <f t="shared" si="15"/>
        <v>0</v>
      </c>
      <c r="AE90" s="6">
        <f t="shared" si="15"/>
        <v>180699.4</v>
      </c>
      <c r="AF90" s="6">
        <f t="shared" si="15"/>
        <v>0</v>
      </c>
      <c r="AG90" s="6">
        <f t="shared" si="15"/>
        <v>0</v>
      </c>
      <c r="AH90" s="6">
        <f t="shared" si="10"/>
        <v>766695.95</v>
      </c>
    </row>
    <row r="91" spans="1:34" x14ac:dyDescent="0.25">
      <c r="A91" s="3" t="s">
        <v>118</v>
      </c>
      <c r="B91" s="6">
        <f t="shared" ref="B91:AG91" si="16">((((((((B35)+(B48))+(B54))+(B55))+(B66))+(B70))+(B79))+(B86))+(B90)</f>
        <v>1155401.22</v>
      </c>
      <c r="C91" s="6">
        <f t="shared" si="16"/>
        <v>319.45</v>
      </c>
      <c r="D91" s="6">
        <f t="shared" si="16"/>
        <v>4517.7299999999996</v>
      </c>
      <c r="E91" s="6">
        <f t="shared" si="16"/>
        <v>0</v>
      </c>
      <c r="F91" s="6">
        <f t="shared" si="16"/>
        <v>1550768.7999999998</v>
      </c>
      <c r="G91" s="6">
        <f t="shared" si="16"/>
        <v>0</v>
      </c>
      <c r="H91" s="6">
        <f t="shared" si="16"/>
        <v>-1941.89</v>
      </c>
      <c r="I91" s="6">
        <f t="shared" si="16"/>
        <v>99288.25</v>
      </c>
      <c r="J91" s="6">
        <f t="shared" si="16"/>
        <v>214646.37999999998</v>
      </c>
      <c r="K91" s="6">
        <f t="shared" si="16"/>
        <v>7827.65</v>
      </c>
      <c r="L91" s="6">
        <f t="shared" si="16"/>
        <v>58169.74</v>
      </c>
      <c r="M91" s="6">
        <f t="shared" si="16"/>
        <v>918419.92</v>
      </c>
      <c r="N91" s="6">
        <f t="shared" si="16"/>
        <v>30102.52</v>
      </c>
      <c r="O91" s="6">
        <f t="shared" si="16"/>
        <v>283122.82</v>
      </c>
      <c r="P91" s="6">
        <f t="shared" si="16"/>
        <v>0</v>
      </c>
      <c r="Q91" s="6">
        <f t="shared" si="16"/>
        <v>514539.67999999993</v>
      </c>
      <c r="R91" s="6">
        <f t="shared" si="16"/>
        <v>282448.22000000003</v>
      </c>
      <c r="S91" s="6">
        <f t="shared" si="16"/>
        <v>328510.22000000003</v>
      </c>
      <c r="T91" s="6">
        <f t="shared" si="16"/>
        <v>94666.140000000014</v>
      </c>
      <c r="U91" s="6">
        <f t="shared" si="16"/>
        <v>0</v>
      </c>
      <c r="V91" s="6">
        <f t="shared" si="16"/>
        <v>68368.62000000001</v>
      </c>
      <c r="W91" s="6">
        <f t="shared" si="16"/>
        <v>788788.17000000016</v>
      </c>
      <c r="X91" s="6">
        <f t="shared" si="16"/>
        <v>87158.42</v>
      </c>
      <c r="Y91" s="6">
        <f t="shared" si="16"/>
        <v>435.57</v>
      </c>
      <c r="Z91" s="6">
        <f t="shared" si="16"/>
        <v>16083.3</v>
      </c>
      <c r="AA91" s="6">
        <f t="shared" si="16"/>
        <v>1734.6200000000001</v>
      </c>
      <c r="AB91" s="6">
        <f t="shared" si="16"/>
        <v>6360.31</v>
      </c>
      <c r="AC91" s="6">
        <f t="shared" si="16"/>
        <v>830653.35000000009</v>
      </c>
      <c r="AD91" s="6">
        <f t="shared" si="16"/>
        <v>0</v>
      </c>
      <c r="AE91" s="6">
        <f t="shared" si="16"/>
        <v>1469420.61</v>
      </c>
      <c r="AF91" s="6">
        <f t="shared" si="16"/>
        <v>85358.46</v>
      </c>
      <c r="AG91" s="6">
        <f t="shared" si="16"/>
        <v>0</v>
      </c>
      <c r="AH91" s="6">
        <f t="shared" si="10"/>
        <v>8895168.2799999993</v>
      </c>
    </row>
    <row r="92" spans="1:34" x14ac:dyDescent="0.25">
      <c r="A92" s="3" t="s">
        <v>119</v>
      </c>
      <c r="B92" s="6">
        <f t="shared" ref="B92:AG92" si="17">(B30)-(B91)</f>
        <v>302994.20000000019</v>
      </c>
      <c r="C92" s="6">
        <f t="shared" si="17"/>
        <v>-94.449999999999989</v>
      </c>
      <c r="D92" s="6">
        <f t="shared" si="17"/>
        <v>-4517.7299999999996</v>
      </c>
      <c r="E92" s="6">
        <f t="shared" si="17"/>
        <v>-0.14000000000000001</v>
      </c>
      <c r="F92" s="6">
        <f t="shared" si="17"/>
        <v>905425.08999999985</v>
      </c>
      <c r="G92" s="6">
        <f t="shared" si="17"/>
        <v>0</v>
      </c>
      <c r="H92" s="6">
        <f t="shared" si="17"/>
        <v>0</v>
      </c>
      <c r="I92" s="6">
        <f t="shared" si="17"/>
        <v>0</v>
      </c>
      <c r="J92" s="6">
        <f t="shared" si="17"/>
        <v>173526.79</v>
      </c>
      <c r="K92" s="6">
        <f t="shared" si="17"/>
        <v>-3897.6499999999996</v>
      </c>
      <c r="L92" s="6">
        <f t="shared" si="17"/>
        <v>34868.950000000004</v>
      </c>
      <c r="M92" s="6">
        <f t="shared" si="17"/>
        <v>-161174.53000000003</v>
      </c>
      <c r="N92" s="6">
        <f t="shared" si="17"/>
        <v>0</v>
      </c>
      <c r="O92" s="6">
        <f t="shared" si="17"/>
        <v>0</v>
      </c>
      <c r="P92" s="6">
        <f t="shared" si="17"/>
        <v>8000</v>
      </c>
      <c r="Q92" s="6">
        <f t="shared" si="17"/>
        <v>-61258.669999999925</v>
      </c>
      <c r="R92" s="6">
        <f t="shared" si="17"/>
        <v>-30422.040000000037</v>
      </c>
      <c r="S92" s="6">
        <f t="shared" si="17"/>
        <v>-13485.110000000044</v>
      </c>
      <c r="T92" s="6">
        <f t="shared" si="17"/>
        <v>-0.14000000001396984</v>
      </c>
      <c r="U92" s="6">
        <f t="shared" si="17"/>
        <v>-199.99</v>
      </c>
      <c r="V92" s="6">
        <f t="shared" si="17"/>
        <v>-3284.4500000000116</v>
      </c>
      <c r="W92" s="6">
        <f t="shared" si="17"/>
        <v>-53224.780000000144</v>
      </c>
      <c r="X92" s="6">
        <f t="shared" si="17"/>
        <v>-500</v>
      </c>
      <c r="Y92" s="6">
        <f t="shared" si="17"/>
        <v>-435.57</v>
      </c>
      <c r="Z92" s="6">
        <f t="shared" si="17"/>
        <v>13916.7</v>
      </c>
      <c r="AA92" s="6">
        <f t="shared" si="17"/>
        <v>0</v>
      </c>
      <c r="AB92" s="6">
        <f t="shared" si="17"/>
        <v>-5251.35</v>
      </c>
      <c r="AC92" s="6">
        <f t="shared" si="17"/>
        <v>-142243.90000000014</v>
      </c>
      <c r="AD92" s="6">
        <f t="shared" si="17"/>
        <v>0</v>
      </c>
      <c r="AE92" s="6">
        <f t="shared" si="17"/>
        <v>-274154.10000000009</v>
      </c>
      <c r="AF92" s="6">
        <f t="shared" si="17"/>
        <v>12641.539999999994</v>
      </c>
      <c r="AG92" s="6">
        <f t="shared" si="17"/>
        <v>0</v>
      </c>
      <c r="AH92" s="6">
        <f t="shared" si="10"/>
        <v>697228.66999999923</v>
      </c>
    </row>
    <row r="93" spans="1:34" x14ac:dyDescent="0.25">
      <c r="A93" s="3" t="s">
        <v>120</v>
      </c>
      <c r="B93" s="7">
        <f t="shared" ref="B93:AG93" si="18">(B92)+(0)</f>
        <v>302994.20000000019</v>
      </c>
      <c r="C93" s="7">
        <f t="shared" si="18"/>
        <v>-94.449999999999989</v>
      </c>
      <c r="D93" s="7">
        <f t="shared" si="18"/>
        <v>-4517.7299999999996</v>
      </c>
      <c r="E93" s="7">
        <f t="shared" si="18"/>
        <v>-0.14000000000000001</v>
      </c>
      <c r="F93" s="7">
        <f t="shared" si="18"/>
        <v>905425.08999999985</v>
      </c>
      <c r="G93" s="7">
        <f t="shared" si="18"/>
        <v>0</v>
      </c>
      <c r="H93" s="7">
        <f t="shared" si="18"/>
        <v>0</v>
      </c>
      <c r="I93" s="7">
        <f t="shared" si="18"/>
        <v>0</v>
      </c>
      <c r="J93" s="7">
        <f t="shared" si="18"/>
        <v>173526.79</v>
      </c>
      <c r="K93" s="7">
        <f t="shared" si="18"/>
        <v>-3897.6499999999996</v>
      </c>
      <c r="L93" s="7">
        <f t="shared" si="18"/>
        <v>34868.950000000004</v>
      </c>
      <c r="M93" s="7">
        <f t="shared" si="18"/>
        <v>-161174.53000000003</v>
      </c>
      <c r="N93" s="7">
        <f t="shared" si="18"/>
        <v>0</v>
      </c>
      <c r="O93" s="7">
        <f t="shared" si="18"/>
        <v>0</v>
      </c>
      <c r="P93" s="7">
        <f t="shared" si="18"/>
        <v>8000</v>
      </c>
      <c r="Q93" s="7">
        <f t="shared" si="18"/>
        <v>-61258.669999999925</v>
      </c>
      <c r="R93" s="7">
        <f t="shared" si="18"/>
        <v>-30422.040000000037</v>
      </c>
      <c r="S93" s="7">
        <f t="shared" si="18"/>
        <v>-13485.110000000044</v>
      </c>
      <c r="T93" s="7">
        <f t="shared" si="18"/>
        <v>-0.14000000001396984</v>
      </c>
      <c r="U93" s="7">
        <f t="shared" si="18"/>
        <v>-199.99</v>
      </c>
      <c r="V93" s="7">
        <f t="shared" si="18"/>
        <v>-3284.4500000000116</v>
      </c>
      <c r="W93" s="7">
        <f t="shared" si="18"/>
        <v>-53224.780000000144</v>
      </c>
      <c r="X93" s="7">
        <f t="shared" si="18"/>
        <v>-500</v>
      </c>
      <c r="Y93" s="7">
        <f t="shared" si="18"/>
        <v>-435.57</v>
      </c>
      <c r="Z93" s="7">
        <f t="shared" si="18"/>
        <v>13916.7</v>
      </c>
      <c r="AA93" s="7">
        <f t="shared" si="18"/>
        <v>0</v>
      </c>
      <c r="AB93" s="7">
        <f t="shared" si="18"/>
        <v>-5251.35</v>
      </c>
      <c r="AC93" s="7">
        <f t="shared" si="18"/>
        <v>-142243.90000000014</v>
      </c>
      <c r="AD93" s="7">
        <f t="shared" si="18"/>
        <v>0</v>
      </c>
      <c r="AE93" s="7">
        <f t="shared" si="18"/>
        <v>-274154.10000000009</v>
      </c>
      <c r="AF93" s="7">
        <f t="shared" si="18"/>
        <v>12641.539999999994</v>
      </c>
      <c r="AG93" s="7">
        <f t="shared" si="18"/>
        <v>0</v>
      </c>
      <c r="AH93" s="7">
        <f t="shared" si="10"/>
        <v>697228.66999999923</v>
      </c>
    </row>
    <row r="94" spans="1:34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7" spans="1:34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</sheetData>
  <sheetProtection algorithmName="SHA-512" hashValue="LNs1cm+Gx2TsDoG+LzPbT7Ue++zOY8CgTLXbUBG1fpOHWxBkQBl8tN2hit5gMDMmE2rO9hHRtcjvNIVC8LOkIg==" saltValue="hJWyVOqUFHCgGwQcIex7Sg==" spinCount="100000" sheet="1" objects="1" scenarios="1"/>
  <mergeCells count="4">
    <mergeCell ref="A97:AH97"/>
    <mergeCell ref="A1:AH1"/>
    <mergeCell ref="A2:AH2"/>
    <mergeCell ref="A3:AH3"/>
  </mergeCells>
  <pageMargins left="0.7" right="0.7" top="0.75" bottom="0.75" header="0.3" footer="0.3"/>
  <pageSetup paperSize="5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2026-04-07T19:27:46Z</cp:lastPrinted>
  <dcterms:created xsi:type="dcterms:W3CDTF">2026-04-07T19:26:41Z</dcterms:created>
  <dcterms:modified xsi:type="dcterms:W3CDTF">2026-04-07T19:28:19Z</dcterms:modified>
</cp:coreProperties>
</file>