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2025-26\March 2026\"/>
    </mc:Choice>
  </mc:AlternateContent>
  <xr:revisionPtr revIDLastSave="0" documentId="13_ncr:1_{3DE39341-764D-4530-A2D5-50103813F85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T90" i="1" l="1"/>
  <c r="S90" i="1"/>
  <c r="R90" i="1"/>
  <c r="O90" i="1"/>
  <c r="M90" i="1"/>
  <c r="L90" i="1"/>
  <c r="K90" i="1"/>
  <c r="J90" i="1"/>
  <c r="H90" i="1"/>
  <c r="G90" i="1"/>
  <c r="E90" i="1"/>
  <c r="D90" i="1"/>
  <c r="C90" i="1"/>
  <c r="B90" i="1"/>
  <c r="AF89" i="1"/>
  <c r="AF90" i="1" s="1"/>
  <c r="AE89" i="1"/>
  <c r="AE90" i="1" s="1"/>
  <c r="AD89" i="1"/>
  <c r="AC89" i="1"/>
  <c r="AC90" i="1" s="1"/>
  <c r="AB89" i="1"/>
  <c r="AB90" i="1" s="1"/>
  <c r="AA89" i="1"/>
  <c r="AA90" i="1" s="1"/>
  <c r="Z89" i="1"/>
  <c r="Z90" i="1" s="1"/>
  <c r="Y89" i="1"/>
  <c r="Y90" i="1" s="1"/>
  <c r="X89" i="1"/>
  <c r="X90" i="1" s="1"/>
  <c r="W89" i="1"/>
  <c r="W90" i="1" s="1"/>
  <c r="V89" i="1"/>
  <c r="U89" i="1"/>
  <c r="U90" i="1" s="1"/>
  <c r="S89" i="1"/>
  <c r="R89" i="1"/>
  <c r="Q89" i="1"/>
  <c r="Q90" i="1" s="1"/>
  <c r="P89" i="1"/>
  <c r="P90" i="1" s="1"/>
  <c r="N89" i="1"/>
  <c r="N90" i="1" s="1"/>
  <c r="M89" i="1"/>
  <c r="L89" i="1"/>
  <c r="K89" i="1"/>
  <c r="I89" i="1"/>
  <c r="I90" i="1" s="1"/>
  <c r="F89" i="1"/>
  <c r="AG89" i="1" s="1"/>
  <c r="AG88" i="1"/>
  <c r="AD88" i="1"/>
  <c r="AD90" i="1" s="1"/>
  <c r="V88" i="1"/>
  <c r="V90" i="1" s="1"/>
  <c r="U88" i="1"/>
  <c r="K88" i="1"/>
  <c r="B88" i="1"/>
  <c r="AG87" i="1"/>
  <c r="AF86" i="1"/>
  <c r="AC86" i="1"/>
  <c r="AA86" i="1"/>
  <c r="Z86" i="1"/>
  <c r="Y86" i="1"/>
  <c r="X86" i="1"/>
  <c r="T86" i="1"/>
  <c r="S86" i="1"/>
  <c r="R86" i="1"/>
  <c r="Q86" i="1"/>
  <c r="P86" i="1"/>
  <c r="O86" i="1"/>
  <c r="L86" i="1"/>
  <c r="K86" i="1"/>
  <c r="I86" i="1"/>
  <c r="H86" i="1"/>
  <c r="G86" i="1"/>
  <c r="E86" i="1"/>
  <c r="D86" i="1"/>
  <c r="C86" i="1"/>
  <c r="B85" i="1"/>
  <c r="AG85" i="1" s="1"/>
  <c r="AB84" i="1"/>
  <c r="W84" i="1"/>
  <c r="V84" i="1"/>
  <c r="U84" i="1"/>
  <c r="N84" i="1"/>
  <c r="B84" i="1"/>
  <c r="AG84" i="1" s="1"/>
  <c r="AG83" i="1"/>
  <c r="AE83" i="1"/>
  <c r="AD83" i="1"/>
  <c r="AB83" i="1"/>
  <c r="AA83" i="1"/>
  <c r="Z83" i="1"/>
  <c r="W83" i="1"/>
  <c r="V83" i="1"/>
  <c r="U83" i="1"/>
  <c r="R83" i="1"/>
  <c r="N83" i="1"/>
  <c r="J83" i="1"/>
  <c r="F83" i="1"/>
  <c r="B83" i="1"/>
  <c r="AD82" i="1"/>
  <c r="AB82" i="1"/>
  <c r="W82" i="1"/>
  <c r="V82" i="1"/>
  <c r="U82" i="1"/>
  <c r="N82" i="1"/>
  <c r="F82" i="1"/>
  <c r="F86" i="1" s="1"/>
  <c r="B82" i="1"/>
  <c r="B86" i="1" s="1"/>
  <c r="AE81" i="1"/>
  <c r="AE86" i="1" s="1"/>
  <c r="AD81" i="1"/>
  <c r="AD86" i="1" s="1"/>
  <c r="AB81" i="1"/>
  <c r="AB86" i="1" s="1"/>
  <c r="W81" i="1"/>
  <c r="W86" i="1" s="1"/>
  <c r="V81" i="1"/>
  <c r="V86" i="1" s="1"/>
  <c r="U81" i="1"/>
  <c r="U86" i="1" s="1"/>
  <c r="N81" i="1"/>
  <c r="N86" i="1" s="1"/>
  <c r="M81" i="1"/>
  <c r="M86" i="1" s="1"/>
  <c r="J81" i="1"/>
  <c r="J86" i="1" s="1"/>
  <c r="B81" i="1"/>
  <c r="AG80" i="1"/>
  <c r="AF79" i="1"/>
  <c r="AC79" i="1"/>
  <c r="AB79" i="1"/>
  <c r="Y79" i="1"/>
  <c r="T79" i="1"/>
  <c r="S79" i="1"/>
  <c r="R79" i="1"/>
  <c r="Q79" i="1"/>
  <c r="P79" i="1"/>
  <c r="O79" i="1"/>
  <c r="M79" i="1"/>
  <c r="L79" i="1"/>
  <c r="I79" i="1"/>
  <c r="H79" i="1"/>
  <c r="G79" i="1"/>
  <c r="E79" i="1"/>
  <c r="D79" i="1"/>
  <c r="F78" i="1"/>
  <c r="B78" i="1"/>
  <c r="AG78" i="1" s="1"/>
  <c r="AE77" i="1"/>
  <c r="AE79" i="1" s="1"/>
  <c r="AD77" i="1"/>
  <c r="AB77" i="1"/>
  <c r="AA77" i="1"/>
  <c r="AA79" i="1" s="1"/>
  <c r="Z77" i="1"/>
  <c r="Z79" i="1" s="1"/>
  <c r="W77" i="1"/>
  <c r="V77" i="1"/>
  <c r="U77" i="1"/>
  <c r="N77" i="1"/>
  <c r="K77" i="1"/>
  <c r="J77" i="1"/>
  <c r="H77" i="1"/>
  <c r="F77" i="1"/>
  <c r="D77" i="1"/>
  <c r="C77" i="1"/>
  <c r="C79" i="1" s="1"/>
  <c r="B77" i="1"/>
  <c r="AG77" i="1" s="1"/>
  <c r="X76" i="1"/>
  <c r="AG76" i="1" s="1"/>
  <c r="K76" i="1"/>
  <c r="K79" i="1" s="1"/>
  <c r="J76" i="1"/>
  <c r="J79" i="1" s="1"/>
  <c r="F76" i="1"/>
  <c r="B76" i="1"/>
  <c r="AD75" i="1"/>
  <c r="AD79" i="1" s="1"/>
  <c r="AB75" i="1"/>
  <c r="V75" i="1"/>
  <c r="AG75" i="1" s="1"/>
  <c r="U75" i="1"/>
  <c r="F75" i="1"/>
  <c r="B75" i="1"/>
  <c r="AD74" i="1"/>
  <c r="AB74" i="1"/>
  <c r="W74" i="1"/>
  <c r="W79" i="1" s="1"/>
  <c r="V74" i="1"/>
  <c r="V79" i="1" s="1"/>
  <c r="U74" i="1"/>
  <c r="N74" i="1"/>
  <c r="F74" i="1"/>
  <c r="B74" i="1"/>
  <c r="AG74" i="1" s="1"/>
  <c r="V73" i="1"/>
  <c r="U73" i="1"/>
  <c r="U79" i="1" s="1"/>
  <c r="N73" i="1"/>
  <c r="AG73" i="1" s="1"/>
  <c r="F73" i="1"/>
  <c r="B73" i="1"/>
  <c r="V72" i="1"/>
  <c r="U72" i="1"/>
  <c r="F72" i="1"/>
  <c r="F79" i="1" s="1"/>
  <c r="B72" i="1"/>
  <c r="B79" i="1" s="1"/>
  <c r="AG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E70" i="1"/>
  <c r="D70" i="1"/>
  <c r="C70" i="1"/>
  <c r="B70" i="1"/>
  <c r="F69" i="1"/>
  <c r="B69" i="1"/>
  <c r="AG69" i="1" s="1"/>
  <c r="F68" i="1"/>
  <c r="F70" i="1" s="1"/>
  <c r="B68" i="1"/>
  <c r="AG68" i="1" s="1"/>
  <c r="AG67" i="1"/>
  <c r="AF66" i="1"/>
  <c r="AE66" i="1"/>
  <c r="AC66" i="1"/>
  <c r="AA66" i="1"/>
  <c r="Z66" i="1"/>
  <c r="Y66" i="1"/>
  <c r="X66" i="1"/>
  <c r="T66" i="1"/>
  <c r="S66" i="1"/>
  <c r="R66" i="1"/>
  <c r="Q66" i="1"/>
  <c r="P66" i="1"/>
  <c r="O66" i="1"/>
  <c r="M66" i="1"/>
  <c r="L66" i="1"/>
  <c r="K66" i="1"/>
  <c r="J66" i="1"/>
  <c r="I66" i="1"/>
  <c r="H66" i="1"/>
  <c r="G66" i="1"/>
  <c r="E66" i="1"/>
  <c r="D66" i="1"/>
  <c r="C66" i="1"/>
  <c r="AG65" i="1"/>
  <c r="J65" i="1"/>
  <c r="AG64" i="1"/>
  <c r="F64" i="1"/>
  <c r="AD63" i="1"/>
  <c r="AD66" i="1" s="1"/>
  <c r="AB63" i="1"/>
  <c r="AB66" i="1" s="1"/>
  <c r="W63" i="1"/>
  <c r="W66" i="1" s="1"/>
  <c r="V63" i="1"/>
  <c r="U63" i="1"/>
  <c r="U66" i="1" s="1"/>
  <c r="N63" i="1"/>
  <c r="N66" i="1" s="1"/>
  <c r="J63" i="1"/>
  <c r="F63" i="1"/>
  <c r="B63" i="1"/>
  <c r="AG63" i="1" s="1"/>
  <c r="F62" i="1"/>
  <c r="B62" i="1"/>
  <c r="AG62" i="1" s="1"/>
  <c r="V61" i="1"/>
  <c r="AG61" i="1" s="1"/>
  <c r="J60" i="1"/>
  <c r="F60" i="1"/>
  <c r="B60" i="1"/>
  <c r="AG60" i="1" s="1"/>
  <c r="F59" i="1"/>
  <c r="AG59" i="1" s="1"/>
  <c r="B59" i="1"/>
  <c r="F58" i="1"/>
  <c r="B58" i="1"/>
  <c r="AG58" i="1" s="1"/>
  <c r="F57" i="1"/>
  <c r="F66" i="1" s="1"/>
  <c r="B57" i="1"/>
  <c r="AG57" i="1" s="1"/>
  <c r="AG56" i="1"/>
  <c r="AD55" i="1"/>
  <c r="AB55" i="1"/>
  <c r="W55" i="1"/>
  <c r="N55" i="1"/>
  <c r="J55" i="1"/>
  <c r="F55" i="1"/>
  <c r="B55" i="1"/>
  <c r="AG55" i="1" s="1"/>
  <c r="AF54" i="1"/>
  <c r="AE54" i="1"/>
  <c r="AD54" i="1"/>
  <c r="AC54" i="1"/>
  <c r="AB54" i="1"/>
  <c r="AA54" i="1"/>
  <c r="AA91" i="1" s="1"/>
  <c r="Z54" i="1"/>
  <c r="Y54" i="1"/>
  <c r="X54" i="1"/>
  <c r="T54" i="1"/>
  <c r="S54" i="1"/>
  <c r="R54" i="1"/>
  <c r="O54" i="1"/>
  <c r="J54" i="1"/>
  <c r="J91" i="1" s="1"/>
  <c r="I54" i="1"/>
  <c r="H54" i="1"/>
  <c r="G54" i="1"/>
  <c r="E54" i="1"/>
  <c r="D54" i="1"/>
  <c r="C54" i="1"/>
  <c r="C91" i="1" s="1"/>
  <c r="AD53" i="1"/>
  <c r="AB53" i="1"/>
  <c r="W53" i="1"/>
  <c r="W54" i="1" s="1"/>
  <c r="V53" i="1"/>
  <c r="V54" i="1" s="1"/>
  <c r="U53" i="1"/>
  <c r="U54" i="1" s="1"/>
  <c r="N53" i="1"/>
  <c r="N54" i="1" s="1"/>
  <c r="L53" i="1"/>
  <c r="L54" i="1" s="1"/>
  <c r="J53" i="1"/>
  <c r="F53" i="1"/>
  <c r="B53" i="1"/>
  <c r="AG53" i="1" s="1"/>
  <c r="F52" i="1"/>
  <c r="B52" i="1"/>
  <c r="AG52" i="1" s="1"/>
  <c r="B51" i="1"/>
  <c r="AG51" i="1" s="1"/>
  <c r="AD50" i="1"/>
  <c r="V50" i="1"/>
  <c r="Q50" i="1"/>
  <c r="Q54" i="1" s="1"/>
  <c r="P50" i="1"/>
  <c r="P54" i="1" s="1"/>
  <c r="M50" i="1"/>
  <c r="M54" i="1" s="1"/>
  <c r="K50" i="1"/>
  <c r="K54" i="1" s="1"/>
  <c r="F50" i="1"/>
  <c r="F54" i="1" s="1"/>
  <c r="B50" i="1"/>
  <c r="AG50" i="1" s="1"/>
  <c r="AG49" i="1"/>
  <c r="AA48" i="1"/>
  <c r="Z48" i="1"/>
  <c r="X48" i="1"/>
  <c r="U48" i="1"/>
  <c r="U91" i="1" s="1"/>
  <c r="T48" i="1"/>
  <c r="T91" i="1" s="1"/>
  <c r="O48" i="1"/>
  <c r="L48" i="1"/>
  <c r="K48" i="1"/>
  <c r="J48" i="1"/>
  <c r="H48" i="1"/>
  <c r="G48" i="1"/>
  <c r="E48" i="1"/>
  <c r="E91" i="1" s="1"/>
  <c r="D48" i="1"/>
  <c r="D91" i="1" s="1"/>
  <c r="C48" i="1"/>
  <c r="AF47" i="1"/>
  <c r="AE47" i="1"/>
  <c r="AD47" i="1"/>
  <c r="AC47" i="1"/>
  <c r="AB47" i="1"/>
  <c r="AB48" i="1" s="1"/>
  <c r="W47" i="1"/>
  <c r="V47" i="1"/>
  <c r="R47" i="1"/>
  <c r="Q47" i="1"/>
  <c r="P47" i="1"/>
  <c r="N47" i="1"/>
  <c r="AG47" i="1" s="1"/>
  <c r="AF46" i="1"/>
  <c r="AD46" i="1"/>
  <c r="AB46" i="1"/>
  <c r="Y46" i="1"/>
  <c r="W46" i="1"/>
  <c r="R46" i="1"/>
  <c r="Q46" i="1"/>
  <c r="N46" i="1"/>
  <c r="N48" i="1" s="1"/>
  <c r="M46" i="1"/>
  <c r="AG46" i="1" s="1"/>
  <c r="L46" i="1"/>
  <c r="I46" i="1"/>
  <c r="F46" i="1"/>
  <c r="AE45" i="1"/>
  <c r="AE48" i="1" s="1"/>
  <c r="AD45" i="1"/>
  <c r="AB45" i="1"/>
  <c r="Y45" i="1"/>
  <c r="V45" i="1"/>
  <c r="S45" i="1"/>
  <c r="R45" i="1"/>
  <c r="Q45" i="1"/>
  <c r="P45" i="1"/>
  <c r="M45" i="1"/>
  <c r="L45" i="1"/>
  <c r="I45" i="1"/>
  <c r="AG45" i="1" s="1"/>
  <c r="F45" i="1"/>
  <c r="B45" i="1"/>
  <c r="AD44" i="1"/>
  <c r="Q44" i="1"/>
  <c r="M44" i="1"/>
  <c r="F44" i="1"/>
  <c r="B44" i="1"/>
  <c r="AG44" i="1" s="1"/>
  <c r="AF43" i="1"/>
  <c r="AE43" i="1"/>
  <c r="AD43" i="1"/>
  <c r="AC43" i="1"/>
  <c r="AB43" i="1"/>
  <c r="W43" i="1"/>
  <c r="V43" i="1"/>
  <c r="R43" i="1"/>
  <c r="Q43" i="1"/>
  <c r="P43" i="1"/>
  <c r="N43" i="1"/>
  <c r="AG43" i="1" s="1"/>
  <c r="AF42" i="1"/>
  <c r="AD42" i="1"/>
  <c r="AD48" i="1" s="1"/>
  <c r="AC42" i="1"/>
  <c r="AC48" i="1" s="1"/>
  <c r="AB42" i="1"/>
  <c r="V42" i="1"/>
  <c r="Q42" i="1"/>
  <c r="P42" i="1"/>
  <c r="M42" i="1"/>
  <c r="I42" i="1"/>
  <c r="F42" i="1"/>
  <c r="B42" i="1"/>
  <c r="AG42" i="1" s="1"/>
  <c r="AE41" i="1"/>
  <c r="AD41" i="1"/>
  <c r="AB41" i="1"/>
  <c r="Y41" i="1"/>
  <c r="W41" i="1"/>
  <c r="V41" i="1"/>
  <c r="S41" i="1"/>
  <c r="R41" i="1"/>
  <c r="N41" i="1"/>
  <c r="M41" i="1"/>
  <c r="L41" i="1"/>
  <c r="F41" i="1"/>
  <c r="B41" i="1"/>
  <c r="AG41" i="1" s="1"/>
  <c r="AF40" i="1"/>
  <c r="AE40" i="1"/>
  <c r="AD40" i="1"/>
  <c r="AC40" i="1"/>
  <c r="AB40" i="1"/>
  <c r="Y40" i="1"/>
  <c r="Y48" i="1" s="1"/>
  <c r="W40" i="1"/>
  <c r="V40" i="1"/>
  <c r="S40" i="1"/>
  <c r="S48" i="1" s="1"/>
  <c r="R40" i="1"/>
  <c r="Q40" i="1"/>
  <c r="P40" i="1"/>
  <c r="N40" i="1"/>
  <c r="M40" i="1"/>
  <c r="L40" i="1"/>
  <c r="I40" i="1"/>
  <c r="F40" i="1"/>
  <c r="F48" i="1" s="1"/>
  <c r="B40" i="1"/>
  <c r="AF39" i="1"/>
  <c r="AD39" i="1"/>
  <c r="AC39" i="1"/>
  <c r="AB39" i="1"/>
  <c r="V39" i="1"/>
  <c r="Q39" i="1"/>
  <c r="P39" i="1"/>
  <c r="M39" i="1"/>
  <c r="I39" i="1"/>
  <c r="I48" i="1" s="1"/>
  <c r="F39" i="1"/>
  <c r="B39" i="1"/>
  <c r="AG39" i="1" s="1"/>
  <c r="B38" i="1"/>
  <c r="B48" i="1" s="1"/>
  <c r="AG37" i="1"/>
  <c r="AF37" i="1"/>
  <c r="AF48" i="1" s="1"/>
  <c r="AE37" i="1"/>
  <c r="AD37" i="1"/>
  <c r="AC37" i="1"/>
  <c r="AB37" i="1"/>
  <c r="W37" i="1"/>
  <c r="W48" i="1" s="1"/>
  <c r="V37" i="1"/>
  <c r="V48" i="1" s="1"/>
  <c r="R37" i="1"/>
  <c r="R48" i="1" s="1"/>
  <c r="R91" i="1" s="1"/>
  <c r="Q37" i="1"/>
  <c r="Q48" i="1" s="1"/>
  <c r="P37" i="1"/>
  <c r="P48" i="1" s="1"/>
  <c r="N37" i="1"/>
  <c r="AG36" i="1"/>
  <c r="AE35" i="1"/>
  <c r="AD35" i="1"/>
  <c r="AA35" i="1"/>
  <c r="Z35" i="1"/>
  <c r="Y35" i="1"/>
  <c r="Y91" i="1" s="1"/>
  <c r="X35" i="1"/>
  <c r="W35" i="1"/>
  <c r="V35" i="1"/>
  <c r="U35" i="1"/>
  <c r="T35" i="1"/>
  <c r="R35" i="1"/>
  <c r="Q35" i="1"/>
  <c r="P35" i="1"/>
  <c r="O35" i="1"/>
  <c r="O91" i="1" s="1"/>
  <c r="N35" i="1"/>
  <c r="K35" i="1"/>
  <c r="J35" i="1"/>
  <c r="H35" i="1"/>
  <c r="H91" i="1" s="1"/>
  <c r="G35" i="1"/>
  <c r="G91" i="1" s="1"/>
  <c r="E35" i="1"/>
  <c r="D35" i="1"/>
  <c r="C35" i="1"/>
  <c r="AF34" i="1"/>
  <c r="AF35" i="1" s="1"/>
  <c r="AD34" i="1"/>
  <c r="AC34" i="1"/>
  <c r="AC35" i="1" s="1"/>
  <c r="AB34" i="1"/>
  <c r="Y34" i="1"/>
  <c r="V34" i="1"/>
  <c r="Q34" i="1"/>
  <c r="P34" i="1"/>
  <c r="M34" i="1"/>
  <c r="I34" i="1"/>
  <c r="I35" i="1" s="1"/>
  <c r="I91" i="1" s="1"/>
  <c r="F34" i="1"/>
  <c r="AG34" i="1" s="1"/>
  <c r="B34" i="1"/>
  <c r="AE33" i="1"/>
  <c r="AD33" i="1"/>
  <c r="AB33" i="1"/>
  <c r="AB35" i="1" s="1"/>
  <c r="AB91" i="1" s="1"/>
  <c r="W33" i="1"/>
  <c r="V33" i="1"/>
  <c r="S33" i="1"/>
  <c r="S35" i="1" s="1"/>
  <c r="R33" i="1"/>
  <c r="N33" i="1"/>
  <c r="M33" i="1"/>
  <c r="M35" i="1" s="1"/>
  <c r="L33" i="1"/>
  <c r="L35" i="1" s="1"/>
  <c r="L91" i="1" s="1"/>
  <c r="F33" i="1"/>
  <c r="B33" i="1"/>
  <c r="AG33" i="1" s="1"/>
  <c r="AG32" i="1"/>
  <c r="Y28" i="1"/>
  <c r="X28" i="1"/>
  <c r="U28" i="1"/>
  <c r="T28" i="1"/>
  <c r="S28" i="1"/>
  <c r="R28" i="1"/>
  <c r="Q28" i="1"/>
  <c r="O28" i="1"/>
  <c r="L28" i="1"/>
  <c r="K28" i="1"/>
  <c r="J28" i="1"/>
  <c r="I28" i="1"/>
  <c r="H28" i="1"/>
  <c r="F28" i="1"/>
  <c r="D28" i="1"/>
  <c r="C28" i="1"/>
  <c r="B28" i="1"/>
  <c r="AG27" i="1"/>
  <c r="AF27" i="1"/>
  <c r="AF28" i="1" s="1"/>
  <c r="AE27" i="1"/>
  <c r="AE28" i="1" s="1"/>
  <c r="AD27" i="1"/>
  <c r="AD28" i="1" s="1"/>
  <c r="AC27" i="1"/>
  <c r="AC28" i="1" s="1"/>
  <c r="AB27" i="1"/>
  <c r="AB28" i="1" s="1"/>
  <c r="AA27" i="1"/>
  <c r="AA28" i="1" s="1"/>
  <c r="Z27" i="1"/>
  <c r="Z28" i="1" s="1"/>
  <c r="W27" i="1"/>
  <c r="W28" i="1" s="1"/>
  <c r="V27" i="1"/>
  <c r="V28" i="1" s="1"/>
  <c r="U27" i="1"/>
  <c r="T27" i="1"/>
  <c r="R27" i="1"/>
  <c r="N27" i="1"/>
  <c r="N28" i="1" s="1"/>
  <c r="G27" i="1"/>
  <c r="G28" i="1" s="1"/>
  <c r="E27" i="1"/>
  <c r="E28" i="1" s="1"/>
  <c r="AG26" i="1"/>
  <c r="S26" i="1"/>
  <c r="Q26" i="1"/>
  <c r="P26" i="1"/>
  <c r="P28" i="1" s="1"/>
  <c r="M26" i="1"/>
  <c r="M28" i="1" s="1"/>
  <c r="AG25" i="1"/>
  <c r="B24" i="1"/>
  <c r="AG24" i="1" s="1"/>
  <c r="AG23" i="1"/>
  <c r="B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G22" i="1"/>
  <c r="E22" i="1"/>
  <c r="D22" i="1"/>
  <c r="C22" i="1"/>
  <c r="B22" i="1"/>
  <c r="AG22" i="1" s="1"/>
  <c r="AG21" i="1"/>
  <c r="F21" i="1"/>
  <c r="L20" i="1"/>
  <c r="H20" i="1"/>
  <c r="H22" i="1" s="1"/>
  <c r="F20" i="1"/>
  <c r="F22" i="1" s="1"/>
  <c r="AF19" i="1"/>
  <c r="AE19" i="1"/>
  <c r="AE29" i="1" s="1"/>
  <c r="AE30" i="1" s="1"/>
  <c r="AD19" i="1"/>
  <c r="AD29" i="1" s="1"/>
  <c r="AD30" i="1" s="1"/>
  <c r="AC19" i="1"/>
  <c r="AB19" i="1"/>
  <c r="AA19" i="1"/>
  <c r="AA29" i="1" s="1"/>
  <c r="AA30" i="1" s="1"/>
  <c r="Z19" i="1"/>
  <c r="Z29" i="1" s="1"/>
  <c r="Z30" i="1" s="1"/>
  <c r="Y19" i="1"/>
  <c r="Y29" i="1" s="1"/>
  <c r="Y30" i="1" s="1"/>
  <c r="X19" i="1"/>
  <c r="X29" i="1" s="1"/>
  <c r="X30" i="1" s="1"/>
  <c r="W19" i="1"/>
  <c r="W29" i="1" s="1"/>
  <c r="W30" i="1" s="1"/>
  <c r="V19" i="1"/>
  <c r="V29" i="1" s="1"/>
  <c r="V30" i="1" s="1"/>
  <c r="U19" i="1"/>
  <c r="U29" i="1" s="1"/>
  <c r="U30" i="1" s="1"/>
  <c r="T19" i="1"/>
  <c r="T29" i="1" s="1"/>
  <c r="T30" i="1" s="1"/>
  <c r="T92" i="1" s="1"/>
  <c r="T93" i="1" s="1"/>
  <c r="S19" i="1"/>
  <c r="S29" i="1" s="1"/>
  <c r="S30" i="1" s="1"/>
  <c r="R19" i="1"/>
  <c r="R29" i="1" s="1"/>
  <c r="R30" i="1" s="1"/>
  <c r="R92" i="1" s="1"/>
  <c r="R93" i="1" s="1"/>
  <c r="Q19" i="1"/>
  <c r="Q29" i="1" s="1"/>
  <c r="Q30" i="1" s="1"/>
  <c r="P19" i="1"/>
  <c r="P29" i="1" s="1"/>
  <c r="P30" i="1" s="1"/>
  <c r="N19" i="1"/>
  <c r="M19" i="1"/>
  <c r="M29" i="1" s="1"/>
  <c r="M30" i="1" s="1"/>
  <c r="L19" i="1"/>
  <c r="L29" i="1" s="1"/>
  <c r="L30" i="1" s="1"/>
  <c r="I19" i="1"/>
  <c r="I29" i="1" s="1"/>
  <c r="I30" i="1" s="1"/>
  <c r="I92" i="1" s="1"/>
  <c r="I93" i="1" s="1"/>
  <c r="H19" i="1"/>
  <c r="G19" i="1"/>
  <c r="G29" i="1" s="1"/>
  <c r="G30" i="1" s="1"/>
  <c r="G92" i="1" s="1"/>
  <c r="G93" i="1" s="1"/>
  <c r="E19" i="1"/>
  <c r="E29" i="1" s="1"/>
  <c r="E30" i="1" s="1"/>
  <c r="D19" i="1"/>
  <c r="D29" i="1" s="1"/>
  <c r="D30" i="1" s="1"/>
  <c r="D92" i="1" s="1"/>
  <c r="D93" i="1" s="1"/>
  <c r="C19" i="1"/>
  <c r="C29" i="1" s="1"/>
  <c r="C30" i="1" s="1"/>
  <c r="C92" i="1" s="1"/>
  <c r="C93" i="1" s="1"/>
  <c r="AG18" i="1"/>
  <c r="F18" i="1"/>
  <c r="G17" i="1"/>
  <c r="F17" i="1"/>
  <c r="C17" i="1"/>
  <c r="B17" i="1"/>
  <c r="AG17" i="1" s="1"/>
  <c r="B16" i="1"/>
  <c r="AG16" i="1" s="1"/>
  <c r="B15" i="1"/>
  <c r="AG15" i="1" s="1"/>
  <c r="B14" i="1"/>
  <c r="AG14" i="1" s="1"/>
  <c r="K13" i="1"/>
  <c r="K19" i="1" s="1"/>
  <c r="K29" i="1" s="1"/>
  <c r="K30" i="1" s="1"/>
  <c r="J13" i="1"/>
  <c r="J19" i="1" s="1"/>
  <c r="J29" i="1" s="1"/>
  <c r="J30" i="1" s="1"/>
  <c r="F13" i="1"/>
  <c r="AG13" i="1" s="1"/>
  <c r="B13" i="1"/>
  <c r="J12" i="1"/>
  <c r="F12" i="1"/>
  <c r="F19" i="1" s="1"/>
  <c r="F29" i="1" s="1"/>
  <c r="F30" i="1" s="1"/>
  <c r="B12" i="1"/>
  <c r="AG12" i="1" s="1"/>
  <c r="Y11" i="1"/>
  <c r="O11" i="1"/>
  <c r="O19" i="1" s="1"/>
  <c r="O29" i="1" s="1"/>
  <c r="O30" i="1" s="1"/>
  <c r="I11" i="1"/>
  <c r="K10" i="1"/>
  <c r="J10" i="1"/>
  <c r="AG10" i="1" s="1"/>
  <c r="B9" i="1"/>
  <c r="AG9" i="1" s="1"/>
  <c r="B8" i="1"/>
  <c r="AG8" i="1" s="1"/>
  <c r="AG7" i="1"/>
  <c r="N29" i="1" l="1"/>
  <c r="N30" i="1" s="1"/>
  <c r="P91" i="1"/>
  <c r="P92" i="1" s="1"/>
  <c r="P93" i="1" s="1"/>
  <c r="AF29" i="1"/>
  <c r="AF30" i="1" s="1"/>
  <c r="Q91" i="1"/>
  <c r="Q92" i="1" s="1"/>
  <c r="Q93" i="1" s="1"/>
  <c r="AG90" i="1"/>
  <c r="E92" i="1"/>
  <c r="E93" i="1" s="1"/>
  <c r="Y92" i="1"/>
  <c r="Y93" i="1" s="1"/>
  <c r="AG48" i="1"/>
  <c r="AG70" i="1"/>
  <c r="W92" i="1"/>
  <c r="W93" i="1" s="1"/>
  <c r="Z92" i="1"/>
  <c r="Z93" i="1" s="1"/>
  <c r="AG86" i="1"/>
  <c r="H29" i="1"/>
  <c r="H30" i="1" s="1"/>
  <c r="H92" i="1" s="1"/>
  <c r="H93" i="1" s="1"/>
  <c r="AA92" i="1"/>
  <c r="AA93" i="1" s="1"/>
  <c r="AC91" i="1"/>
  <c r="AE91" i="1"/>
  <c r="AE92" i="1" s="1"/>
  <c r="AE93" i="1" s="1"/>
  <c r="AG28" i="1"/>
  <c r="S91" i="1"/>
  <c r="S92" i="1" s="1"/>
  <c r="S93" i="1" s="1"/>
  <c r="X91" i="1"/>
  <c r="X92" i="1" s="1"/>
  <c r="X93" i="1" s="1"/>
  <c r="AD91" i="1"/>
  <c r="AD92" i="1" s="1"/>
  <c r="AD93" i="1" s="1"/>
  <c r="J92" i="1"/>
  <c r="J93" i="1" s="1"/>
  <c r="AB29" i="1"/>
  <c r="AB30" i="1" s="1"/>
  <c r="AB92" i="1" s="1"/>
  <c r="AB93" i="1" s="1"/>
  <c r="O92" i="1"/>
  <c r="O93" i="1" s="1"/>
  <c r="L92" i="1"/>
  <c r="L93" i="1" s="1"/>
  <c r="U92" i="1"/>
  <c r="U93" i="1" s="1"/>
  <c r="AC29" i="1"/>
  <c r="AC30" i="1" s="1"/>
  <c r="AC92" i="1" s="1"/>
  <c r="AC93" i="1" s="1"/>
  <c r="AF91" i="1"/>
  <c r="W91" i="1"/>
  <c r="K91" i="1"/>
  <c r="K92" i="1" s="1"/>
  <c r="K93" i="1" s="1"/>
  <c r="Z91" i="1"/>
  <c r="M48" i="1"/>
  <c r="M91" i="1" s="1"/>
  <c r="M92" i="1" s="1"/>
  <c r="M93" i="1" s="1"/>
  <c r="AG81" i="1"/>
  <c r="AG11" i="1"/>
  <c r="F35" i="1"/>
  <c r="F91" i="1" s="1"/>
  <c r="F92" i="1" s="1"/>
  <c r="F93" i="1" s="1"/>
  <c r="N79" i="1"/>
  <c r="N91" i="1" s="1"/>
  <c r="B19" i="1"/>
  <c r="X79" i="1"/>
  <c r="F90" i="1"/>
  <c r="AG40" i="1"/>
  <c r="AG82" i="1"/>
  <c r="AG20" i="1"/>
  <c r="B35" i="1"/>
  <c r="V66" i="1"/>
  <c r="V91" i="1" s="1"/>
  <c r="V92" i="1" s="1"/>
  <c r="V93" i="1" s="1"/>
  <c r="AG72" i="1"/>
  <c r="B54" i="1"/>
  <c r="AG54" i="1" s="1"/>
  <c r="B66" i="1"/>
  <c r="AG38" i="1"/>
  <c r="AF92" i="1" l="1"/>
  <c r="AF93" i="1" s="1"/>
  <c r="AG66" i="1"/>
  <c r="B91" i="1"/>
  <c r="AG91" i="1" s="1"/>
  <c r="AG35" i="1"/>
  <c r="AG79" i="1"/>
  <c r="N92" i="1"/>
  <c r="N93" i="1" s="1"/>
  <c r="B29" i="1"/>
  <c r="AG19" i="1"/>
  <c r="B30" i="1" l="1"/>
  <c r="AG29" i="1"/>
  <c r="B92" i="1" l="1"/>
  <c r="AG30" i="1"/>
  <c r="AG92" i="1" l="1"/>
  <c r="B93" i="1"/>
  <c r="AG93" i="1" s="1"/>
</calcChain>
</file>

<file path=xl/sharedStrings.xml><?xml version="1.0" encoding="utf-8"?>
<sst xmlns="http://schemas.openxmlformats.org/spreadsheetml/2006/main" count="123" uniqueCount="123">
  <si>
    <t>0010 - Operations</t>
  </si>
  <si>
    <t>0025 - Staff Account</t>
  </si>
  <si>
    <t>0060 - WHS Crusade for Children</t>
  </si>
  <si>
    <t>0065 - CRRSA</t>
  </si>
  <si>
    <t>1100 - RSP</t>
  </si>
  <si>
    <t>1135 - DEI Grant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</si>
  <si>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</si>
  <si>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</si>
  <si>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</si>
  <si>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</si>
  <si>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</si>
  <si>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</si>
  <si>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</si>
  <si>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2826 - Arts Wave</t>
  </si>
  <si>
    <t>2910 - DAIL State</t>
  </si>
  <si>
    <t>2943 - DCBS State</t>
  </si>
  <si>
    <t>3010 - FRYSC - Fed</t>
  </si>
  <si>
    <t>3220 - PERS Effectiveness Coach</t>
  </si>
  <si>
    <t>3299 - ARP</t>
  </si>
  <si>
    <t>336L - IDEA B 24-25</t>
  </si>
  <si>
    <t>336M - IDEA B 25-26</t>
  </si>
  <si>
    <t>3416- SPF</t>
  </si>
  <si>
    <t>3420 - Interact for Health</t>
  </si>
  <si>
    <t>3421 - Interact for Health 25-26</t>
  </si>
  <si>
    <t>345K - Title III EL 23-24</t>
  </si>
  <si>
    <t>345L - Title III EL 24-25</t>
  </si>
  <si>
    <t>3800 - Trauma Informed</t>
  </si>
  <si>
    <t>3910 - DAIL Fed</t>
  </si>
  <si>
    <t>3925 - Mental Health</t>
  </si>
  <si>
    <t>3931 - RSP SBMH Counselor</t>
  </si>
  <si>
    <t>3943 - DCBS Fed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</si>
  <si>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</si>
  <si>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</si>
  <si>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</si>
  <si>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</si>
  <si>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</si>
  <si>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</si>
  <si>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</si>
  <si>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</si>
  <si>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</si>
  <si>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</si>
  <si>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</si>
  <si>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</si>
  <si>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</si>
  <si>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</si>
  <si>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</si>
  <si>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</si>
  <si>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</si>
  <si>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</si>
  <si>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</si>
  <si>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</si>
  <si>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</si>
  <si>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</si>
  <si>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</si>
  <si>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</si>
  <si>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</si>
  <si>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</si>
  <si>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</si>
  <si>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</si>
  <si>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</si>
  <si>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</si>
  <si>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</si>
  <si>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</si>
  <si>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</si>
  <si>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</si>
  <si>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</si>
  <si>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</si>
  <si>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</si>
  <si>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</si>
  <si>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</si>
  <si>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</si>
  <si>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</si>
  <si>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</si>
  <si>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</si>
  <si>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</si>
  <si>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</si>
  <si>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</si>
  <si>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</si>
  <si>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</si>
  <si>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</si>
  <si>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</si>
  <si>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</si>
  <si>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</si>
  <si>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</si>
  <si>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</si>
  <si>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</si>
  <si>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</si>
  <si>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</si>
  <si>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</si>
  <si>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</si>
  <si>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</si>
  <si>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</si>
  <si>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</si>
  <si>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</si>
  <si>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</si>
  <si>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</si>
  <si>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</si>
  <si>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</si>
  <si>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</si>
  <si>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</si>
  <si>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</si>
  <si>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</si>
  <si>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</si>
  <si>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</si>
  <si>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</si>
  <si>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</si>
  <si>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</si>
  <si>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</si>
  <si>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</si>
  <si>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</si>
  <si>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</si>
  <si>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</si>
  <si>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</si>
  <si>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</si>
  <si>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</si>
  <si>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</si>
  <si>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</si>
  <si>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</si>
  <si>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</si>
  <si>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</si>
  <si>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</si>
  <si>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</si>
  <si>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2025 -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</si>
</sst>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7"/>
  <sheetViews>
    <sheetView tabSelected="1" topLeftCell="A70" workbookViewId="0">
      <selection activeCell="A97" sqref="A97:AG97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0.28515625" customWidth="1"/>
    <col min="5" max="5" width="7.7109375" customWidth="1"/>
    <col min="6" max="6" width="12" customWidth="1"/>
    <col min="7" max="7" width="9.85546875" customWidth="1"/>
    <col min="8" max="8" width="10.28515625" customWidth="1"/>
    <col min="9" max="9" width="11.140625" customWidth="1"/>
    <col min="10" max="11" width="10.28515625" customWidth="1"/>
    <col min="12" max="12" width="9.42578125" customWidth="1"/>
    <col min="13" max="14" width="10.28515625" customWidth="1"/>
    <col min="15" max="15" width="8.5703125" customWidth="1"/>
    <col min="16" max="17" width="11.140625" customWidth="1"/>
    <col min="18" max="18" width="10.28515625" customWidth="1"/>
    <col min="19" max="19" width="11.140625" customWidth="1"/>
    <col min="20" max="20" width="8.5703125" customWidth="1"/>
    <col min="21" max="22" width="10.28515625" customWidth="1"/>
    <col min="23" max="23" width="9.42578125" customWidth="1"/>
    <col min="24" max="24" width="8.5703125" customWidth="1"/>
    <col min="25" max="25" width="9.42578125" customWidth="1"/>
    <col min="26" max="27" width="8.5703125" customWidth="1"/>
    <col min="28" max="28" width="11.140625" customWidth="1"/>
    <col min="29" max="29" width="7.7109375" customWidth="1"/>
    <col min="30" max="30" width="12" customWidth="1"/>
    <col min="31" max="31" width="9.42578125" customWidth="1"/>
    <col min="32" max="32" width="7.7109375" customWidth="1"/>
    <col min="33" max="33" width="12" customWidth="1"/>
  </cols>
  <sheetData>
    <row r="1" spans="1:33" ht="18" x14ac:dyDescent="0.25">
      <c r="A1" s="10" t="s">
        <v>120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8" x14ac:dyDescent="0.25">
      <c r="A2" s="10" t="s">
        <v>121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x14ac:dyDescent="0.25">
      <c r="A3" s="11" t="s">
        <v>122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5" spans="1:33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</row>
    <row r="6" spans="1:33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3" t="s">
        <v>33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5">
        <f t="shared" ref="AG7:AG30" si="0">((((((((((((((((((((((((((((((B7)+(C7))+(D7))+(E7))+(F7))+(G7))+(H7))+(I7))+(J7))+(K7))+(L7))+(M7))+(N7))+(O7))+(P7))+(Q7))+(R7))+(S7))+(T7))+(U7))+(V7))+(W7))+(X7))+(Y7))+(Z7))+(AA7))+(AB7))+(AC7))+(AD7))+(AE7))+(AF7)</f>
        <v>0</v>
      </c>
    </row>
    <row r="8" spans="1:33" x14ac:dyDescent="0.25">
      <c r="A8" s="3" t="s">
        <v>34</v>
      </c>
      <c r="B8" s="5">
        <f>282607.03</f>
        <v>282607.03000000003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5">
        <f t="shared" si="0"/>
        <v>282607.03000000003</v>
      </c>
    </row>
    <row r="9" spans="1:33" x14ac:dyDescent="0.25">
      <c r="A9" s="3" t="s">
        <v>35</v>
      </c>
      <c r="B9" s="5">
        <f>144504.32</f>
        <v>144504.32000000001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">
        <f t="shared" si="0"/>
        <v>144504.32000000001</v>
      </c>
    </row>
    <row r="10" spans="1:33" x14ac:dyDescent="0.25">
      <c r="A10" s="3" t="s">
        <v>36</v>
      </c>
      <c r="B10" s="4"/>
      <c r="C10" s="4"/>
      <c r="D10" s="4"/>
      <c r="E10" s="4"/>
      <c r="F10" s="4"/>
      <c r="G10" s="4"/>
      <c r="H10" s="4"/>
      <c r="I10" s="4"/>
      <c r="J10" s="5">
        <f>326319.86</f>
        <v>326319.86</v>
      </c>
      <c r="K10" s="5">
        <f>3880</f>
        <v>3880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>
        <f t="shared" si="0"/>
        <v>330199.86</v>
      </c>
    </row>
    <row r="11" spans="1:33" x14ac:dyDescent="0.25">
      <c r="A11" s="3" t="s">
        <v>37</v>
      </c>
      <c r="B11" s="4"/>
      <c r="C11" s="4"/>
      <c r="D11" s="4"/>
      <c r="E11" s="4"/>
      <c r="F11" s="4"/>
      <c r="G11" s="4"/>
      <c r="H11" s="4"/>
      <c r="I11" s="5">
        <f>65394.97</f>
        <v>65394.97</v>
      </c>
      <c r="J11" s="4"/>
      <c r="K11" s="4"/>
      <c r="L11" s="4"/>
      <c r="M11" s="4"/>
      <c r="N11" s="4"/>
      <c r="O11" s="5">
        <f>8000</f>
        <v>8000</v>
      </c>
      <c r="P11" s="4"/>
      <c r="Q11" s="4"/>
      <c r="R11" s="4"/>
      <c r="S11" s="4"/>
      <c r="T11" s="4"/>
      <c r="U11" s="4"/>
      <c r="V11" s="4"/>
      <c r="W11" s="4"/>
      <c r="X11" s="4"/>
      <c r="Y11" s="5">
        <f>30000</f>
        <v>30000</v>
      </c>
      <c r="Z11" s="4"/>
      <c r="AA11" s="4"/>
      <c r="AB11" s="4"/>
      <c r="AC11" s="4"/>
      <c r="AD11" s="4"/>
      <c r="AE11" s="4"/>
      <c r="AF11" s="4"/>
      <c r="AG11" s="5">
        <f t="shared" si="0"/>
        <v>103394.97</v>
      </c>
    </row>
    <row r="12" spans="1:33" x14ac:dyDescent="0.25">
      <c r="A12" s="3" t="s">
        <v>38</v>
      </c>
      <c r="B12" s="5">
        <f>500</f>
        <v>500</v>
      </c>
      <c r="C12" s="4"/>
      <c r="D12" s="4"/>
      <c r="E12" s="4"/>
      <c r="F12" s="5">
        <f>50</f>
        <v>50</v>
      </c>
      <c r="G12" s="4"/>
      <c r="H12" s="4"/>
      <c r="I12" s="4"/>
      <c r="J12" s="5">
        <f>5950</f>
        <v>5950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5">
        <f t="shared" si="0"/>
        <v>6500</v>
      </c>
    </row>
    <row r="13" spans="1:33" x14ac:dyDescent="0.25">
      <c r="A13" s="3" t="s">
        <v>39</v>
      </c>
      <c r="B13" s="5">
        <f>9152.77</f>
        <v>9152.77</v>
      </c>
      <c r="C13" s="4"/>
      <c r="D13" s="4"/>
      <c r="E13" s="4"/>
      <c r="F13" s="5">
        <f>159.24</f>
        <v>159.24</v>
      </c>
      <c r="G13" s="4"/>
      <c r="H13" s="4"/>
      <c r="I13" s="4"/>
      <c r="J13" s="5">
        <f>486.47</f>
        <v>486.47</v>
      </c>
      <c r="K13" s="5">
        <f>50</f>
        <v>50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>
        <f t="shared" si="0"/>
        <v>9848.48</v>
      </c>
    </row>
    <row r="14" spans="1:33" x14ac:dyDescent="0.25">
      <c r="A14" s="3" t="s">
        <v>40</v>
      </c>
      <c r="B14" s="5">
        <f>132347.4</f>
        <v>132347.4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>
        <f t="shared" si="0"/>
        <v>132347.4</v>
      </c>
    </row>
    <row r="15" spans="1:33" x14ac:dyDescent="0.25">
      <c r="A15" s="3" t="s">
        <v>41</v>
      </c>
      <c r="B15" s="5">
        <f>609278.37</f>
        <v>609278.37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5">
        <f t="shared" si="0"/>
        <v>609278.37</v>
      </c>
    </row>
    <row r="16" spans="1:33" x14ac:dyDescent="0.25">
      <c r="A16" s="3" t="s">
        <v>42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5">
        <f t="shared" si="0"/>
        <v>40000</v>
      </c>
    </row>
    <row r="17" spans="1:33" x14ac:dyDescent="0.25">
      <c r="A17" s="3" t="s">
        <v>43</v>
      </c>
      <c r="B17" s="5">
        <f>1774.21</f>
        <v>1774.21</v>
      </c>
      <c r="C17" s="5">
        <f>225</f>
        <v>225</v>
      </c>
      <c r="D17" s="4"/>
      <c r="E17" s="4"/>
      <c r="F17" s="5">
        <f>88.25</f>
        <v>88.25</v>
      </c>
      <c r="G17" s="5">
        <f>7251</f>
        <v>7251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5">
        <f t="shared" si="0"/>
        <v>9338.4599999999991</v>
      </c>
    </row>
    <row r="18" spans="1:33" x14ac:dyDescent="0.25">
      <c r="A18" s="3" t="s">
        <v>44</v>
      </c>
      <c r="B18" s="4"/>
      <c r="C18" s="4"/>
      <c r="D18" s="4"/>
      <c r="E18" s="4"/>
      <c r="F18" s="5">
        <f>131442</f>
        <v>131442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5">
        <f t="shared" si="0"/>
        <v>131442</v>
      </c>
    </row>
    <row r="19" spans="1:33" x14ac:dyDescent="0.25">
      <c r="A19" s="3" t="s">
        <v>45</v>
      </c>
      <c r="B19" s="6">
        <f t="shared" ref="B19:AF19" si="1">(((((((((((B7)+(B8))+(B9))+(B10))+(B11))+(B12))+(B13))+(B14))+(B15))+(B16))+(B17))+(B18)</f>
        <v>1220164.1000000001</v>
      </c>
      <c r="C19" s="6">
        <f t="shared" si="1"/>
        <v>225</v>
      </c>
      <c r="D19" s="6">
        <f t="shared" si="1"/>
        <v>0</v>
      </c>
      <c r="E19" s="6">
        <f t="shared" si="1"/>
        <v>0</v>
      </c>
      <c r="F19" s="6">
        <f t="shared" si="1"/>
        <v>131739.49</v>
      </c>
      <c r="G19" s="6">
        <f t="shared" si="1"/>
        <v>7251</v>
      </c>
      <c r="H19" s="6">
        <f t="shared" si="1"/>
        <v>0</v>
      </c>
      <c r="I19" s="6">
        <f t="shared" si="1"/>
        <v>65394.97</v>
      </c>
      <c r="J19" s="6">
        <f t="shared" si="1"/>
        <v>332756.32999999996</v>
      </c>
      <c r="K19" s="6">
        <f t="shared" si="1"/>
        <v>3930</v>
      </c>
      <c r="L19" s="6">
        <f t="shared" si="1"/>
        <v>0</v>
      </c>
      <c r="M19" s="6">
        <f t="shared" si="1"/>
        <v>0</v>
      </c>
      <c r="N19" s="6">
        <f t="shared" si="1"/>
        <v>0</v>
      </c>
      <c r="O19" s="6">
        <f t="shared" si="1"/>
        <v>8000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30000</v>
      </c>
      <c r="Z19" s="6">
        <f t="shared" si="1"/>
        <v>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0"/>
        <v>1799460.8900000001</v>
      </c>
    </row>
    <row r="20" spans="1:33" x14ac:dyDescent="0.25">
      <c r="A20" s="3" t="s">
        <v>46</v>
      </c>
      <c r="B20" s="4"/>
      <c r="C20" s="4"/>
      <c r="D20" s="4"/>
      <c r="E20" s="4"/>
      <c r="F20" s="5">
        <f>2209944.08</f>
        <v>2209944.08</v>
      </c>
      <c r="G20" s="4"/>
      <c r="H20" s="5">
        <f>-1941.89</f>
        <v>-1941.89</v>
      </c>
      <c r="I20" s="4"/>
      <c r="J20" s="4"/>
      <c r="K20" s="4"/>
      <c r="L20" s="5">
        <f>93038.69</f>
        <v>93038.69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5">
        <f t="shared" si="0"/>
        <v>2301040.88</v>
      </c>
    </row>
    <row r="21" spans="1:33" x14ac:dyDescent="0.25">
      <c r="A21" s="3" t="s">
        <v>47</v>
      </c>
      <c r="B21" s="4"/>
      <c r="C21" s="4"/>
      <c r="D21" s="4"/>
      <c r="E21" s="4"/>
      <c r="F21" s="5">
        <f>46224.32</f>
        <v>46224.32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5">
        <f t="shared" si="0"/>
        <v>46224.32</v>
      </c>
    </row>
    <row r="22" spans="1:33" x14ac:dyDescent="0.25">
      <c r="A22" s="3" t="s">
        <v>48</v>
      </c>
      <c r="B22" s="6">
        <f t="shared" ref="B22:AF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2256168.4</v>
      </c>
      <c r="G22" s="6">
        <f t="shared" si="2"/>
        <v>0</v>
      </c>
      <c r="H22" s="6">
        <f t="shared" si="2"/>
        <v>-1941.89</v>
      </c>
      <c r="I22" s="6">
        <f t="shared" si="2"/>
        <v>0</v>
      </c>
      <c r="J22" s="6">
        <f t="shared" si="2"/>
        <v>0</v>
      </c>
      <c r="K22" s="6">
        <f t="shared" si="2"/>
        <v>0</v>
      </c>
      <c r="L22" s="6">
        <f t="shared" si="2"/>
        <v>93038.69</v>
      </c>
      <c r="M22" s="6">
        <f t="shared" si="2"/>
        <v>0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0"/>
        <v>2347265.1999999997</v>
      </c>
    </row>
    <row r="23" spans="1:33" x14ac:dyDescent="0.25">
      <c r="A23" s="3" t="s">
        <v>49</v>
      </c>
      <c r="B23" s="5">
        <f>5292</f>
        <v>5292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5">
        <f t="shared" si="0"/>
        <v>5292</v>
      </c>
    </row>
    <row r="24" spans="1:33" x14ac:dyDescent="0.25">
      <c r="A24" s="3" t="s">
        <v>50</v>
      </c>
      <c r="B24" s="5">
        <f>38228.05</f>
        <v>38228.050000000003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">
        <f t="shared" si="0"/>
        <v>38228.050000000003</v>
      </c>
    </row>
    <row r="25" spans="1:33" x14ac:dyDescent="0.25">
      <c r="A25" s="3" t="s">
        <v>51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>
        <f t="shared" si="0"/>
        <v>0</v>
      </c>
    </row>
    <row r="26" spans="1:33" x14ac:dyDescent="0.25">
      <c r="A26" s="3" t="s">
        <v>52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>
        <f>668759.23</f>
        <v>668759.23</v>
      </c>
      <c r="N26" s="4"/>
      <c r="O26" s="4"/>
      <c r="P26" s="5">
        <f>330059.87</f>
        <v>330059.87</v>
      </c>
      <c r="Q26" s="5">
        <f>189450.62</f>
        <v>189450.62</v>
      </c>
      <c r="R26" s="4"/>
      <c r="S26" s="5">
        <f>62227</f>
        <v>62227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5">
        <f t="shared" si="0"/>
        <v>1250496.72</v>
      </c>
    </row>
    <row r="27" spans="1:33" x14ac:dyDescent="0.25">
      <c r="A27" s="3" t="s">
        <v>53</v>
      </c>
      <c r="B27" s="4"/>
      <c r="C27" s="4"/>
      <c r="D27" s="4"/>
      <c r="E27" s="5">
        <f>-0.14</f>
        <v>-0.14000000000000001</v>
      </c>
      <c r="F27" s="4"/>
      <c r="G27" s="5">
        <f>-7251</f>
        <v>-7251</v>
      </c>
      <c r="H27" s="4"/>
      <c r="I27" s="4"/>
      <c r="J27" s="4"/>
      <c r="K27" s="4"/>
      <c r="L27" s="4"/>
      <c r="M27" s="4"/>
      <c r="N27" s="5">
        <f>283122.82</f>
        <v>283122.82</v>
      </c>
      <c r="O27" s="4"/>
      <c r="P27" s="4"/>
      <c r="Q27" s="4"/>
      <c r="R27" s="5">
        <f>301777.59</f>
        <v>301777.59000000003</v>
      </c>
      <c r="S27" s="4"/>
      <c r="T27" s="5">
        <f>-199.99</f>
        <v>-199.99</v>
      </c>
      <c r="U27" s="5">
        <f>65084.17</f>
        <v>65084.17</v>
      </c>
      <c r="V27" s="5">
        <f>648165.09</f>
        <v>648165.09</v>
      </c>
      <c r="W27" s="5">
        <f>86658.42</f>
        <v>86658.42</v>
      </c>
      <c r="X27" s="4"/>
      <c r="Y27" s="4"/>
      <c r="Z27" s="5">
        <f>1734.62</f>
        <v>1734.62</v>
      </c>
      <c r="AA27" s="5">
        <f>1108.96</f>
        <v>1108.96</v>
      </c>
      <c r="AB27" s="5">
        <f>520695.44</f>
        <v>520695.44</v>
      </c>
      <c r="AC27" s="5">
        <f>0</f>
        <v>0</v>
      </c>
      <c r="AD27" s="5">
        <f>842313.43</f>
        <v>842313.43</v>
      </c>
      <c r="AE27" s="5">
        <f>98000</f>
        <v>98000</v>
      </c>
      <c r="AF27" s="5">
        <f>0</f>
        <v>0</v>
      </c>
      <c r="AG27" s="5">
        <f t="shared" si="0"/>
        <v>2841209.41</v>
      </c>
    </row>
    <row r="28" spans="1:33" x14ac:dyDescent="0.25">
      <c r="A28" s="3" t="s">
        <v>54</v>
      </c>
      <c r="B28" s="6">
        <f t="shared" ref="B28:AF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-0.14000000000000001</v>
      </c>
      <c r="F28" s="6">
        <f t="shared" si="3"/>
        <v>0</v>
      </c>
      <c r="G28" s="6">
        <f t="shared" si="3"/>
        <v>-7251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668759.23</v>
      </c>
      <c r="N28" s="6">
        <f t="shared" si="3"/>
        <v>283122.82</v>
      </c>
      <c r="O28" s="6">
        <f t="shared" si="3"/>
        <v>0</v>
      </c>
      <c r="P28" s="6">
        <f t="shared" si="3"/>
        <v>330059.87</v>
      </c>
      <c r="Q28" s="6">
        <f t="shared" si="3"/>
        <v>189450.62</v>
      </c>
      <c r="R28" s="6">
        <f t="shared" si="3"/>
        <v>301777.59000000003</v>
      </c>
      <c r="S28" s="6">
        <f t="shared" si="3"/>
        <v>62227</v>
      </c>
      <c r="T28" s="6">
        <f t="shared" si="3"/>
        <v>-199.99</v>
      </c>
      <c r="U28" s="6">
        <f t="shared" si="3"/>
        <v>65084.17</v>
      </c>
      <c r="V28" s="6">
        <f t="shared" si="3"/>
        <v>648165.09</v>
      </c>
      <c r="W28" s="6">
        <f t="shared" si="3"/>
        <v>86658.42</v>
      </c>
      <c r="X28" s="6">
        <f t="shared" si="3"/>
        <v>0</v>
      </c>
      <c r="Y28" s="6">
        <f t="shared" si="3"/>
        <v>0</v>
      </c>
      <c r="Z28" s="6">
        <f t="shared" si="3"/>
        <v>1734.62</v>
      </c>
      <c r="AA28" s="6">
        <f t="shared" si="3"/>
        <v>1108.96</v>
      </c>
      <c r="AB28" s="6">
        <f t="shared" si="3"/>
        <v>520695.44</v>
      </c>
      <c r="AC28" s="6">
        <f t="shared" si="3"/>
        <v>0</v>
      </c>
      <c r="AD28" s="6">
        <f t="shared" si="3"/>
        <v>842313.43</v>
      </c>
      <c r="AE28" s="6">
        <f t="shared" si="3"/>
        <v>98000</v>
      </c>
      <c r="AF28" s="6">
        <f t="shared" si="3"/>
        <v>0</v>
      </c>
      <c r="AG28" s="6">
        <f t="shared" si="0"/>
        <v>4091706.13</v>
      </c>
    </row>
    <row r="29" spans="1:33" x14ac:dyDescent="0.25">
      <c r="A29" s="3" t="s">
        <v>55</v>
      </c>
      <c r="B29" s="6">
        <f t="shared" ref="B29:AF29" si="4">((((B19)+(B22))+(B23))+(B24))+(B28)</f>
        <v>1263684.1500000001</v>
      </c>
      <c r="C29" s="6">
        <f t="shared" si="4"/>
        <v>225</v>
      </c>
      <c r="D29" s="6">
        <f t="shared" si="4"/>
        <v>0</v>
      </c>
      <c r="E29" s="6">
        <f t="shared" si="4"/>
        <v>-0.14000000000000001</v>
      </c>
      <c r="F29" s="6">
        <f t="shared" si="4"/>
        <v>2387907.8899999997</v>
      </c>
      <c r="G29" s="6">
        <f t="shared" si="4"/>
        <v>0</v>
      </c>
      <c r="H29" s="6">
        <f t="shared" si="4"/>
        <v>-1941.89</v>
      </c>
      <c r="I29" s="6">
        <f t="shared" si="4"/>
        <v>65394.97</v>
      </c>
      <c r="J29" s="6">
        <f t="shared" si="4"/>
        <v>332756.32999999996</v>
      </c>
      <c r="K29" s="6">
        <f t="shared" si="4"/>
        <v>3930</v>
      </c>
      <c r="L29" s="6">
        <f t="shared" si="4"/>
        <v>93038.69</v>
      </c>
      <c r="M29" s="6">
        <f t="shared" si="4"/>
        <v>668759.23</v>
      </c>
      <c r="N29" s="6">
        <f t="shared" si="4"/>
        <v>283122.82</v>
      </c>
      <c r="O29" s="6">
        <f t="shared" si="4"/>
        <v>8000</v>
      </c>
      <c r="P29" s="6">
        <f t="shared" si="4"/>
        <v>330059.87</v>
      </c>
      <c r="Q29" s="6">
        <f t="shared" si="4"/>
        <v>189450.62</v>
      </c>
      <c r="R29" s="6">
        <f t="shared" si="4"/>
        <v>301777.59000000003</v>
      </c>
      <c r="S29" s="6">
        <f t="shared" si="4"/>
        <v>62227</v>
      </c>
      <c r="T29" s="6">
        <f t="shared" si="4"/>
        <v>-199.99</v>
      </c>
      <c r="U29" s="6">
        <f t="shared" si="4"/>
        <v>65084.17</v>
      </c>
      <c r="V29" s="6">
        <f t="shared" si="4"/>
        <v>648165.09</v>
      </c>
      <c r="W29" s="6">
        <f t="shared" si="4"/>
        <v>86658.42</v>
      </c>
      <c r="X29" s="6">
        <f t="shared" si="4"/>
        <v>0</v>
      </c>
      <c r="Y29" s="6">
        <f t="shared" si="4"/>
        <v>30000</v>
      </c>
      <c r="Z29" s="6">
        <f t="shared" si="4"/>
        <v>1734.62</v>
      </c>
      <c r="AA29" s="6">
        <f t="shared" si="4"/>
        <v>1108.96</v>
      </c>
      <c r="AB29" s="6">
        <f t="shared" si="4"/>
        <v>520695.44</v>
      </c>
      <c r="AC29" s="6">
        <f t="shared" si="4"/>
        <v>0</v>
      </c>
      <c r="AD29" s="6">
        <f t="shared" si="4"/>
        <v>842313.43</v>
      </c>
      <c r="AE29" s="6">
        <f t="shared" si="4"/>
        <v>98000</v>
      </c>
      <c r="AF29" s="6">
        <f t="shared" si="4"/>
        <v>0</v>
      </c>
      <c r="AG29" s="6">
        <f t="shared" si="0"/>
        <v>8281952.2700000005</v>
      </c>
    </row>
    <row r="30" spans="1:33" x14ac:dyDescent="0.25">
      <c r="A30" s="3" t="s">
        <v>56</v>
      </c>
      <c r="B30" s="6">
        <f t="shared" ref="B30:AF30" si="5">(B29)-(0)</f>
        <v>1263684.1500000001</v>
      </c>
      <c r="C30" s="6">
        <f t="shared" si="5"/>
        <v>225</v>
      </c>
      <c r="D30" s="6">
        <f t="shared" si="5"/>
        <v>0</v>
      </c>
      <c r="E30" s="6">
        <f t="shared" si="5"/>
        <v>-0.14000000000000001</v>
      </c>
      <c r="F30" s="6">
        <f t="shared" si="5"/>
        <v>2387907.8899999997</v>
      </c>
      <c r="G30" s="6">
        <f t="shared" si="5"/>
        <v>0</v>
      </c>
      <c r="H30" s="6">
        <f t="shared" si="5"/>
        <v>-1941.89</v>
      </c>
      <c r="I30" s="6">
        <f t="shared" si="5"/>
        <v>65394.97</v>
      </c>
      <c r="J30" s="6">
        <f t="shared" si="5"/>
        <v>332756.32999999996</v>
      </c>
      <c r="K30" s="6">
        <f t="shared" si="5"/>
        <v>3930</v>
      </c>
      <c r="L30" s="6">
        <f t="shared" si="5"/>
        <v>93038.69</v>
      </c>
      <c r="M30" s="6">
        <f t="shared" si="5"/>
        <v>668759.23</v>
      </c>
      <c r="N30" s="6">
        <f t="shared" si="5"/>
        <v>283122.82</v>
      </c>
      <c r="O30" s="6">
        <f t="shared" si="5"/>
        <v>8000</v>
      </c>
      <c r="P30" s="6">
        <f t="shared" si="5"/>
        <v>330059.87</v>
      </c>
      <c r="Q30" s="6">
        <f t="shared" si="5"/>
        <v>189450.62</v>
      </c>
      <c r="R30" s="6">
        <f t="shared" si="5"/>
        <v>301777.59000000003</v>
      </c>
      <c r="S30" s="6">
        <f t="shared" si="5"/>
        <v>62227</v>
      </c>
      <c r="T30" s="6">
        <f t="shared" si="5"/>
        <v>-199.99</v>
      </c>
      <c r="U30" s="6">
        <f t="shared" si="5"/>
        <v>65084.17</v>
      </c>
      <c r="V30" s="6">
        <f t="shared" si="5"/>
        <v>648165.09</v>
      </c>
      <c r="W30" s="6">
        <f t="shared" si="5"/>
        <v>86658.42</v>
      </c>
      <c r="X30" s="6">
        <f t="shared" si="5"/>
        <v>0</v>
      </c>
      <c r="Y30" s="6">
        <f t="shared" si="5"/>
        <v>30000</v>
      </c>
      <c r="Z30" s="6">
        <f t="shared" si="5"/>
        <v>1734.62</v>
      </c>
      <c r="AA30" s="6">
        <f t="shared" si="5"/>
        <v>1108.96</v>
      </c>
      <c r="AB30" s="6">
        <f t="shared" si="5"/>
        <v>520695.44</v>
      </c>
      <c r="AC30" s="6">
        <f t="shared" si="5"/>
        <v>0</v>
      </c>
      <c r="AD30" s="6">
        <f t="shared" si="5"/>
        <v>842313.43</v>
      </c>
      <c r="AE30" s="6">
        <f t="shared" si="5"/>
        <v>98000</v>
      </c>
      <c r="AF30" s="6">
        <f t="shared" si="5"/>
        <v>0</v>
      </c>
      <c r="AG30" s="6">
        <f t="shared" si="0"/>
        <v>8281952.2700000005</v>
      </c>
    </row>
    <row r="31" spans="1:33" x14ac:dyDescent="0.25">
      <c r="A31" s="3" t="s">
        <v>57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x14ac:dyDescent="0.25">
      <c r="A32" s="3" t="s">
        <v>58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5">
        <f t="shared" ref="AG32:AG63" si="6">((((((((((((((((((((((((((((((B32)+(C32))+(D32))+(E32))+(F32))+(G32))+(H32))+(I32))+(J32))+(K32))+(L32))+(M32))+(N32))+(O32))+(P32))+(Q32))+(R32))+(S32))+(T32))+(U32))+(V32))+(W32))+(X32))+(Y32))+(Z32))+(AA32))+(AB32))+(AC32))+(AD32))+(AE32))+(AF32)</f>
        <v>0</v>
      </c>
    </row>
    <row r="33" spans="1:33" x14ac:dyDescent="0.25">
      <c r="A33" s="3" t="s">
        <v>59</v>
      </c>
      <c r="B33" s="5">
        <f>338720.68</f>
        <v>338720.68</v>
      </c>
      <c r="C33" s="4"/>
      <c r="D33" s="4"/>
      <c r="E33" s="4"/>
      <c r="F33" s="5">
        <f>617124.1</f>
        <v>617124.1</v>
      </c>
      <c r="G33" s="4"/>
      <c r="H33" s="4"/>
      <c r="I33" s="4"/>
      <c r="J33" s="4"/>
      <c r="K33" s="4"/>
      <c r="L33" s="5">
        <f>38327.38</f>
        <v>38327.379999999997</v>
      </c>
      <c r="M33" s="5">
        <f>502789.13</f>
        <v>502789.13</v>
      </c>
      <c r="N33" s="5">
        <f>28634.28</f>
        <v>28634.28</v>
      </c>
      <c r="O33" s="4"/>
      <c r="P33" s="4"/>
      <c r="Q33" s="4"/>
      <c r="R33" s="5">
        <f>61885.88</f>
        <v>61885.88</v>
      </c>
      <c r="S33" s="5">
        <f>64382.5</f>
        <v>64382.5</v>
      </c>
      <c r="T33" s="4"/>
      <c r="U33" s="4"/>
      <c r="V33" s="5">
        <f>320500.22</f>
        <v>320500.21999999997</v>
      </c>
      <c r="W33" s="5">
        <f>30837.12</f>
        <v>30837.119999999999</v>
      </c>
      <c r="X33" s="4"/>
      <c r="Y33" s="4"/>
      <c r="Z33" s="4"/>
      <c r="AA33" s="4"/>
      <c r="AB33" s="5">
        <f>230670.58</f>
        <v>230670.58</v>
      </c>
      <c r="AC33" s="4"/>
      <c r="AD33" s="5">
        <f>320269.74</f>
        <v>320269.74</v>
      </c>
      <c r="AE33" s="5">
        <f>35980.98</f>
        <v>35980.980000000003</v>
      </c>
      <c r="AF33" s="4"/>
      <c r="AG33" s="5">
        <f t="shared" si="6"/>
        <v>2590122.5900000003</v>
      </c>
    </row>
    <row r="34" spans="1:33" x14ac:dyDescent="0.25">
      <c r="A34" s="3" t="s">
        <v>60</v>
      </c>
      <c r="B34" s="5">
        <f>204947.78</f>
        <v>204947.78</v>
      </c>
      <c r="C34" s="4"/>
      <c r="D34" s="4"/>
      <c r="E34" s="4"/>
      <c r="F34" s="5">
        <f>185599.74</f>
        <v>185599.74</v>
      </c>
      <c r="G34" s="4"/>
      <c r="H34" s="4"/>
      <c r="I34" s="5">
        <f>55228.6</f>
        <v>55228.6</v>
      </c>
      <c r="J34" s="4"/>
      <c r="K34" s="4"/>
      <c r="L34" s="4"/>
      <c r="M34" s="5">
        <f>27848.66</f>
        <v>27848.66</v>
      </c>
      <c r="N34" s="4"/>
      <c r="O34" s="4"/>
      <c r="P34" s="5">
        <f>270163.7</f>
        <v>270163.7</v>
      </c>
      <c r="Q34" s="5">
        <f>152643.86</f>
        <v>152643.85999999999</v>
      </c>
      <c r="R34" s="4"/>
      <c r="S34" s="4"/>
      <c r="T34" s="4"/>
      <c r="U34" s="4"/>
      <c r="V34" s="5">
        <f>41585.46</f>
        <v>41585.46</v>
      </c>
      <c r="W34" s="4"/>
      <c r="X34" s="4"/>
      <c r="Y34" s="5">
        <f>6459.28</f>
        <v>6459.28</v>
      </c>
      <c r="Z34" s="4"/>
      <c r="AA34" s="4"/>
      <c r="AB34" s="5">
        <f>35977.06</f>
        <v>35977.06</v>
      </c>
      <c r="AC34" s="5">
        <f>0</f>
        <v>0</v>
      </c>
      <c r="AD34" s="5">
        <f>35802.85</f>
        <v>35802.85</v>
      </c>
      <c r="AE34" s="4"/>
      <c r="AF34" s="5">
        <f>0</f>
        <v>0</v>
      </c>
      <c r="AG34" s="5">
        <f t="shared" si="6"/>
        <v>1016256.9899999999</v>
      </c>
    </row>
    <row r="35" spans="1:33" x14ac:dyDescent="0.25">
      <c r="A35" s="3" t="s">
        <v>61</v>
      </c>
      <c r="B35" s="6">
        <f t="shared" ref="B35:AF35" si="7">((B32)+(B33))+(B34)</f>
        <v>543668.46</v>
      </c>
      <c r="C35" s="6">
        <f t="shared" si="7"/>
        <v>0</v>
      </c>
      <c r="D35" s="6">
        <f t="shared" si="7"/>
        <v>0</v>
      </c>
      <c r="E35" s="6">
        <f t="shared" si="7"/>
        <v>0</v>
      </c>
      <c r="F35" s="6">
        <f t="shared" si="7"/>
        <v>802723.83999999997</v>
      </c>
      <c r="G35" s="6">
        <f t="shared" si="7"/>
        <v>0</v>
      </c>
      <c r="H35" s="6">
        <f t="shared" si="7"/>
        <v>0</v>
      </c>
      <c r="I35" s="6">
        <f t="shared" si="7"/>
        <v>55228.6</v>
      </c>
      <c r="J35" s="6">
        <f t="shared" si="7"/>
        <v>0</v>
      </c>
      <c r="K35" s="6">
        <f t="shared" si="7"/>
        <v>0</v>
      </c>
      <c r="L35" s="6">
        <f t="shared" si="7"/>
        <v>38327.379999999997</v>
      </c>
      <c r="M35" s="6">
        <f t="shared" si="7"/>
        <v>530637.79</v>
      </c>
      <c r="N35" s="6">
        <f t="shared" si="7"/>
        <v>28634.28</v>
      </c>
      <c r="O35" s="6">
        <f t="shared" si="7"/>
        <v>0</v>
      </c>
      <c r="P35" s="6">
        <f t="shared" si="7"/>
        <v>270163.7</v>
      </c>
      <c r="Q35" s="6">
        <f t="shared" si="7"/>
        <v>152643.85999999999</v>
      </c>
      <c r="R35" s="6">
        <f t="shared" si="7"/>
        <v>61885.88</v>
      </c>
      <c r="S35" s="6">
        <f t="shared" si="7"/>
        <v>64382.5</v>
      </c>
      <c r="T35" s="6">
        <f t="shared" si="7"/>
        <v>0</v>
      </c>
      <c r="U35" s="6">
        <f t="shared" si="7"/>
        <v>0</v>
      </c>
      <c r="V35" s="6">
        <f t="shared" si="7"/>
        <v>362085.68</v>
      </c>
      <c r="W35" s="6">
        <f t="shared" si="7"/>
        <v>30837.119999999999</v>
      </c>
      <c r="X35" s="6">
        <f t="shared" si="7"/>
        <v>0</v>
      </c>
      <c r="Y35" s="6">
        <f t="shared" si="7"/>
        <v>6459.28</v>
      </c>
      <c r="Z35" s="6">
        <f t="shared" si="7"/>
        <v>0</v>
      </c>
      <c r="AA35" s="6">
        <f t="shared" si="7"/>
        <v>0</v>
      </c>
      <c r="AB35" s="6">
        <f t="shared" si="7"/>
        <v>266647.64</v>
      </c>
      <c r="AC35" s="6">
        <f t="shared" si="7"/>
        <v>0</v>
      </c>
      <c r="AD35" s="6">
        <f t="shared" si="7"/>
        <v>356072.58999999997</v>
      </c>
      <c r="AE35" s="6">
        <f t="shared" si="7"/>
        <v>35980.980000000003</v>
      </c>
      <c r="AF35" s="6">
        <f t="shared" si="7"/>
        <v>0</v>
      </c>
      <c r="AG35" s="6">
        <f t="shared" si="6"/>
        <v>3606379.5799999996</v>
      </c>
    </row>
    <row r="36" spans="1:33" x14ac:dyDescent="0.25">
      <c r="A36" s="3" t="s">
        <v>62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5">
        <f t="shared" si="6"/>
        <v>0</v>
      </c>
    </row>
    <row r="37" spans="1:33" x14ac:dyDescent="0.25">
      <c r="A37" s="3" t="s">
        <v>63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>
        <f>3.57</f>
        <v>3.57</v>
      </c>
      <c r="O37" s="4"/>
      <c r="P37" s="5">
        <f>0</f>
        <v>0</v>
      </c>
      <c r="Q37" s="5">
        <f>0</f>
        <v>0</v>
      </c>
      <c r="R37" s="5">
        <f>8.75</f>
        <v>8.75</v>
      </c>
      <c r="S37" s="4"/>
      <c r="T37" s="4"/>
      <c r="U37" s="4"/>
      <c r="V37" s="5">
        <f>48.17</f>
        <v>48.17</v>
      </c>
      <c r="W37" s="5">
        <f>3.53</f>
        <v>3.53</v>
      </c>
      <c r="X37" s="4"/>
      <c r="Y37" s="4"/>
      <c r="Z37" s="4"/>
      <c r="AA37" s="4"/>
      <c r="AB37" s="5">
        <f>37.24</f>
        <v>37.24</v>
      </c>
      <c r="AC37" s="5">
        <f>0</f>
        <v>0</v>
      </c>
      <c r="AD37" s="5">
        <f>50.07</f>
        <v>50.07</v>
      </c>
      <c r="AE37" s="5">
        <f>7</f>
        <v>7</v>
      </c>
      <c r="AF37" s="5">
        <f>0</f>
        <v>0</v>
      </c>
      <c r="AG37" s="5">
        <f t="shared" si="6"/>
        <v>158.32999999999998</v>
      </c>
    </row>
    <row r="38" spans="1:33" x14ac:dyDescent="0.25">
      <c r="A38" s="3" t="s">
        <v>64</v>
      </c>
      <c r="B38" s="5">
        <f>2250</f>
        <v>2250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5">
        <f t="shared" si="6"/>
        <v>2250</v>
      </c>
    </row>
    <row r="39" spans="1:33" x14ac:dyDescent="0.25">
      <c r="A39" s="3" t="s">
        <v>65</v>
      </c>
      <c r="B39" s="5">
        <f>12247.65</f>
        <v>12247.65</v>
      </c>
      <c r="C39" s="4"/>
      <c r="D39" s="4"/>
      <c r="E39" s="4"/>
      <c r="F39" s="5">
        <f>10910.24</f>
        <v>10910.24</v>
      </c>
      <c r="G39" s="4"/>
      <c r="H39" s="4"/>
      <c r="I39" s="5">
        <f>3275.07</f>
        <v>3275.07</v>
      </c>
      <c r="J39" s="4"/>
      <c r="K39" s="4"/>
      <c r="L39" s="4"/>
      <c r="M39" s="5">
        <f>1662.41</f>
        <v>1662.41</v>
      </c>
      <c r="N39" s="4"/>
      <c r="O39" s="4"/>
      <c r="P39" s="5">
        <f>16252.45</f>
        <v>16252.45</v>
      </c>
      <c r="Q39" s="5">
        <f>9016.22</f>
        <v>9016.2199999999993</v>
      </c>
      <c r="R39" s="4"/>
      <c r="S39" s="4"/>
      <c r="T39" s="4"/>
      <c r="U39" s="4"/>
      <c r="V39" s="5">
        <f>2523.47</f>
        <v>2523.4699999999998</v>
      </c>
      <c r="W39" s="4"/>
      <c r="X39" s="4"/>
      <c r="Y39" s="4"/>
      <c r="Z39" s="4"/>
      <c r="AA39" s="4"/>
      <c r="AB39" s="5">
        <f>1906.91</f>
        <v>1906.91</v>
      </c>
      <c r="AC39" s="5">
        <f>0</f>
        <v>0</v>
      </c>
      <c r="AD39" s="5">
        <f>2137.37</f>
        <v>2137.37</v>
      </c>
      <c r="AE39" s="4"/>
      <c r="AF39" s="5">
        <f>0</f>
        <v>0</v>
      </c>
      <c r="AG39" s="5">
        <f t="shared" si="6"/>
        <v>59931.790000000008</v>
      </c>
    </row>
    <row r="40" spans="1:33" x14ac:dyDescent="0.25">
      <c r="A40" s="3" t="s">
        <v>66</v>
      </c>
      <c r="B40" s="5">
        <f>7837.25</f>
        <v>7837.25</v>
      </c>
      <c r="C40" s="4"/>
      <c r="D40" s="4"/>
      <c r="E40" s="4"/>
      <c r="F40" s="5">
        <f>11164.12</f>
        <v>11164.12</v>
      </c>
      <c r="G40" s="4"/>
      <c r="H40" s="4"/>
      <c r="I40" s="5">
        <f>765.94</f>
        <v>765.94</v>
      </c>
      <c r="J40" s="4"/>
      <c r="K40" s="4"/>
      <c r="L40" s="5">
        <f>547.2</f>
        <v>547.20000000000005</v>
      </c>
      <c r="M40" s="5">
        <f>7350.34</f>
        <v>7350.34</v>
      </c>
      <c r="N40" s="5">
        <f>388.02</f>
        <v>388.02</v>
      </c>
      <c r="O40" s="4"/>
      <c r="P40" s="5">
        <f>3800.96</f>
        <v>3800.96</v>
      </c>
      <c r="Q40" s="5">
        <f>2108.63</f>
        <v>2108.63</v>
      </c>
      <c r="R40" s="5">
        <f>870.14</f>
        <v>870.14</v>
      </c>
      <c r="S40" s="5">
        <f>906.76</f>
        <v>906.76</v>
      </c>
      <c r="T40" s="4"/>
      <c r="U40" s="4"/>
      <c r="V40" s="5">
        <f>5035.92</f>
        <v>5035.92</v>
      </c>
      <c r="W40" s="5">
        <f>423.2</f>
        <v>423.2</v>
      </c>
      <c r="X40" s="4"/>
      <c r="Y40" s="5">
        <f>91.14</f>
        <v>91.14</v>
      </c>
      <c r="Z40" s="4"/>
      <c r="AA40" s="4"/>
      <c r="AB40" s="5">
        <f>3657.04</f>
        <v>3657.04</v>
      </c>
      <c r="AC40" s="5">
        <f>0</f>
        <v>0</v>
      </c>
      <c r="AD40" s="5">
        <f>4963.61</f>
        <v>4963.6099999999997</v>
      </c>
      <c r="AE40" s="5">
        <f>510.56</f>
        <v>510.56</v>
      </c>
      <c r="AF40" s="5">
        <f>0</f>
        <v>0</v>
      </c>
      <c r="AG40" s="5">
        <f t="shared" si="6"/>
        <v>50420.829999999994</v>
      </c>
    </row>
    <row r="41" spans="1:33" x14ac:dyDescent="0.25">
      <c r="A41" s="3" t="s">
        <v>67</v>
      </c>
      <c r="B41" s="5">
        <f>10607.36</f>
        <v>10607.36</v>
      </c>
      <c r="C41" s="4"/>
      <c r="D41" s="4"/>
      <c r="E41" s="4"/>
      <c r="F41" s="5">
        <f>18513.83</f>
        <v>18513.830000000002</v>
      </c>
      <c r="G41" s="4"/>
      <c r="H41" s="4"/>
      <c r="I41" s="4"/>
      <c r="J41" s="4"/>
      <c r="K41" s="4"/>
      <c r="L41" s="5">
        <f>1149.82</f>
        <v>1149.82</v>
      </c>
      <c r="M41" s="5">
        <f>15083.2</f>
        <v>15083.2</v>
      </c>
      <c r="N41" s="5">
        <f>4620.23</f>
        <v>4620.2299999999996</v>
      </c>
      <c r="O41" s="4"/>
      <c r="P41" s="4"/>
      <c r="Q41" s="4"/>
      <c r="R41" s="5">
        <f>9966.74</f>
        <v>9966.74</v>
      </c>
      <c r="S41" s="5">
        <f>1931.44</f>
        <v>1931.44</v>
      </c>
      <c r="T41" s="4"/>
      <c r="U41" s="4"/>
      <c r="V41" s="5">
        <f>51888.12</f>
        <v>51888.12</v>
      </c>
      <c r="W41" s="5">
        <f>5023.1</f>
        <v>5023.1000000000004</v>
      </c>
      <c r="X41" s="4"/>
      <c r="Y41" s="5">
        <f>193.8</f>
        <v>193.8</v>
      </c>
      <c r="Z41" s="4"/>
      <c r="AA41" s="4"/>
      <c r="AB41" s="5">
        <f>38156.58</f>
        <v>38156.58</v>
      </c>
      <c r="AC41" s="4"/>
      <c r="AD41" s="5">
        <f>52655.86</f>
        <v>52655.86</v>
      </c>
      <c r="AE41" s="5">
        <f>4947.32</f>
        <v>4947.32</v>
      </c>
      <c r="AF41" s="4"/>
      <c r="AG41" s="5">
        <f t="shared" si="6"/>
        <v>214737.40000000002</v>
      </c>
    </row>
    <row r="42" spans="1:33" x14ac:dyDescent="0.25">
      <c r="A42" s="3" t="s">
        <v>68</v>
      </c>
      <c r="B42" s="5">
        <f>38142.9</f>
        <v>38142.9</v>
      </c>
      <c r="C42" s="4"/>
      <c r="D42" s="4"/>
      <c r="E42" s="4"/>
      <c r="F42" s="5">
        <f>34468.45</f>
        <v>34468.449999999997</v>
      </c>
      <c r="G42" s="4"/>
      <c r="H42" s="4"/>
      <c r="I42" s="5">
        <f>10283.56</f>
        <v>10283.56</v>
      </c>
      <c r="J42" s="4"/>
      <c r="K42" s="4"/>
      <c r="L42" s="4"/>
      <c r="M42" s="5">
        <f>5185.46</f>
        <v>5185.46</v>
      </c>
      <c r="N42" s="4"/>
      <c r="O42" s="4"/>
      <c r="P42" s="5">
        <f>49756.48</f>
        <v>49756.480000000003</v>
      </c>
      <c r="Q42" s="5">
        <f>28422.19</f>
        <v>28422.19</v>
      </c>
      <c r="R42" s="4"/>
      <c r="S42" s="4"/>
      <c r="T42" s="4"/>
      <c r="U42" s="4"/>
      <c r="V42" s="5">
        <f>5064.22</f>
        <v>5064.22</v>
      </c>
      <c r="W42" s="4"/>
      <c r="X42" s="4"/>
      <c r="Y42" s="4"/>
      <c r="Z42" s="4"/>
      <c r="AA42" s="4"/>
      <c r="AB42" s="5">
        <f>6698.86</f>
        <v>6698.86</v>
      </c>
      <c r="AC42" s="5">
        <f>0</f>
        <v>0</v>
      </c>
      <c r="AD42" s="5">
        <f>6684.92</f>
        <v>6684.92</v>
      </c>
      <c r="AE42" s="4"/>
      <c r="AF42" s="5">
        <f>0</f>
        <v>0</v>
      </c>
      <c r="AG42" s="5">
        <f t="shared" si="6"/>
        <v>184707.04</v>
      </c>
    </row>
    <row r="43" spans="1:33" x14ac:dyDescent="0.25">
      <c r="A43" s="3" t="s">
        <v>69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>
        <f>5633.61</f>
        <v>5633.61</v>
      </c>
      <c r="O43" s="4"/>
      <c r="P43" s="5">
        <f>6643.28</f>
        <v>6643.28</v>
      </c>
      <c r="Q43" s="5">
        <f>0</f>
        <v>0</v>
      </c>
      <c r="R43" s="5">
        <f>10265.36</f>
        <v>10265.36</v>
      </c>
      <c r="S43" s="4"/>
      <c r="T43" s="4"/>
      <c r="U43" s="4"/>
      <c r="V43" s="5">
        <f>55338.76</f>
        <v>55338.76</v>
      </c>
      <c r="W43" s="5">
        <f>3646.75</f>
        <v>3646.75</v>
      </c>
      <c r="X43" s="4"/>
      <c r="Y43" s="4"/>
      <c r="Z43" s="4"/>
      <c r="AA43" s="4"/>
      <c r="AB43" s="5">
        <f>43436.89</f>
        <v>43436.89</v>
      </c>
      <c r="AC43" s="5">
        <f>0</f>
        <v>0</v>
      </c>
      <c r="AD43" s="5">
        <f>42712.38</f>
        <v>42712.38</v>
      </c>
      <c r="AE43" s="5">
        <f>6101.1</f>
        <v>6101.1</v>
      </c>
      <c r="AF43" s="5">
        <f>0</f>
        <v>0</v>
      </c>
      <c r="AG43" s="5">
        <f t="shared" si="6"/>
        <v>173778.13</v>
      </c>
    </row>
    <row r="44" spans="1:33" x14ac:dyDescent="0.25">
      <c r="A44" s="3" t="s">
        <v>70</v>
      </c>
      <c r="B44" s="5">
        <f>119.99</f>
        <v>119.99</v>
      </c>
      <c r="C44" s="4"/>
      <c r="D44" s="4"/>
      <c r="E44" s="4"/>
      <c r="F44" s="5">
        <f>286.34</f>
        <v>286.33999999999997</v>
      </c>
      <c r="G44" s="4"/>
      <c r="H44" s="4"/>
      <c r="I44" s="4"/>
      <c r="J44" s="4"/>
      <c r="K44" s="4"/>
      <c r="L44" s="4"/>
      <c r="M44" s="5">
        <f>60</f>
        <v>60</v>
      </c>
      <c r="N44" s="4"/>
      <c r="O44" s="4"/>
      <c r="P44" s="4"/>
      <c r="Q44" s="5">
        <f>60</f>
        <v>60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5">
        <f>60</f>
        <v>60</v>
      </c>
      <c r="AE44" s="4"/>
      <c r="AF44" s="4"/>
      <c r="AG44" s="5">
        <f t="shared" si="6"/>
        <v>586.32999999999993</v>
      </c>
    </row>
    <row r="45" spans="1:33" x14ac:dyDescent="0.25">
      <c r="A45" s="3" t="s">
        <v>71</v>
      </c>
      <c r="B45" s="5">
        <f>9011.47</f>
        <v>9011.4699999999993</v>
      </c>
      <c r="C45" s="4"/>
      <c r="D45" s="4"/>
      <c r="E45" s="4"/>
      <c r="F45" s="5">
        <f>15056</f>
        <v>15056</v>
      </c>
      <c r="G45" s="4"/>
      <c r="H45" s="4"/>
      <c r="I45" s="5">
        <f>917</f>
        <v>917</v>
      </c>
      <c r="J45" s="4"/>
      <c r="K45" s="4"/>
      <c r="L45" s="5">
        <f>636</f>
        <v>636</v>
      </c>
      <c r="M45" s="5">
        <f>8759</f>
        <v>8759</v>
      </c>
      <c r="N45" s="4"/>
      <c r="O45" s="4"/>
      <c r="P45" s="5">
        <f>4444</f>
        <v>4444</v>
      </c>
      <c r="Q45" s="5">
        <f>2488</f>
        <v>2488</v>
      </c>
      <c r="R45" s="5">
        <f>1037</f>
        <v>1037</v>
      </c>
      <c r="S45" s="5">
        <f>1069</f>
        <v>1069</v>
      </c>
      <c r="T45" s="4"/>
      <c r="U45" s="4"/>
      <c r="V45" s="5">
        <f>11557</f>
        <v>11557</v>
      </c>
      <c r="W45" s="4"/>
      <c r="X45" s="4"/>
      <c r="Y45" s="5">
        <f>219</f>
        <v>219</v>
      </c>
      <c r="Z45" s="4"/>
      <c r="AA45" s="4"/>
      <c r="AB45" s="5">
        <f>4426</f>
        <v>4426</v>
      </c>
      <c r="AC45" s="4"/>
      <c r="AD45" s="5">
        <f>5924</f>
        <v>5924</v>
      </c>
      <c r="AE45" s="5">
        <f>597</f>
        <v>597</v>
      </c>
      <c r="AF45" s="4"/>
      <c r="AG45" s="5">
        <f t="shared" si="6"/>
        <v>66140.47</v>
      </c>
    </row>
    <row r="46" spans="1:33" x14ac:dyDescent="0.25">
      <c r="A46" s="3" t="s">
        <v>72</v>
      </c>
      <c r="B46" s="4"/>
      <c r="C46" s="4"/>
      <c r="D46" s="4"/>
      <c r="E46" s="4"/>
      <c r="F46" s="5">
        <f>8027.23</f>
        <v>8027.23</v>
      </c>
      <c r="G46" s="4"/>
      <c r="H46" s="4"/>
      <c r="I46" s="5">
        <f>1104.6</f>
        <v>1104.5999999999999</v>
      </c>
      <c r="J46" s="4"/>
      <c r="K46" s="4"/>
      <c r="L46" s="5">
        <f>383.25</f>
        <v>383.25</v>
      </c>
      <c r="M46" s="5">
        <f>10533.21</f>
        <v>10533.21</v>
      </c>
      <c r="N46" s="5">
        <f>572.7</f>
        <v>572.70000000000005</v>
      </c>
      <c r="O46" s="4"/>
      <c r="P46" s="4"/>
      <c r="Q46" s="5">
        <f>3051.21</f>
        <v>3051.21</v>
      </c>
      <c r="R46" s="5">
        <f>1237.78</f>
        <v>1237.78</v>
      </c>
      <c r="S46" s="4"/>
      <c r="T46" s="4"/>
      <c r="U46" s="4"/>
      <c r="V46" s="4"/>
      <c r="W46" s="5">
        <f>730.32</f>
        <v>730.32</v>
      </c>
      <c r="X46" s="4"/>
      <c r="Y46" s="5">
        <f>129.16</f>
        <v>129.16</v>
      </c>
      <c r="Z46" s="4"/>
      <c r="AA46" s="4"/>
      <c r="AB46" s="5">
        <f>5332.95</f>
        <v>5332.95</v>
      </c>
      <c r="AC46" s="4"/>
      <c r="AD46" s="5">
        <f>7125.64</f>
        <v>7125.64</v>
      </c>
      <c r="AE46" s="4"/>
      <c r="AF46" s="5">
        <f>0</f>
        <v>0</v>
      </c>
      <c r="AG46" s="5">
        <f t="shared" si="6"/>
        <v>38228.050000000003</v>
      </c>
    </row>
    <row r="47" spans="1:33" x14ac:dyDescent="0.25">
      <c r="A47" s="3" t="s">
        <v>73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>
        <f>28.56</f>
        <v>28.56</v>
      </c>
      <c r="O47" s="4"/>
      <c r="P47" s="5">
        <f>0</f>
        <v>0</v>
      </c>
      <c r="Q47" s="5">
        <f>0</f>
        <v>0</v>
      </c>
      <c r="R47" s="5">
        <f>70</f>
        <v>70</v>
      </c>
      <c r="S47" s="4"/>
      <c r="T47" s="4"/>
      <c r="U47" s="4"/>
      <c r="V47" s="5">
        <f>385.36</f>
        <v>385.36</v>
      </c>
      <c r="W47" s="5">
        <f>28.24</f>
        <v>28.24</v>
      </c>
      <c r="X47" s="4"/>
      <c r="Y47" s="4"/>
      <c r="Z47" s="4"/>
      <c r="AA47" s="4"/>
      <c r="AB47" s="5">
        <f>297.92</f>
        <v>297.92</v>
      </c>
      <c r="AC47" s="5">
        <f>0</f>
        <v>0</v>
      </c>
      <c r="AD47" s="5">
        <f>400.56</f>
        <v>400.56</v>
      </c>
      <c r="AE47" s="5">
        <f>56</f>
        <v>56</v>
      </c>
      <c r="AF47" s="5">
        <f>0</f>
        <v>0</v>
      </c>
      <c r="AG47" s="5">
        <f t="shared" si="6"/>
        <v>1266.6399999999999</v>
      </c>
    </row>
    <row r="48" spans="1:33" x14ac:dyDescent="0.25">
      <c r="A48" s="3" t="s">
        <v>74</v>
      </c>
      <c r="B48" s="6">
        <f t="shared" ref="B48:AF48" si="8">(((((((((((B36)+(B37))+(B38))+(B39))+(B40))+(B41))+(B42))+(B43))+(B44))+(B45))+(B46))+(B47)</f>
        <v>80216.62000000001</v>
      </c>
      <c r="C48" s="6">
        <f t="shared" si="8"/>
        <v>0</v>
      </c>
      <c r="D48" s="6">
        <f t="shared" si="8"/>
        <v>0</v>
      </c>
      <c r="E48" s="6">
        <f t="shared" si="8"/>
        <v>0</v>
      </c>
      <c r="F48" s="6">
        <f t="shared" si="8"/>
        <v>98426.209999999992</v>
      </c>
      <c r="G48" s="6">
        <f t="shared" si="8"/>
        <v>0</v>
      </c>
      <c r="H48" s="6">
        <f t="shared" si="8"/>
        <v>0</v>
      </c>
      <c r="I48" s="6">
        <f t="shared" si="8"/>
        <v>16346.17</v>
      </c>
      <c r="J48" s="6">
        <f t="shared" si="8"/>
        <v>0</v>
      </c>
      <c r="K48" s="6">
        <f t="shared" si="8"/>
        <v>0</v>
      </c>
      <c r="L48" s="6">
        <f t="shared" si="8"/>
        <v>2716.27</v>
      </c>
      <c r="M48" s="6">
        <f t="shared" si="8"/>
        <v>48633.62</v>
      </c>
      <c r="N48" s="6">
        <f t="shared" si="8"/>
        <v>11246.69</v>
      </c>
      <c r="O48" s="6">
        <f t="shared" si="8"/>
        <v>0</v>
      </c>
      <c r="P48" s="6">
        <f t="shared" si="8"/>
        <v>80897.17</v>
      </c>
      <c r="Q48" s="6">
        <f t="shared" si="8"/>
        <v>45146.249999999993</v>
      </c>
      <c r="R48" s="6">
        <f t="shared" si="8"/>
        <v>23455.769999999997</v>
      </c>
      <c r="S48" s="6">
        <f t="shared" si="8"/>
        <v>3907.2</v>
      </c>
      <c r="T48" s="6">
        <f t="shared" si="8"/>
        <v>0</v>
      </c>
      <c r="U48" s="6">
        <f t="shared" si="8"/>
        <v>0</v>
      </c>
      <c r="V48" s="6">
        <f t="shared" si="8"/>
        <v>131841.01999999999</v>
      </c>
      <c r="W48" s="6">
        <f t="shared" si="8"/>
        <v>9855.14</v>
      </c>
      <c r="X48" s="6">
        <f t="shared" si="8"/>
        <v>0</v>
      </c>
      <c r="Y48" s="6">
        <f t="shared" si="8"/>
        <v>633.1</v>
      </c>
      <c r="Z48" s="6">
        <f t="shared" si="8"/>
        <v>0</v>
      </c>
      <c r="AA48" s="6">
        <f t="shared" si="8"/>
        <v>0</v>
      </c>
      <c r="AB48" s="6">
        <f t="shared" si="8"/>
        <v>103950.39</v>
      </c>
      <c r="AC48" s="6">
        <f t="shared" si="8"/>
        <v>0</v>
      </c>
      <c r="AD48" s="6">
        <f t="shared" si="8"/>
        <v>122714.40999999999</v>
      </c>
      <c r="AE48" s="6">
        <f t="shared" si="8"/>
        <v>12218.98</v>
      </c>
      <c r="AF48" s="6">
        <f t="shared" si="8"/>
        <v>0</v>
      </c>
      <c r="AG48" s="6">
        <f t="shared" si="6"/>
        <v>792205.01</v>
      </c>
    </row>
    <row r="49" spans="1:33" x14ac:dyDescent="0.25">
      <c r="A49" s="3" t="s">
        <v>75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5">
        <f t="shared" si="6"/>
        <v>0</v>
      </c>
    </row>
    <row r="50" spans="1:33" x14ac:dyDescent="0.25">
      <c r="A50" s="3" t="s">
        <v>76</v>
      </c>
      <c r="B50" s="5">
        <f>5682.02</f>
        <v>5682.02</v>
      </c>
      <c r="C50" s="4"/>
      <c r="D50" s="4"/>
      <c r="E50" s="4"/>
      <c r="F50" s="5">
        <f>13901.3</f>
        <v>13901.3</v>
      </c>
      <c r="G50" s="4"/>
      <c r="H50" s="4"/>
      <c r="I50" s="4"/>
      <c r="J50" s="4"/>
      <c r="K50" s="5">
        <f>19.2</f>
        <v>19.2</v>
      </c>
      <c r="L50" s="4"/>
      <c r="M50" s="5">
        <f>64</f>
        <v>64</v>
      </c>
      <c r="N50" s="4"/>
      <c r="O50" s="4"/>
      <c r="P50" s="5">
        <f>64</f>
        <v>64</v>
      </c>
      <c r="Q50" s="5">
        <f>0</f>
        <v>0</v>
      </c>
      <c r="R50" s="4"/>
      <c r="S50" s="4"/>
      <c r="T50" s="4"/>
      <c r="U50" s="4"/>
      <c r="V50" s="5">
        <f>125</f>
        <v>125</v>
      </c>
      <c r="W50" s="4"/>
      <c r="X50" s="4"/>
      <c r="Y50" s="4"/>
      <c r="Z50" s="4"/>
      <c r="AA50" s="4"/>
      <c r="AB50" s="4"/>
      <c r="AC50" s="4"/>
      <c r="AD50" s="5">
        <f>3421</f>
        <v>3421</v>
      </c>
      <c r="AE50" s="4"/>
      <c r="AF50" s="4"/>
      <c r="AG50" s="5">
        <f t="shared" si="6"/>
        <v>23276.52</v>
      </c>
    </row>
    <row r="51" spans="1:33" x14ac:dyDescent="0.25">
      <c r="A51" s="3" t="s">
        <v>77</v>
      </c>
      <c r="B51" s="5">
        <f>29200</f>
        <v>29200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5">
        <f t="shared" si="6"/>
        <v>29200</v>
      </c>
    </row>
    <row r="52" spans="1:33" x14ac:dyDescent="0.25">
      <c r="A52" s="3" t="s">
        <v>78</v>
      </c>
      <c r="B52" s="5">
        <f>6285.51</f>
        <v>6285.51</v>
      </c>
      <c r="C52" s="4"/>
      <c r="D52" s="4"/>
      <c r="E52" s="4"/>
      <c r="F52" s="5">
        <f>4889.35</f>
        <v>4889.3500000000004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5">
        <f t="shared" si="6"/>
        <v>11174.86</v>
      </c>
    </row>
    <row r="53" spans="1:33" x14ac:dyDescent="0.25">
      <c r="A53" s="3" t="s">
        <v>79</v>
      </c>
      <c r="B53" s="5">
        <f>6965.96</f>
        <v>6965.96</v>
      </c>
      <c r="C53" s="4"/>
      <c r="D53" s="4"/>
      <c r="E53" s="4"/>
      <c r="F53" s="5">
        <f>7711.99</f>
        <v>7711.99</v>
      </c>
      <c r="G53" s="4"/>
      <c r="H53" s="4"/>
      <c r="I53" s="4"/>
      <c r="J53" s="5">
        <f>16425.17</f>
        <v>16425.169999999998</v>
      </c>
      <c r="K53" s="4"/>
      <c r="L53" s="5">
        <f>135.52</f>
        <v>135.52000000000001</v>
      </c>
      <c r="M53" s="4"/>
      <c r="N53" s="5">
        <f>5858.08</f>
        <v>5858.08</v>
      </c>
      <c r="O53" s="4"/>
      <c r="P53" s="4"/>
      <c r="Q53" s="4"/>
      <c r="R53" s="4"/>
      <c r="S53" s="4"/>
      <c r="T53" s="4"/>
      <c r="U53" s="5">
        <f>2294.86</f>
        <v>2294.86</v>
      </c>
      <c r="V53" s="5">
        <f>5636.01</f>
        <v>5636.01</v>
      </c>
      <c r="W53" s="5">
        <f>77.44</f>
        <v>77.44</v>
      </c>
      <c r="X53" s="4"/>
      <c r="Y53" s="4"/>
      <c r="Z53" s="4"/>
      <c r="AA53" s="4"/>
      <c r="AB53" s="5">
        <f>542.08</f>
        <v>542.08000000000004</v>
      </c>
      <c r="AC53" s="4"/>
      <c r="AD53" s="5">
        <f>677.6</f>
        <v>677.6</v>
      </c>
      <c r="AE53" s="4"/>
      <c r="AF53" s="4"/>
      <c r="AG53" s="5">
        <f t="shared" si="6"/>
        <v>46324.710000000006</v>
      </c>
    </row>
    <row r="54" spans="1:33" x14ac:dyDescent="0.25">
      <c r="A54" s="3" t="s">
        <v>80</v>
      </c>
      <c r="B54" s="6">
        <f t="shared" ref="B54:AF54" si="9">((((B49)+(B50))+(B51))+(B52))+(B53)</f>
        <v>48133.490000000005</v>
      </c>
      <c r="C54" s="6">
        <f t="shared" si="9"/>
        <v>0</v>
      </c>
      <c r="D54" s="6">
        <f t="shared" si="9"/>
        <v>0</v>
      </c>
      <c r="E54" s="6">
        <f t="shared" si="9"/>
        <v>0</v>
      </c>
      <c r="F54" s="6">
        <f t="shared" si="9"/>
        <v>26502.639999999999</v>
      </c>
      <c r="G54" s="6">
        <f t="shared" si="9"/>
        <v>0</v>
      </c>
      <c r="H54" s="6">
        <f t="shared" si="9"/>
        <v>0</v>
      </c>
      <c r="I54" s="6">
        <f t="shared" si="9"/>
        <v>0</v>
      </c>
      <c r="J54" s="6">
        <f t="shared" si="9"/>
        <v>16425.169999999998</v>
      </c>
      <c r="K54" s="6">
        <f t="shared" si="9"/>
        <v>19.2</v>
      </c>
      <c r="L54" s="6">
        <f t="shared" si="9"/>
        <v>135.52000000000001</v>
      </c>
      <c r="M54" s="6">
        <f t="shared" si="9"/>
        <v>64</v>
      </c>
      <c r="N54" s="6">
        <f t="shared" si="9"/>
        <v>5858.08</v>
      </c>
      <c r="O54" s="6">
        <f t="shared" si="9"/>
        <v>0</v>
      </c>
      <c r="P54" s="6">
        <f t="shared" si="9"/>
        <v>64</v>
      </c>
      <c r="Q54" s="6">
        <f t="shared" si="9"/>
        <v>0</v>
      </c>
      <c r="R54" s="6">
        <f t="shared" si="9"/>
        <v>0</v>
      </c>
      <c r="S54" s="6">
        <f t="shared" si="9"/>
        <v>0</v>
      </c>
      <c r="T54" s="6">
        <f t="shared" si="9"/>
        <v>0</v>
      </c>
      <c r="U54" s="6">
        <f t="shared" si="9"/>
        <v>2294.86</v>
      </c>
      <c r="V54" s="6">
        <f t="shared" si="9"/>
        <v>5761.01</v>
      </c>
      <c r="W54" s="6">
        <f t="shared" si="9"/>
        <v>77.44</v>
      </c>
      <c r="X54" s="6">
        <f t="shared" si="9"/>
        <v>0</v>
      </c>
      <c r="Y54" s="6">
        <f t="shared" si="9"/>
        <v>0</v>
      </c>
      <c r="Z54" s="6">
        <f t="shared" si="9"/>
        <v>0</v>
      </c>
      <c r="AA54" s="6">
        <f t="shared" si="9"/>
        <v>0</v>
      </c>
      <c r="AB54" s="6">
        <f t="shared" si="9"/>
        <v>542.08000000000004</v>
      </c>
      <c r="AC54" s="6">
        <f t="shared" si="9"/>
        <v>0</v>
      </c>
      <c r="AD54" s="6">
        <f t="shared" si="9"/>
        <v>4098.6000000000004</v>
      </c>
      <c r="AE54" s="6">
        <f t="shared" si="9"/>
        <v>0</v>
      </c>
      <c r="AF54" s="6">
        <f t="shared" si="9"/>
        <v>0</v>
      </c>
      <c r="AG54" s="6">
        <f t="shared" si="6"/>
        <v>109976.09000000001</v>
      </c>
    </row>
    <row r="55" spans="1:33" x14ac:dyDescent="0.25">
      <c r="A55" s="3" t="s">
        <v>81</v>
      </c>
      <c r="B55" s="5">
        <f>24377.48</f>
        <v>24377.48</v>
      </c>
      <c r="C55" s="4"/>
      <c r="D55" s="4"/>
      <c r="E55" s="4"/>
      <c r="F55" s="5">
        <f>20793.59</f>
        <v>20793.59</v>
      </c>
      <c r="G55" s="4"/>
      <c r="H55" s="4"/>
      <c r="I55" s="4"/>
      <c r="J55" s="5">
        <f>83477.57</f>
        <v>83477.570000000007</v>
      </c>
      <c r="K55" s="4"/>
      <c r="L55" s="4"/>
      <c r="M55" s="4"/>
      <c r="N55" s="5">
        <f>64973.68</f>
        <v>64973.68</v>
      </c>
      <c r="O55" s="4"/>
      <c r="P55" s="4"/>
      <c r="Q55" s="4"/>
      <c r="R55" s="4"/>
      <c r="S55" s="4"/>
      <c r="T55" s="4"/>
      <c r="U55" s="4"/>
      <c r="V55" s="4"/>
      <c r="W55" s="5">
        <f>0</f>
        <v>0</v>
      </c>
      <c r="X55" s="4"/>
      <c r="Y55" s="4"/>
      <c r="Z55" s="4"/>
      <c r="AA55" s="4"/>
      <c r="AB55" s="5">
        <f>21025</f>
        <v>21025</v>
      </c>
      <c r="AC55" s="4"/>
      <c r="AD55" s="5">
        <f>16850</f>
        <v>16850</v>
      </c>
      <c r="AE55" s="4"/>
      <c r="AF55" s="4"/>
      <c r="AG55" s="5">
        <f t="shared" si="6"/>
        <v>231497.32</v>
      </c>
    </row>
    <row r="56" spans="1:33" x14ac:dyDescent="0.25">
      <c r="A56" s="3" t="s">
        <v>82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5">
        <f t="shared" si="6"/>
        <v>0</v>
      </c>
    </row>
    <row r="57" spans="1:33" x14ac:dyDescent="0.25">
      <c r="A57" s="3" t="s">
        <v>83</v>
      </c>
      <c r="B57" s="5">
        <f>241</f>
        <v>241</v>
      </c>
      <c r="C57" s="4"/>
      <c r="D57" s="4"/>
      <c r="E57" s="4"/>
      <c r="F57" s="5">
        <f>489.29</f>
        <v>489.29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5">
        <f t="shared" si="6"/>
        <v>730.29</v>
      </c>
    </row>
    <row r="58" spans="1:33" x14ac:dyDescent="0.25">
      <c r="A58" s="3" t="s">
        <v>84</v>
      </c>
      <c r="B58" s="5">
        <f>2206.05</f>
        <v>2206.0500000000002</v>
      </c>
      <c r="C58" s="4"/>
      <c r="D58" s="4"/>
      <c r="E58" s="4"/>
      <c r="F58" s="5">
        <f>4478.95</f>
        <v>4478.95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5">
        <f t="shared" si="6"/>
        <v>6685</v>
      </c>
    </row>
    <row r="59" spans="1:33" x14ac:dyDescent="0.25">
      <c r="A59" s="3" t="s">
        <v>85</v>
      </c>
      <c r="B59" s="5">
        <f>1837.41</f>
        <v>1837.41</v>
      </c>
      <c r="C59" s="4"/>
      <c r="D59" s="4"/>
      <c r="E59" s="4"/>
      <c r="F59" s="5">
        <f>3395.49</f>
        <v>3395.49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5">
        <f t="shared" si="6"/>
        <v>5232.8999999999996</v>
      </c>
    </row>
    <row r="60" spans="1:33" x14ac:dyDescent="0.25">
      <c r="A60" s="3" t="s">
        <v>86</v>
      </c>
      <c r="B60" s="5">
        <f>69906.04</f>
        <v>69906.039999999994</v>
      </c>
      <c r="C60" s="4"/>
      <c r="D60" s="4"/>
      <c r="E60" s="4"/>
      <c r="F60" s="5">
        <f>23822.04</f>
        <v>23822.04</v>
      </c>
      <c r="G60" s="4"/>
      <c r="H60" s="4"/>
      <c r="I60" s="4"/>
      <c r="J60" s="5">
        <f>30361</f>
        <v>30361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5">
        <f t="shared" si="6"/>
        <v>124089.07999999999</v>
      </c>
    </row>
    <row r="61" spans="1:33" x14ac:dyDescent="0.25">
      <c r="A61" s="3" t="s">
        <v>87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>
        <f>40000</f>
        <v>40000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5">
        <f t="shared" si="6"/>
        <v>40000</v>
      </c>
    </row>
    <row r="62" spans="1:33" x14ac:dyDescent="0.25">
      <c r="A62" s="3" t="s">
        <v>88</v>
      </c>
      <c r="B62" s="5">
        <f>13362.46</f>
        <v>13362.46</v>
      </c>
      <c r="C62" s="4"/>
      <c r="D62" s="4"/>
      <c r="E62" s="4"/>
      <c r="F62" s="5">
        <f>27129.84</f>
        <v>27129.84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5">
        <f t="shared" si="6"/>
        <v>40492.300000000003</v>
      </c>
    </row>
    <row r="63" spans="1:33" x14ac:dyDescent="0.25">
      <c r="A63" s="3" t="s">
        <v>89</v>
      </c>
      <c r="B63" s="5">
        <f>9854.4</f>
        <v>9854.4</v>
      </c>
      <c r="C63" s="4"/>
      <c r="D63" s="4"/>
      <c r="E63" s="4"/>
      <c r="F63" s="5">
        <f>1204.01</f>
        <v>1204.01</v>
      </c>
      <c r="G63" s="4"/>
      <c r="H63" s="4"/>
      <c r="I63" s="4"/>
      <c r="J63" s="5">
        <f>7500</f>
        <v>7500</v>
      </c>
      <c r="K63" s="4"/>
      <c r="L63" s="4"/>
      <c r="M63" s="4"/>
      <c r="N63" s="5">
        <f>56.7</f>
        <v>56.7</v>
      </c>
      <c r="O63" s="4"/>
      <c r="P63" s="4"/>
      <c r="Q63" s="4"/>
      <c r="R63" s="4"/>
      <c r="S63" s="4"/>
      <c r="T63" s="4"/>
      <c r="U63" s="5">
        <f>696.6</f>
        <v>696.6</v>
      </c>
      <c r="V63" s="5">
        <f>874.52</f>
        <v>874.52</v>
      </c>
      <c r="W63" s="5">
        <f>56.7</f>
        <v>56.7</v>
      </c>
      <c r="X63" s="4"/>
      <c r="Y63" s="4"/>
      <c r="Z63" s="4"/>
      <c r="AA63" s="4"/>
      <c r="AB63" s="5">
        <f>529.2</f>
        <v>529.20000000000005</v>
      </c>
      <c r="AC63" s="4"/>
      <c r="AD63" s="5">
        <f>661.5</f>
        <v>661.5</v>
      </c>
      <c r="AE63" s="4"/>
      <c r="AF63" s="4"/>
      <c r="AG63" s="5">
        <f t="shared" si="6"/>
        <v>21433.63</v>
      </c>
    </row>
    <row r="64" spans="1:33" x14ac:dyDescent="0.25">
      <c r="A64" s="3" t="s">
        <v>90</v>
      </c>
      <c r="B64" s="4"/>
      <c r="C64" s="4"/>
      <c r="D64" s="4"/>
      <c r="E64" s="4"/>
      <c r="F64" s="5">
        <f>0</f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5">
        <f t="shared" ref="AG64:AG93" si="10">((((((((((((((((((((((((((((((B64)+(C64))+(D64))+(E64))+(F64))+(G64))+(H64))+(I64))+(J64))+(K64))+(L64))+(M64))+(N64))+(O64))+(P64))+(Q64))+(R64))+(S64))+(T64))+(U64))+(V64))+(W64))+(X64))+(Y64))+(Z64))+(AA64))+(AB64))+(AC64))+(AD64))+(AE64))+(AF64)</f>
        <v>0</v>
      </c>
    </row>
    <row r="65" spans="1:33" x14ac:dyDescent="0.25">
      <c r="A65" s="3" t="s">
        <v>91</v>
      </c>
      <c r="B65" s="4"/>
      <c r="C65" s="4"/>
      <c r="D65" s="4"/>
      <c r="E65" s="4"/>
      <c r="F65" s="4"/>
      <c r="G65" s="4"/>
      <c r="H65" s="4"/>
      <c r="I65" s="4"/>
      <c r="J65" s="5">
        <f>8727.25</f>
        <v>8727.25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5">
        <f t="shared" si="10"/>
        <v>8727.25</v>
      </c>
    </row>
    <row r="66" spans="1:33" x14ac:dyDescent="0.25">
      <c r="A66" s="3" t="s">
        <v>92</v>
      </c>
      <c r="B66" s="6">
        <f t="shared" ref="B66:AF66" si="11">(((((((((B56)+(B57))+(B58))+(B59))+(B60))+(B61))+(B62))+(B63))+(B64))+(B65)</f>
        <v>97407.359999999986</v>
      </c>
      <c r="C66" s="6">
        <f t="shared" si="11"/>
        <v>0</v>
      </c>
      <c r="D66" s="6">
        <f t="shared" si="11"/>
        <v>0</v>
      </c>
      <c r="E66" s="6">
        <f t="shared" si="11"/>
        <v>0</v>
      </c>
      <c r="F66" s="6">
        <f t="shared" si="11"/>
        <v>60519.62</v>
      </c>
      <c r="G66" s="6">
        <f t="shared" si="11"/>
        <v>0</v>
      </c>
      <c r="H66" s="6">
        <f t="shared" si="11"/>
        <v>0</v>
      </c>
      <c r="I66" s="6">
        <f t="shared" si="11"/>
        <v>0</v>
      </c>
      <c r="J66" s="6">
        <f t="shared" si="11"/>
        <v>46588.25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56.7</v>
      </c>
      <c r="O66" s="6">
        <f t="shared" si="11"/>
        <v>0</v>
      </c>
      <c r="P66" s="6">
        <f t="shared" si="11"/>
        <v>0</v>
      </c>
      <c r="Q66" s="6">
        <f t="shared" si="11"/>
        <v>0</v>
      </c>
      <c r="R66" s="6">
        <f t="shared" si="11"/>
        <v>0</v>
      </c>
      <c r="S66" s="6">
        <f t="shared" si="11"/>
        <v>0</v>
      </c>
      <c r="T66" s="6">
        <f t="shared" si="11"/>
        <v>0</v>
      </c>
      <c r="U66" s="6">
        <f t="shared" si="11"/>
        <v>696.6</v>
      </c>
      <c r="V66" s="6">
        <f t="shared" si="11"/>
        <v>40874.519999999997</v>
      </c>
      <c r="W66" s="6">
        <f t="shared" si="11"/>
        <v>56.7</v>
      </c>
      <c r="X66" s="6">
        <f t="shared" si="11"/>
        <v>0</v>
      </c>
      <c r="Y66" s="6">
        <f t="shared" si="11"/>
        <v>0</v>
      </c>
      <c r="Z66" s="6">
        <f t="shared" si="11"/>
        <v>0</v>
      </c>
      <c r="AA66" s="6">
        <f t="shared" si="11"/>
        <v>0</v>
      </c>
      <c r="AB66" s="6">
        <f t="shared" si="11"/>
        <v>529.20000000000005</v>
      </c>
      <c r="AC66" s="6">
        <f t="shared" si="11"/>
        <v>0</v>
      </c>
      <c r="AD66" s="6">
        <f t="shared" si="11"/>
        <v>661.5</v>
      </c>
      <c r="AE66" s="6">
        <f t="shared" si="11"/>
        <v>0</v>
      </c>
      <c r="AF66" s="6">
        <f t="shared" si="11"/>
        <v>0</v>
      </c>
      <c r="AG66" s="6">
        <f t="shared" si="10"/>
        <v>247390.45</v>
      </c>
    </row>
    <row r="67" spans="1:33" x14ac:dyDescent="0.25">
      <c r="A67" s="3" t="s">
        <v>93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5">
        <f t="shared" si="10"/>
        <v>0</v>
      </c>
    </row>
    <row r="68" spans="1:33" x14ac:dyDescent="0.25">
      <c r="A68" s="3" t="s">
        <v>94</v>
      </c>
      <c r="B68" s="5">
        <f>42343.22</f>
        <v>42343.22</v>
      </c>
      <c r="C68" s="4"/>
      <c r="D68" s="4"/>
      <c r="E68" s="4"/>
      <c r="F68" s="5">
        <f>35852.5</f>
        <v>35852.5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5">
        <f t="shared" si="10"/>
        <v>78195.72</v>
      </c>
    </row>
    <row r="69" spans="1:33" x14ac:dyDescent="0.25">
      <c r="A69" s="3" t="s">
        <v>95</v>
      </c>
      <c r="B69" s="5">
        <f>23782</f>
        <v>23782</v>
      </c>
      <c r="C69" s="4"/>
      <c r="D69" s="4"/>
      <c r="E69" s="4"/>
      <c r="F69" s="5">
        <f>23911</f>
        <v>23911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5">
        <f t="shared" si="10"/>
        <v>47693</v>
      </c>
    </row>
    <row r="70" spans="1:33" x14ac:dyDescent="0.25">
      <c r="A70" s="3" t="s">
        <v>96</v>
      </c>
      <c r="B70" s="6">
        <f t="shared" ref="B70:AF70" si="12">((B67)+(B68))+(B69)</f>
        <v>66125.22</v>
      </c>
      <c r="C70" s="6">
        <f t="shared" si="12"/>
        <v>0</v>
      </c>
      <c r="D70" s="6">
        <f t="shared" si="12"/>
        <v>0</v>
      </c>
      <c r="E70" s="6">
        <f t="shared" si="12"/>
        <v>0</v>
      </c>
      <c r="F70" s="6">
        <f t="shared" si="12"/>
        <v>59763.5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0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2"/>
        <v>0</v>
      </c>
      <c r="AC70" s="6">
        <f t="shared" si="12"/>
        <v>0</v>
      </c>
      <c r="AD70" s="6">
        <f t="shared" si="12"/>
        <v>0</v>
      </c>
      <c r="AE70" s="6">
        <f t="shared" si="12"/>
        <v>0</v>
      </c>
      <c r="AF70" s="6">
        <f t="shared" si="12"/>
        <v>0</v>
      </c>
      <c r="AG70" s="6">
        <f t="shared" si="10"/>
        <v>125888.72</v>
      </c>
    </row>
    <row r="71" spans="1:33" x14ac:dyDescent="0.25">
      <c r="A71" s="3" t="s">
        <v>97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5">
        <f t="shared" si="10"/>
        <v>0</v>
      </c>
    </row>
    <row r="72" spans="1:33" x14ac:dyDescent="0.25">
      <c r="A72" s="3" t="s">
        <v>98</v>
      </c>
      <c r="B72" s="5">
        <f>317.22</f>
        <v>317.22000000000003</v>
      </c>
      <c r="C72" s="4"/>
      <c r="D72" s="4"/>
      <c r="E72" s="4"/>
      <c r="F72" s="5">
        <f>222.04</f>
        <v>222.04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>
        <f>47.58</f>
        <v>47.58</v>
      </c>
      <c r="V72" s="5">
        <f>47.58</f>
        <v>47.58</v>
      </c>
      <c r="W72" s="4"/>
      <c r="X72" s="4"/>
      <c r="Y72" s="4"/>
      <c r="Z72" s="4"/>
      <c r="AA72" s="4"/>
      <c r="AB72" s="4"/>
      <c r="AC72" s="4"/>
      <c r="AD72" s="4"/>
      <c r="AE72" s="4"/>
      <c r="AF72" s="4"/>
      <c r="AG72" s="5">
        <f t="shared" si="10"/>
        <v>634.42000000000007</v>
      </c>
    </row>
    <row r="73" spans="1:33" x14ac:dyDescent="0.25">
      <c r="A73" s="3" t="s">
        <v>99</v>
      </c>
      <c r="B73" s="5">
        <f>300</f>
        <v>300</v>
      </c>
      <c r="C73" s="4"/>
      <c r="D73" s="4"/>
      <c r="E73" s="4"/>
      <c r="F73" s="5">
        <f>120</f>
        <v>120</v>
      </c>
      <c r="G73" s="4"/>
      <c r="H73" s="4"/>
      <c r="I73" s="4"/>
      <c r="J73" s="4"/>
      <c r="K73" s="4"/>
      <c r="L73" s="4"/>
      <c r="M73" s="4"/>
      <c r="N73" s="5">
        <f>87.05</f>
        <v>87.05</v>
      </c>
      <c r="O73" s="4"/>
      <c r="P73" s="4"/>
      <c r="Q73" s="4"/>
      <c r="R73" s="4"/>
      <c r="S73" s="4"/>
      <c r="T73" s="4"/>
      <c r="U73" s="5">
        <f>90</f>
        <v>90</v>
      </c>
      <c r="V73" s="5">
        <f>90</f>
        <v>90</v>
      </c>
      <c r="W73" s="4"/>
      <c r="X73" s="4"/>
      <c r="Y73" s="4"/>
      <c r="Z73" s="4"/>
      <c r="AA73" s="4"/>
      <c r="AB73" s="4"/>
      <c r="AC73" s="4"/>
      <c r="AD73" s="4"/>
      <c r="AE73" s="4"/>
      <c r="AF73" s="4"/>
      <c r="AG73" s="5">
        <f t="shared" si="10"/>
        <v>687.05</v>
      </c>
    </row>
    <row r="74" spans="1:33" x14ac:dyDescent="0.25">
      <c r="A74" s="3" t="s">
        <v>100</v>
      </c>
      <c r="B74" s="5">
        <f>4776.84</f>
        <v>4776.84</v>
      </c>
      <c r="C74" s="4"/>
      <c r="D74" s="4"/>
      <c r="E74" s="4"/>
      <c r="F74" s="5">
        <f>2923.19</f>
        <v>2923.19</v>
      </c>
      <c r="G74" s="4"/>
      <c r="H74" s="4"/>
      <c r="I74" s="4"/>
      <c r="J74" s="4"/>
      <c r="K74" s="4"/>
      <c r="L74" s="4"/>
      <c r="M74" s="4"/>
      <c r="N74" s="5">
        <f>35.81</f>
        <v>35.81</v>
      </c>
      <c r="O74" s="4"/>
      <c r="P74" s="4"/>
      <c r="Q74" s="4"/>
      <c r="R74" s="4"/>
      <c r="S74" s="4"/>
      <c r="T74" s="4"/>
      <c r="U74" s="5">
        <f>456.01</f>
        <v>456.01</v>
      </c>
      <c r="V74" s="5">
        <f>2200.06</f>
        <v>2200.06</v>
      </c>
      <c r="W74" s="5">
        <f>106.94</f>
        <v>106.94</v>
      </c>
      <c r="X74" s="4"/>
      <c r="Y74" s="4"/>
      <c r="Z74" s="4"/>
      <c r="AA74" s="4"/>
      <c r="AB74" s="5">
        <f>1569.72</f>
        <v>1569.72</v>
      </c>
      <c r="AC74" s="4"/>
      <c r="AD74" s="5">
        <f>2181.22</f>
        <v>2181.2199999999998</v>
      </c>
      <c r="AE74" s="4"/>
      <c r="AF74" s="4"/>
      <c r="AG74" s="5">
        <f t="shared" si="10"/>
        <v>14249.79</v>
      </c>
    </row>
    <row r="75" spans="1:33" x14ac:dyDescent="0.25">
      <c r="A75" s="3" t="s">
        <v>101</v>
      </c>
      <c r="B75" s="5">
        <f>367.09</f>
        <v>367.09</v>
      </c>
      <c r="C75" s="4"/>
      <c r="D75" s="4"/>
      <c r="E75" s="4"/>
      <c r="F75" s="5">
        <f>2499.23</f>
        <v>2499.23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>
        <f>3687.22</f>
        <v>3687.22</v>
      </c>
      <c r="V75" s="5">
        <f>250.25</f>
        <v>250.25</v>
      </c>
      <c r="W75" s="4"/>
      <c r="X75" s="4"/>
      <c r="Y75" s="4"/>
      <c r="Z75" s="4"/>
      <c r="AA75" s="4"/>
      <c r="AB75" s="5">
        <f>1528.54</f>
        <v>1528.54</v>
      </c>
      <c r="AC75" s="4"/>
      <c r="AD75" s="5">
        <f>1528.55</f>
        <v>1528.55</v>
      </c>
      <c r="AE75" s="4"/>
      <c r="AF75" s="4"/>
      <c r="AG75" s="5">
        <f t="shared" si="10"/>
        <v>9860.8799999999992</v>
      </c>
    </row>
    <row r="76" spans="1:33" x14ac:dyDescent="0.25">
      <c r="A76" s="3" t="s">
        <v>102</v>
      </c>
      <c r="B76" s="5">
        <f>19232.24</f>
        <v>19232.240000000002</v>
      </c>
      <c r="C76" s="4"/>
      <c r="D76" s="4"/>
      <c r="E76" s="4"/>
      <c r="F76" s="5">
        <f>1954.68</f>
        <v>1954.68</v>
      </c>
      <c r="G76" s="4"/>
      <c r="H76" s="4"/>
      <c r="I76" s="4"/>
      <c r="J76" s="5">
        <f>8344.62</f>
        <v>8344.6200000000008</v>
      </c>
      <c r="K76" s="5">
        <f>3667.43</f>
        <v>3667.43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5">
        <f>435.57</f>
        <v>435.57</v>
      </c>
      <c r="Y76" s="4"/>
      <c r="Z76" s="4"/>
      <c r="AA76" s="4"/>
      <c r="AB76" s="4"/>
      <c r="AC76" s="4"/>
      <c r="AD76" s="4"/>
      <c r="AE76" s="4"/>
      <c r="AF76" s="4"/>
      <c r="AG76" s="5">
        <f t="shared" si="10"/>
        <v>33634.54</v>
      </c>
    </row>
    <row r="77" spans="1:33" x14ac:dyDescent="0.25">
      <c r="A77" s="3" t="s">
        <v>103</v>
      </c>
      <c r="B77" s="5">
        <f>28588.36</f>
        <v>28588.36</v>
      </c>
      <c r="C77" s="5">
        <f>319.45</f>
        <v>319.45</v>
      </c>
      <c r="D77" s="5">
        <f>4261.55</f>
        <v>4261.55</v>
      </c>
      <c r="E77" s="4"/>
      <c r="F77" s="5">
        <f>14306.34</f>
        <v>14306.34</v>
      </c>
      <c r="G77" s="4"/>
      <c r="H77" s="5">
        <f>-1941.89</f>
        <v>-1941.89</v>
      </c>
      <c r="I77" s="4"/>
      <c r="J77" s="5">
        <f>13908.95</f>
        <v>13908.95</v>
      </c>
      <c r="K77" s="5">
        <f>893.94</f>
        <v>893.94</v>
      </c>
      <c r="L77" s="4"/>
      <c r="M77" s="4"/>
      <c r="N77" s="5">
        <f>87437.6</f>
        <v>87437.6</v>
      </c>
      <c r="O77" s="4"/>
      <c r="P77" s="4"/>
      <c r="Q77" s="4"/>
      <c r="R77" s="4"/>
      <c r="S77" s="4"/>
      <c r="T77" s="4"/>
      <c r="U77" s="5">
        <f>11162.63</f>
        <v>11162.63</v>
      </c>
      <c r="V77" s="5">
        <f>6279.05</f>
        <v>6279.05</v>
      </c>
      <c r="W77" s="5">
        <f>18560.54</f>
        <v>18560.54</v>
      </c>
      <c r="X77" s="4"/>
      <c r="Y77" s="4"/>
      <c r="Z77" s="5">
        <f>1686.01</f>
        <v>1686.01</v>
      </c>
      <c r="AA77" s="5">
        <f>0</f>
        <v>0</v>
      </c>
      <c r="AB77" s="5">
        <f>21664.41</f>
        <v>21664.41</v>
      </c>
      <c r="AC77" s="4"/>
      <c r="AD77" s="5">
        <f>30119.7</f>
        <v>30119.7</v>
      </c>
      <c r="AE77" s="5">
        <f>1197.96</f>
        <v>1197.96</v>
      </c>
      <c r="AF77" s="4"/>
      <c r="AG77" s="5">
        <f t="shared" si="10"/>
        <v>238444.6</v>
      </c>
    </row>
    <row r="78" spans="1:33" x14ac:dyDescent="0.25">
      <c r="A78" s="3" t="s">
        <v>104</v>
      </c>
      <c r="B78" s="5">
        <f>2178.04</f>
        <v>2178.04</v>
      </c>
      <c r="C78" s="4"/>
      <c r="D78" s="4"/>
      <c r="E78" s="4"/>
      <c r="F78" s="5">
        <f>2934.21</f>
        <v>2934.21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5">
        <f t="shared" si="10"/>
        <v>5112.25</v>
      </c>
    </row>
    <row r="79" spans="1:33" x14ac:dyDescent="0.25">
      <c r="A79" s="3" t="s">
        <v>105</v>
      </c>
      <c r="B79" s="6">
        <f t="shared" ref="B79:AF79" si="13">(((((((B71)+(B72))+(B73))+(B74))+(B75))+(B76))+(B77))+(B78)</f>
        <v>55759.79</v>
      </c>
      <c r="C79" s="6">
        <f t="shared" si="13"/>
        <v>319.45</v>
      </c>
      <c r="D79" s="6">
        <f t="shared" si="13"/>
        <v>4261.55</v>
      </c>
      <c r="E79" s="6">
        <f t="shared" si="13"/>
        <v>0</v>
      </c>
      <c r="F79" s="6">
        <f t="shared" si="13"/>
        <v>24959.69</v>
      </c>
      <c r="G79" s="6">
        <f t="shared" si="13"/>
        <v>0</v>
      </c>
      <c r="H79" s="6">
        <f t="shared" si="13"/>
        <v>-1941.89</v>
      </c>
      <c r="I79" s="6">
        <f t="shared" si="13"/>
        <v>0</v>
      </c>
      <c r="J79" s="6">
        <f t="shared" si="13"/>
        <v>22253.57</v>
      </c>
      <c r="K79" s="6">
        <f t="shared" si="13"/>
        <v>4561.37</v>
      </c>
      <c r="L79" s="6">
        <f t="shared" si="13"/>
        <v>0</v>
      </c>
      <c r="M79" s="6">
        <f t="shared" si="13"/>
        <v>0</v>
      </c>
      <c r="N79" s="6">
        <f t="shared" si="13"/>
        <v>87560.46</v>
      </c>
      <c r="O79" s="6">
        <f t="shared" si="13"/>
        <v>0</v>
      </c>
      <c r="P79" s="6">
        <f t="shared" si="13"/>
        <v>0</v>
      </c>
      <c r="Q79" s="6">
        <f t="shared" si="13"/>
        <v>0</v>
      </c>
      <c r="R79" s="6">
        <f t="shared" si="13"/>
        <v>0</v>
      </c>
      <c r="S79" s="6">
        <f t="shared" si="13"/>
        <v>0</v>
      </c>
      <c r="T79" s="6">
        <f t="shared" si="13"/>
        <v>0</v>
      </c>
      <c r="U79" s="6">
        <f t="shared" si="13"/>
        <v>15443.439999999999</v>
      </c>
      <c r="V79" s="6">
        <f t="shared" si="13"/>
        <v>8866.94</v>
      </c>
      <c r="W79" s="6">
        <f t="shared" si="13"/>
        <v>18667.48</v>
      </c>
      <c r="X79" s="6">
        <f t="shared" si="13"/>
        <v>435.57</v>
      </c>
      <c r="Y79" s="6">
        <f t="shared" si="13"/>
        <v>0</v>
      </c>
      <c r="Z79" s="6">
        <f t="shared" si="13"/>
        <v>1686.01</v>
      </c>
      <c r="AA79" s="6">
        <f t="shared" si="13"/>
        <v>0</v>
      </c>
      <c r="AB79" s="6">
        <f t="shared" si="13"/>
        <v>24762.67</v>
      </c>
      <c r="AC79" s="6">
        <f t="shared" si="13"/>
        <v>0</v>
      </c>
      <c r="AD79" s="6">
        <f t="shared" si="13"/>
        <v>33829.47</v>
      </c>
      <c r="AE79" s="6">
        <f t="shared" si="13"/>
        <v>1197.96</v>
      </c>
      <c r="AF79" s="6">
        <f t="shared" si="13"/>
        <v>0</v>
      </c>
      <c r="AG79" s="6">
        <f t="shared" si="10"/>
        <v>302623.53000000009</v>
      </c>
    </row>
    <row r="80" spans="1:33" x14ac:dyDescent="0.25">
      <c r="A80" s="3" t="s">
        <v>106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5">
        <f t="shared" si="10"/>
        <v>0</v>
      </c>
    </row>
    <row r="81" spans="1:33" x14ac:dyDescent="0.25">
      <c r="A81" s="3" t="s">
        <v>107</v>
      </c>
      <c r="B81" s="5">
        <f>8251</f>
        <v>8251</v>
      </c>
      <c r="C81" s="4"/>
      <c r="D81" s="4"/>
      <c r="E81" s="4"/>
      <c r="F81" s="4"/>
      <c r="G81" s="4"/>
      <c r="H81" s="4"/>
      <c r="I81" s="4"/>
      <c r="J81" s="5">
        <f>40530</f>
        <v>40530</v>
      </c>
      <c r="K81" s="4"/>
      <c r="L81" s="4"/>
      <c r="M81" s="5">
        <f>28627.52</f>
        <v>28627.52</v>
      </c>
      <c r="N81" s="5">
        <f>11000</f>
        <v>11000</v>
      </c>
      <c r="O81" s="4"/>
      <c r="P81" s="4"/>
      <c r="Q81" s="4"/>
      <c r="R81" s="4"/>
      <c r="S81" s="4"/>
      <c r="T81" s="4"/>
      <c r="U81" s="5">
        <f>7155</f>
        <v>7155</v>
      </c>
      <c r="V81" s="5">
        <f>13250</f>
        <v>13250</v>
      </c>
      <c r="W81" s="5">
        <f>10000</f>
        <v>10000</v>
      </c>
      <c r="X81" s="4"/>
      <c r="Y81" s="4"/>
      <c r="Z81" s="4"/>
      <c r="AA81" s="4"/>
      <c r="AB81" s="5">
        <f>97722.97</f>
        <v>97722.97</v>
      </c>
      <c r="AC81" s="4"/>
      <c r="AD81" s="5">
        <f>402497.81</f>
        <v>402497.81</v>
      </c>
      <c r="AE81" s="5">
        <f>17661</f>
        <v>17661</v>
      </c>
      <c r="AF81" s="4"/>
      <c r="AG81" s="5">
        <f t="shared" si="10"/>
        <v>636695.30000000005</v>
      </c>
    </row>
    <row r="82" spans="1:33" x14ac:dyDescent="0.25">
      <c r="A82" s="3" t="s">
        <v>108</v>
      </c>
      <c r="B82" s="5">
        <f>11883.52</f>
        <v>11883.52</v>
      </c>
      <c r="C82" s="4"/>
      <c r="D82" s="4"/>
      <c r="E82" s="4"/>
      <c r="F82" s="5">
        <f>580</f>
        <v>580</v>
      </c>
      <c r="G82" s="4"/>
      <c r="H82" s="4"/>
      <c r="I82" s="4"/>
      <c r="J82" s="4"/>
      <c r="K82" s="4"/>
      <c r="L82" s="4"/>
      <c r="M82" s="4"/>
      <c r="N82" s="5">
        <f>12700</f>
        <v>12700</v>
      </c>
      <c r="O82" s="4"/>
      <c r="P82" s="4"/>
      <c r="Q82" s="4"/>
      <c r="R82" s="4"/>
      <c r="S82" s="4"/>
      <c r="T82" s="4"/>
      <c r="U82" s="5">
        <f>4690</f>
        <v>4690</v>
      </c>
      <c r="V82" s="5">
        <f>4395</f>
        <v>4395</v>
      </c>
      <c r="W82" s="5">
        <f>970</f>
        <v>970</v>
      </c>
      <c r="X82" s="4"/>
      <c r="Y82" s="4"/>
      <c r="Z82" s="4"/>
      <c r="AA82" s="4"/>
      <c r="AB82" s="5">
        <f>2154</f>
        <v>2154</v>
      </c>
      <c r="AC82" s="4"/>
      <c r="AD82" s="5">
        <f>8548.51</f>
        <v>8548.51</v>
      </c>
      <c r="AE82" s="4"/>
      <c r="AF82" s="4"/>
      <c r="AG82" s="5">
        <f t="shared" si="10"/>
        <v>45921.030000000006</v>
      </c>
    </row>
    <row r="83" spans="1:33" x14ac:dyDescent="0.25">
      <c r="A83" s="3" t="s">
        <v>109</v>
      </c>
      <c r="B83" s="5">
        <f>35743.1</f>
        <v>35743.1</v>
      </c>
      <c r="C83" s="4"/>
      <c r="D83" s="4"/>
      <c r="E83" s="4"/>
      <c r="F83" s="5">
        <f>1262.18</f>
        <v>1262.18</v>
      </c>
      <c r="G83" s="4"/>
      <c r="H83" s="4"/>
      <c r="I83" s="4"/>
      <c r="J83" s="5">
        <f>1810.58</f>
        <v>1810.58</v>
      </c>
      <c r="K83" s="4"/>
      <c r="L83" s="4"/>
      <c r="M83" s="4"/>
      <c r="N83" s="5">
        <f>24497.33</f>
        <v>24497.33</v>
      </c>
      <c r="O83" s="4"/>
      <c r="P83" s="4"/>
      <c r="Q83" s="4"/>
      <c r="R83" s="5">
        <f>189001.6</f>
        <v>189001.60000000001</v>
      </c>
      <c r="S83" s="4"/>
      <c r="T83" s="4"/>
      <c r="U83" s="5">
        <f>3979.19</f>
        <v>3979.19</v>
      </c>
      <c r="V83" s="5">
        <f>10570.31</f>
        <v>10570.31</v>
      </c>
      <c r="W83" s="5">
        <f>40.91</f>
        <v>40.909999999999997</v>
      </c>
      <c r="X83" s="4"/>
      <c r="Y83" s="4"/>
      <c r="Z83" s="5">
        <f>-0.36</f>
        <v>-0.36</v>
      </c>
      <c r="AA83" s="5">
        <f>0</f>
        <v>0</v>
      </c>
      <c r="AB83" s="5">
        <f>12138.84</f>
        <v>12138.84</v>
      </c>
      <c r="AC83" s="4"/>
      <c r="AD83" s="5">
        <f>8911.67</f>
        <v>8911.67</v>
      </c>
      <c r="AE83" s="5">
        <f>4430.52</f>
        <v>4430.5200000000004</v>
      </c>
      <c r="AF83" s="4"/>
      <c r="AG83" s="5">
        <f t="shared" si="10"/>
        <v>292385.87000000005</v>
      </c>
    </row>
    <row r="84" spans="1:33" x14ac:dyDescent="0.25">
      <c r="A84" s="3" t="s">
        <v>110</v>
      </c>
      <c r="B84" s="5">
        <f>500.18</f>
        <v>500.18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">
        <f>3726.54</f>
        <v>3726.54</v>
      </c>
      <c r="O84" s="4"/>
      <c r="P84" s="4"/>
      <c r="Q84" s="4"/>
      <c r="R84" s="4"/>
      <c r="S84" s="4"/>
      <c r="T84" s="4"/>
      <c r="U84" s="5">
        <f>26461.43</f>
        <v>26461.43</v>
      </c>
      <c r="V84" s="5">
        <f>-712.61</f>
        <v>-712.61</v>
      </c>
      <c r="W84" s="5">
        <f>5940.3</f>
        <v>5940.3</v>
      </c>
      <c r="X84" s="4"/>
      <c r="Y84" s="4"/>
      <c r="Z84" s="4"/>
      <c r="AA84" s="4"/>
      <c r="AB84" s="5">
        <f>1912.74</f>
        <v>1912.74</v>
      </c>
      <c r="AC84" s="4"/>
      <c r="AD84" s="4"/>
      <c r="AE84" s="4"/>
      <c r="AF84" s="4"/>
      <c r="AG84" s="5">
        <f t="shared" si="10"/>
        <v>37828.58</v>
      </c>
    </row>
    <row r="85" spans="1:33" x14ac:dyDescent="0.25">
      <c r="A85" s="3" t="s">
        <v>111</v>
      </c>
      <c r="B85" s="5">
        <f>8753.92</f>
        <v>8753.92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5">
        <f t="shared" si="10"/>
        <v>8753.92</v>
      </c>
    </row>
    <row r="86" spans="1:33" x14ac:dyDescent="0.25">
      <c r="A86" s="3" t="s">
        <v>112</v>
      </c>
      <c r="B86" s="6">
        <f t="shared" ref="B86:AF86" si="14">(((((B80)+(B81))+(B82))+(B83))+(B84))+(B85)</f>
        <v>65131.719999999994</v>
      </c>
      <c r="C86" s="6">
        <f t="shared" si="14"/>
        <v>0</v>
      </c>
      <c r="D86" s="6">
        <f t="shared" si="14"/>
        <v>0</v>
      </c>
      <c r="E86" s="6">
        <f t="shared" si="14"/>
        <v>0</v>
      </c>
      <c r="F86" s="6">
        <f t="shared" si="14"/>
        <v>1842.18</v>
      </c>
      <c r="G86" s="6">
        <f t="shared" si="14"/>
        <v>0</v>
      </c>
      <c r="H86" s="6">
        <f t="shared" si="14"/>
        <v>0</v>
      </c>
      <c r="I86" s="6">
        <f t="shared" si="14"/>
        <v>0</v>
      </c>
      <c r="J86" s="6">
        <f t="shared" si="14"/>
        <v>42340.58</v>
      </c>
      <c r="K86" s="6">
        <f t="shared" si="14"/>
        <v>0</v>
      </c>
      <c r="L86" s="6">
        <f t="shared" si="14"/>
        <v>0</v>
      </c>
      <c r="M86" s="6">
        <f t="shared" si="14"/>
        <v>28627.52</v>
      </c>
      <c r="N86" s="6">
        <f t="shared" si="14"/>
        <v>51923.87</v>
      </c>
      <c r="O86" s="6">
        <f t="shared" si="14"/>
        <v>0</v>
      </c>
      <c r="P86" s="6">
        <f t="shared" si="14"/>
        <v>0</v>
      </c>
      <c r="Q86" s="6">
        <f t="shared" si="14"/>
        <v>0</v>
      </c>
      <c r="R86" s="6">
        <f t="shared" si="14"/>
        <v>189001.60000000001</v>
      </c>
      <c r="S86" s="6">
        <f t="shared" si="14"/>
        <v>0</v>
      </c>
      <c r="T86" s="6">
        <f t="shared" si="14"/>
        <v>0</v>
      </c>
      <c r="U86" s="6">
        <f t="shared" si="14"/>
        <v>42285.62</v>
      </c>
      <c r="V86" s="6">
        <f t="shared" si="14"/>
        <v>27502.699999999997</v>
      </c>
      <c r="W86" s="6">
        <f t="shared" si="14"/>
        <v>16951.21</v>
      </c>
      <c r="X86" s="6">
        <f t="shared" si="14"/>
        <v>0</v>
      </c>
      <c r="Y86" s="6">
        <f t="shared" si="14"/>
        <v>0</v>
      </c>
      <c r="Z86" s="6">
        <f t="shared" si="14"/>
        <v>-0.36</v>
      </c>
      <c r="AA86" s="6">
        <f t="shared" si="14"/>
        <v>0</v>
      </c>
      <c r="AB86" s="6">
        <f t="shared" si="14"/>
        <v>113928.55</v>
      </c>
      <c r="AC86" s="6">
        <f t="shared" si="14"/>
        <v>0</v>
      </c>
      <c r="AD86" s="6">
        <f t="shared" si="14"/>
        <v>419957.99</v>
      </c>
      <c r="AE86" s="6">
        <f t="shared" si="14"/>
        <v>22091.52</v>
      </c>
      <c r="AF86" s="6">
        <f t="shared" si="14"/>
        <v>0</v>
      </c>
      <c r="AG86" s="6">
        <f t="shared" si="10"/>
        <v>1021584.7000000001</v>
      </c>
    </row>
    <row r="87" spans="1:33" x14ac:dyDescent="0.25">
      <c r="A87" s="3" t="s">
        <v>113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5">
        <f t="shared" si="10"/>
        <v>0</v>
      </c>
    </row>
    <row r="88" spans="1:33" x14ac:dyDescent="0.25">
      <c r="A88" s="3" t="s">
        <v>114</v>
      </c>
      <c r="B88" s="5">
        <f>3243.51</f>
        <v>3243.51</v>
      </c>
      <c r="C88" s="4"/>
      <c r="D88" s="4"/>
      <c r="E88" s="4"/>
      <c r="F88" s="4"/>
      <c r="G88" s="4"/>
      <c r="H88" s="4"/>
      <c r="I88" s="4"/>
      <c r="J88" s="4"/>
      <c r="K88" s="5">
        <f>500</f>
        <v>500</v>
      </c>
      <c r="L88" s="4"/>
      <c r="M88" s="4"/>
      <c r="N88" s="4"/>
      <c r="O88" s="4"/>
      <c r="P88" s="4"/>
      <c r="Q88" s="4"/>
      <c r="R88" s="4"/>
      <c r="S88" s="4"/>
      <c r="T88" s="4"/>
      <c r="U88" s="5">
        <f>1965</f>
        <v>1965</v>
      </c>
      <c r="V88" s="5">
        <f>1787.77</f>
        <v>1787.77</v>
      </c>
      <c r="W88" s="4"/>
      <c r="X88" s="4"/>
      <c r="Y88" s="4"/>
      <c r="Z88" s="4"/>
      <c r="AA88" s="4"/>
      <c r="AB88" s="4"/>
      <c r="AC88" s="4"/>
      <c r="AD88" s="5">
        <f>290</f>
        <v>290</v>
      </c>
      <c r="AE88" s="4"/>
      <c r="AF88" s="4"/>
      <c r="AG88" s="5">
        <f t="shared" si="10"/>
        <v>7786.2800000000007</v>
      </c>
    </row>
    <row r="89" spans="1:33" x14ac:dyDescent="0.25">
      <c r="A89" s="3" t="s">
        <v>115</v>
      </c>
      <c r="B89" s="4"/>
      <c r="C89" s="4"/>
      <c r="D89" s="4"/>
      <c r="E89" s="4"/>
      <c r="F89" s="5">
        <f>109331.61</f>
        <v>109331.61</v>
      </c>
      <c r="G89" s="4"/>
      <c r="H89" s="4"/>
      <c r="I89" s="5">
        <f>5725.99</f>
        <v>5725.99</v>
      </c>
      <c r="J89" s="4"/>
      <c r="K89" s="5">
        <f>508.05</f>
        <v>508.05</v>
      </c>
      <c r="L89" s="5">
        <f>4117.91</f>
        <v>4117.91</v>
      </c>
      <c r="M89" s="5">
        <f>60796.3</f>
        <v>60796.3</v>
      </c>
      <c r="N89" s="5">
        <f>32869.06</f>
        <v>32869.06</v>
      </c>
      <c r="O89" s="4"/>
      <c r="P89" s="5">
        <f>43792.41</f>
        <v>43792.41</v>
      </c>
      <c r="Q89" s="5">
        <f>24341.57</f>
        <v>24341.57</v>
      </c>
      <c r="R89" s="5">
        <f>27434.34</f>
        <v>27434.34</v>
      </c>
      <c r="S89" s="5">
        <f>5463.2</f>
        <v>5463.2</v>
      </c>
      <c r="T89" s="4"/>
      <c r="U89" s="5">
        <f>5683.1</f>
        <v>5683.1</v>
      </c>
      <c r="V89" s="5">
        <f>69445.45</f>
        <v>69445.45</v>
      </c>
      <c r="W89" s="5">
        <f>10713.33</f>
        <v>10713.33</v>
      </c>
      <c r="X89" s="5">
        <f>0</f>
        <v>0</v>
      </c>
      <c r="Y89" s="5">
        <f>1063.86</f>
        <v>1063.8599999999999</v>
      </c>
      <c r="Z89" s="5">
        <f>48.97</f>
        <v>48.97</v>
      </c>
      <c r="AA89" s="5">
        <f>0</f>
        <v>0</v>
      </c>
      <c r="AB89" s="5">
        <f>74317.49</f>
        <v>74317.490000000005</v>
      </c>
      <c r="AC89" s="5">
        <f>0</f>
        <v>0</v>
      </c>
      <c r="AD89" s="5">
        <f>133625.73</f>
        <v>133625.73000000001</v>
      </c>
      <c r="AE89" s="5">
        <f>0</f>
        <v>0</v>
      </c>
      <c r="AF89" s="5">
        <f>0</f>
        <v>0</v>
      </c>
      <c r="AG89" s="5">
        <f t="shared" si="10"/>
        <v>609278.37</v>
      </c>
    </row>
    <row r="90" spans="1:33" x14ac:dyDescent="0.25">
      <c r="A90" s="3" t="s">
        <v>116</v>
      </c>
      <c r="B90" s="6">
        <f t="shared" ref="B90:AF90" si="15">((B87)+(B88))+(B89)</f>
        <v>3243.51</v>
      </c>
      <c r="C90" s="6">
        <f t="shared" si="15"/>
        <v>0</v>
      </c>
      <c r="D90" s="6">
        <f t="shared" si="15"/>
        <v>0</v>
      </c>
      <c r="E90" s="6">
        <f t="shared" si="15"/>
        <v>0</v>
      </c>
      <c r="F90" s="6">
        <f t="shared" si="15"/>
        <v>109331.61</v>
      </c>
      <c r="G90" s="6">
        <f t="shared" si="15"/>
        <v>0</v>
      </c>
      <c r="H90" s="6">
        <f t="shared" si="15"/>
        <v>0</v>
      </c>
      <c r="I90" s="6">
        <f t="shared" si="15"/>
        <v>5725.99</v>
      </c>
      <c r="J90" s="6">
        <f t="shared" si="15"/>
        <v>0</v>
      </c>
      <c r="K90" s="6">
        <f t="shared" si="15"/>
        <v>1008.05</v>
      </c>
      <c r="L90" s="6">
        <f t="shared" si="15"/>
        <v>4117.91</v>
      </c>
      <c r="M90" s="6">
        <f t="shared" si="15"/>
        <v>60796.3</v>
      </c>
      <c r="N90" s="6">
        <f t="shared" si="15"/>
        <v>32869.06</v>
      </c>
      <c r="O90" s="6">
        <f t="shared" si="15"/>
        <v>0</v>
      </c>
      <c r="P90" s="6">
        <f t="shared" si="15"/>
        <v>43792.41</v>
      </c>
      <c r="Q90" s="6">
        <f t="shared" si="15"/>
        <v>24341.57</v>
      </c>
      <c r="R90" s="6">
        <f t="shared" si="15"/>
        <v>27434.34</v>
      </c>
      <c r="S90" s="6">
        <f t="shared" si="15"/>
        <v>5463.2</v>
      </c>
      <c r="T90" s="6">
        <f t="shared" si="15"/>
        <v>0</v>
      </c>
      <c r="U90" s="6">
        <f t="shared" si="15"/>
        <v>7648.1</v>
      </c>
      <c r="V90" s="6">
        <f t="shared" si="15"/>
        <v>71233.22</v>
      </c>
      <c r="W90" s="6">
        <f t="shared" si="15"/>
        <v>10713.33</v>
      </c>
      <c r="X90" s="6">
        <f t="shared" si="15"/>
        <v>0</v>
      </c>
      <c r="Y90" s="6">
        <f t="shared" si="15"/>
        <v>1063.8599999999999</v>
      </c>
      <c r="Z90" s="6">
        <f t="shared" si="15"/>
        <v>48.97</v>
      </c>
      <c r="AA90" s="6">
        <f t="shared" si="15"/>
        <v>0</v>
      </c>
      <c r="AB90" s="6">
        <f t="shared" si="15"/>
        <v>74317.490000000005</v>
      </c>
      <c r="AC90" s="6">
        <f t="shared" si="15"/>
        <v>0</v>
      </c>
      <c r="AD90" s="6">
        <f t="shared" si="15"/>
        <v>133915.73000000001</v>
      </c>
      <c r="AE90" s="6">
        <f t="shared" si="15"/>
        <v>0</v>
      </c>
      <c r="AF90" s="6">
        <f t="shared" si="15"/>
        <v>0</v>
      </c>
      <c r="AG90" s="6">
        <f t="shared" si="10"/>
        <v>617064.65</v>
      </c>
    </row>
    <row r="91" spans="1:33" x14ac:dyDescent="0.25">
      <c r="A91" s="3" t="s">
        <v>117</v>
      </c>
      <c r="B91" s="6">
        <f t="shared" ref="B91:AF91" si="16">((((((((B35)+(B48))+(B54))+(B55))+(B66))+(B70))+(B79))+(B86))+(B90)</f>
        <v>984063.64999999991</v>
      </c>
      <c r="C91" s="6">
        <f t="shared" si="16"/>
        <v>319.45</v>
      </c>
      <c r="D91" s="6">
        <f t="shared" si="16"/>
        <v>4261.55</v>
      </c>
      <c r="E91" s="6">
        <f t="shared" si="16"/>
        <v>0</v>
      </c>
      <c r="F91" s="6">
        <f t="shared" si="16"/>
        <v>1204862.8799999999</v>
      </c>
      <c r="G91" s="6">
        <f t="shared" si="16"/>
        <v>0</v>
      </c>
      <c r="H91" s="6">
        <f t="shared" si="16"/>
        <v>-1941.89</v>
      </c>
      <c r="I91" s="6">
        <f t="shared" si="16"/>
        <v>77300.760000000009</v>
      </c>
      <c r="J91" s="6">
        <f t="shared" si="16"/>
        <v>211085.14</v>
      </c>
      <c r="K91" s="6">
        <f t="shared" si="16"/>
        <v>5588.62</v>
      </c>
      <c r="L91" s="6">
        <f t="shared" si="16"/>
        <v>45297.079999999987</v>
      </c>
      <c r="M91" s="6">
        <f t="shared" si="16"/>
        <v>668759.2300000001</v>
      </c>
      <c r="N91" s="6">
        <f t="shared" si="16"/>
        <v>283122.82</v>
      </c>
      <c r="O91" s="6">
        <f t="shared" si="16"/>
        <v>0</v>
      </c>
      <c r="P91" s="6">
        <f t="shared" si="16"/>
        <v>394917.28</v>
      </c>
      <c r="Q91" s="6">
        <f t="shared" si="16"/>
        <v>222131.68</v>
      </c>
      <c r="R91" s="6">
        <f t="shared" si="16"/>
        <v>301777.59000000003</v>
      </c>
      <c r="S91" s="6">
        <f t="shared" si="16"/>
        <v>73752.899999999994</v>
      </c>
      <c r="T91" s="6">
        <f t="shared" si="16"/>
        <v>0</v>
      </c>
      <c r="U91" s="6">
        <f t="shared" si="16"/>
        <v>68368.62000000001</v>
      </c>
      <c r="V91" s="6">
        <f t="shared" si="16"/>
        <v>648165.08999999985</v>
      </c>
      <c r="W91" s="6">
        <f t="shared" si="16"/>
        <v>87158.42</v>
      </c>
      <c r="X91" s="6">
        <f t="shared" si="16"/>
        <v>435.57</v>
      </c>
      <c r="Y91" s="6">
        <f t="shared" si="16"/>
        <v>8156.24</v>
      </c>
      <c r="Z91" s="6">
        <f t="shared" si="16"/>
        <v>1734.6200000000001</v>
      </c>
      <c r="AA91" s="6">
        <f t="shared" si="16"/>
        <v>0</v>
      </c>
      <c r="AB91" s="6">
        <f t="shared" si="16"/>
        <v>605703.02</v>
      </c>
      <c r="AC91" s="6">
        <f t="shared" si="16"/>
        <v>0</v>
      </c>
      <c r="AD91" s="6">
        <f t="shared" si="16"/>
        <v>1088100.29</v>
      </c>
      <c r="AE91" s="6">
        <f t="shared" si="16"/>
        <v>71489.440000000002</v>
      </c>
      <c r="AF91" s="6">
        <f t="shared" si="16"/>
        <v>0</v>
      </c>
      <c r="AG91" s="6">
        <f t="shared" si="10"/>
        <v>7054610.0500000007</v>
      </c>
    </row>
    <row r="92" spans="1:33" x14ac:dyDescent="0.25">
      <c r="A92" s="3" t="s">
        <v>118</v>
      </c>
      <c r="B92" s="6">
        <f t="shared" ref="B92:AF92" si="17">(B30)-(B91)</f>
        <v>279620.50000000023</v>
      </c>
      <c r="C92" s="6">
        <f t="shared" si="17"/>
        <v>-94.449999999999989</v>
      </c>
      <c r="D92" s="6">
        <f t="shared" si="17"/>
        <v>-4261.55</v>
      </c>
      <c r="E92" s="6">
        <f t="shared" si="17"/>
        <v>-0.14000000000000001</v>
      </c>
      <c r="F92" s="6">
        <f t="shared" si="17"/>
        <v>1183045.0099999998</v>
      </c>
      <c r="G92" s="6">
        <f t="shared" si="17"/>
        <v>0</v>
      </c>
      <c r="H92" s="6">
        <f t="shared" si="17"/>
        <v>0</v>
      </c>
      <c r="I92" s="6">
        <f t="shared" si="17"/>
        <v>-11905.790000000008</v>
      </c>
      <c r="J92" s="6">
        <f t="shared" si="17"/>
        <v>121671.18999999994</v>
      </c>
      <c r="K92" s="6">
        <f t="shared" si="17"/>
        <v>-1658.62</v>
      </c>
      <c r="L92" s="6">
        <f t="shared" si="17"/>
        <v>47741.610000000015</v>
      </c>
      <c r="M92" s="6">
        <f t="shared" si="17"/>
        <v>0</v>
      </c>
      <c r="N92" s="6">
        <f t="shared" si="17"/>
        <v>0</v>
      </c>
      <c r="O92" s="6">
        <f t="shared" si="17"/>
        <v>8000</v>
      </c>
      <c r="P92" s="6">
        <f t="shared" si="17"/>
        <v>-64857.410000000033</v>
      </c>
      <c r="Q92" s="6">
        <f t="shared" si="17"/>
        <v>-32681.059999999998</v>
      </c>
      <c r="R92" s="6">
        <f t="shared" si="17"/>
        <v>0</v>
      </c>
      <c r="S92" s="6">
        <f t="shared" si="17"/>
        <v>-11525.899999999994</v>
      </c>
      <c r="T92" s="6">
        <f t="shared" si="17"/>
        <v>-199.99</v>
      </c>
      <c r="U92" s="6">
        <f t="shared" si="17"/>
        <v>-3284.4500000000116</v>
      </c>
      <c r="V92" s="6">
        <f t="shared" si="17"/>
        <v>0</v>
      </c>
      <c r="W92" s="6">
        <f t="shared" si="17"/>
        <v>-500</v>
      </c>
      <c r="X92" s="6">
        <f t="shared" si="17"/>
        <v>-435.57</v>
      </c>
      <c r="Y92" s="6">
        <f t="shared" si="17"/>
        <v>21843.760000000002</v>
      </c>
      <c r="Z92" s="6">
        <f t="shared" si="17"/>
        <v>0</v>
      </c>
      <c r="AA92" s="6">
        <f t="shared" si="17"/>
        <v>1108.96</v>
      </c>
      <c r="AB92" s="6">
        <f t="shared" si="17"/>
        <v>-85007.580000000016</v>
      </c>
      <c r="AC92" s="6">
        <f t="shared" si="17"/>
        <v>0</v>
      </c>
      <c r="AD92" s="6">
        <f t="shared" si="17"/>
        <v>-245786.86</v>
      </c>
      <c r="AE92" s="6">
        <f t="shared" si="17"/>
        <v>26510.559999999998</v>
      </c>
      <c r="AF92" s="6">
        <f t="shared" si="17"/>
        <v>0</v>
      </c>
      <c r="AG92" s="6">
        <f t="shared" si="10"/>
        <v>1227342.2200000002</v>
      </c>
    </row>
    <row r="93" spans="1:33" x14ac:dyDescent="0.25">
      <c r="A93" s="3" t="s">
        <v>119</v>
      </c>
      <c r="B93" s="7">
        <f t="shared" ref="B93:AF93" si="18">(B92)+(0)</f>
        <v>279620.50000000023</v>
      </c>
      <c r="C93" s="7">
        <f t="shared" si="18"/>
        <v>-94.449999999999989</v>
      </c>
      <c r="D93" s="7">
        <f t="shared" si="18"/>
        <v>-4261.55</v>
      </c>
      <c r="E93" s="7">
        <f t="shared" si="18"/>
        <v>-0.14000000000000001</v>
      </c>
      <c r="F93" s="7">
        <f t="shared" si="18"/>
        <v>1183045.0099999998</v>
      </c>
      <c r="G93" s="7">
        <f t="shared" si="18"/>
        <v>0</v>
      </c>
      <c r="H93" s="7">
        <f t="shared" si="18"/>
        <v>0</v>
      </c>
      <c r="I93" s="7">
        <f t="shared" si="18"/>
        <v>-11905.790000000008</v>
      </c>
      <c r="J93" s="7">
        <f t="shared" si="18"/>
        <v>121671.18999999994</v>
      </c>
      <c r="K93" s="7">
        <f t="shared" si="18"/>
        <v>-1658.62</v>
      </c>
      <c r="L93" s="7">
        <f t="shared" si="18"/>
        <v>47741.610000000015</v>
      </c>
      <c r="M93" s="7">
        <f t="shared" si="18"/>
        <v>0</v>
      </c>
      <c r="N93" s="7">
        <f t="shared" si="18"/>
        <v>0</v>
      </c>
      <c r="O93" s="7">
        <f t="shared" si="18"/>
        <v>8000</v>
      </c>
      <c r="P93" s="7">
        <f t="shared" si="18"/>
        <v>-64857.410000000033</v>
      </c>
      <c r="Q93" s="7">
        <f t="shared" si="18"/>
        <v>-32681.059999999998</v>
      </c>
      <c r="R93" s="7">
        <f t="shared" si="18"/>
        <v>0</v>
      </c>
      <c r="S93" s="7">
        <f t="shared" si="18"/>
        <v>-11525.899999999994</v>
      </c>
      <c r="T93" s="7">
        <f t="shared" si="18"/>
        <v>-199.99</v>
      </c>
      <c r="U93" s="7">
        <f t="shared" si="18"/>
        <v>-3284.4500000000116</v>
      </c>
      <c r="V93" s="7">
        <f t="shared" si="18"/>
        <v>0</v>
      </c>
      <c r="W93" s="7">
        <f t="shared" si="18"/>
        <v>-500</v>
      </c>
      <c r="X93" s="7">
        <f t="shared" si="18"/>
        <v>-435.57</v>
      </c>
      <c r="Y93" s="7">
        <f t="shared" si="18"/>
        <v>21843.760000000002</v>
      </c>
      <c r="Z93" s="7">
        <f t="shared" si="18"/>
        <v>0</v>
      </c>
      <c r="AA93" s="7">
        <f t="shared" si="18"/>
        <v>1108.96</v>
      </c>
      <c r="AB93" s="7">
        <f t="shared" si="18"/>
        <v>-85007.580000000016</v>
      </c>
      <c r="AC93" s="7">
        <f t="shared" si="18"/>
        <v>0</v>
      </c>
      <c r="AD93" s="7">
        <f t="shared" si="18"/>
        <v>-245786.86</v>
      </c>
      <c r="AE93" s="7">
        <f t="shared" si="18"/>
        <v>26510.559999999998</v>
      </c>
      <c r="AF93" s="7">
        <f t="shared" si="18"/>
        <v>0</v>
      </c>
      <c r="AG93" s="7">
        <f t="shared" si="10"/>
        <v>1227342.2200000002</v>
      </c>
    </row>
    <row r="94" spans="1:33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7" spans="1:33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</sheetData>
  <mergeCells count="4">
    <mergeCell ref="A97:AG97"/>
    <mergeCell ref="A1:AG1"/>
    <mergeCell ref="A2:AG2"/>
    <mergeCell ref="A3:AG3"/>
  </mergeCells>
  <pageMargins left="0.7" right="0.7" top="0.75" bottom="0.75" header="0.3" footer="0.3"/>
  <pageSetup paperSize="5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2026-02-03T19:16:43Z</cp:lastPrinted>
  <dcterms:created xsi:type="dcterms:W3CDTF">2026-02-03T19:15:32Z</dcterms:created>
  <dcterms:modified xsi:type="dcterms:W3CDTF">2026-02-03T19:26:12Z</dcterms:modified>
</cp:coreProperties>
</file>