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"/>
    </mc:Choice>
  </mc:AlternateContent>
  <xr:revisionPtr revIDLastSave="0" documentId="13_ncr:1_{65B506B6-0569-43F5-B6D5-A19469E17A0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A90" i="1" l="1"/>
  <c r="X90" i="1"/>
  <c r="W90" i="1"/>
  <c r="V90" i="1"/>
  <c r="S90" i="1"/>
  <c r="P90" i="1"/>
  <c r="O90" i="1"/>
  <c r="N90" i="1"/>
  <c r="K90" i="1"/>
  <c r="H90" i="1"/>
  <c r="G90" i="1"/>
  <c r="F90" i="1"/>
  <c r="D90" i="1"/>
  <c r="C90" i="1"/>
  <c r="AA89" i="1"/>
  <c r="Z89" i="1"/>
  <c r="Z90" i="1" s="1"/>
  <c r="Y89" i="1"/>
  <c r="X89" i="1"/>
  <c r="W89" i="1"/>
  <c r="V89" i="1"/>
  <c r="U89" i="1"/>
  <c r="U90" i="1" s="1"/>
  <c r="T89" i="1"/>
  <c r="T90" i="1" s="1"/>
  <c r="S89" i="1"/>
  <c r="R89" i="1"/>
  <c r="R90" i="1" s="1"/>
  <c r="Q89" i="1"/>
  <c r="P89" i="1"/>
  <c r="O89" i="1"/>
  <c r="N89" i="1"/>
  <c r="M89" i="1"/>
  <c r="M90" i="1" s="1"/>
  <c r="L89" i="1"/>
  <c r="L90" i="1" s="1"/>
  <c r="K89" i="1"/>
  <c r="J89" i="1"/>
  <c r="J90" i="1" s="1"/>
  <c r="I89" i="1"/>
  <c r="G89" i="1"/>
  <c r="E89" i="1"/>
  <c r="E90" i="1" s="1"/>
  <c r="Y88" i="1"/>
  <c r="Y90" i="1" s="1"/>
  <c r="R88" i="1"/>
  <c r="Q88" i="1"/>
  <c r="Q90" i="1" s="1"/>
  <c r="I88" i="1"/>
  <c r="I90" i="1" s="1"/>
  <c r="B88" i="1"/>
  <c r="AB88" i="1" s="1"/>
  <c r="AB87" i="1"/>
  <c r="AA86" i="1"/>
  <c r="X86" i="1"/>
  <c r="V86" i="1"/>
  <c r="T86" i="1"/>
  <c r="P86" i="1"/>
  <c r="N86" i="1"/>
  <c r="M86" i="1"/>
  <c r="J86" i="1"/>
  <c r="I86" i="1"/>
  <c r="G86" i="1"/>
  <c r="F86" i="1"/>
  <c r="D86" i="1"/>
  <c r="C86" i="1"/>
  <c r="B86" i="1"/>
  <c r="AB85" i="1"/>
  <c r="B85" i="1"/>
  <c r="W84" i="1"/>
  <c r="AB84" i="1" s="1"/>
  <c r="S84" i="1"/>
  <c r="R84" i="1"/>
  <c r="Q84" i="1"/>
  <c r="L84" i="1"/>
  <c r="B84" i="1"/>
  <c r="Z83" i="1"/>
  <c r="Z86" i="1" s="1"/>
  <c r="Y83" i="1"/>
  <c r="W83" i="1"/>
  <c r="V83" i="1"/>
  <c r="U83" i="1"/>
  <c r="U86" i="1" s="1"/>
  <c r="S83" i="1"/>
  <c r="R83" i="1"/>
  <c r="Q83" i="1"/>
  <c r="O83" i="1"/>
  <c r="O86" i="1" s="1"/>
  <c r="L83" i="1"/>
  <c r="AB83" i="1" s="1"/>
  <c r="H83" i="1"/>
  <c r="B83" i="1"/>
  <c r="Y82" i="1"/>
  <c r="W82" i="1"/>
  <c r="S82" i="1"/>
  <c r="R82" i="1"/>
  <c r="R86" i="1" s="1"/>
  <c r="Q82" i="1"/>
  <c r="L82" i="1"/>
  <c r="E82" i="1"/>
  <c r="E86" i="1" s="1"/>
  <c r="B82" i="1"/>
  <c r="AB82" i="1" s="1"/>
  <c r="Z81" i="1"/>
  <c r="Y81" i="1"/>
  <c r="Y86" i="1" s="1"/>
  <c r="W81" i="1"/>
  <c r="W86" i="1" s="1"/>
  <c r="S81" i="1"/>
  <c r="S86" i="1" s="1"/>
  <c r="Q81" i="1"/>
  <c r="Q86" i="1" s="1"/>
  <c r="L81" i="1"/>
  <c r="L86" i="1" s="1"/>
  <c r="K81" i="1"/>
  <c r="K86" i="1" s="1"/>
  <c r="H81" i="1"/>
  <c r="AB81" i="1" s="1"/>
  <c r="B81" i="1"/>
  <c r="AB80" i="1"/>
  <c r="AA79" i="1"/>
  <c r="X79" i="1"/>
  <c r="V79" i="1"/>
  <c r="S79" i="1"/>
  <c r="P79" i="1"/>
  <c r="O79" i="1"/>
  <c r="N79" i="1"/>
  <c r="M79" i="1"/>
  <c r="L79" i="1"/>
  <c r="K79" i="1"/>
  <c r="J79" i="1"/>
  <c r="G79" i="1"/>
  <c r="F79" i="1"/>
  <c r="D79" i="1"/>
  <c r="C79" i="1"/>
  <c r="E78" i="1"/>
  <c r="B78" i="1"/>
  <c r="AB78" i="1" s="1"/>
  <c r="Z77" i="1"/>
  <c r="Z79" i="1" s="1"/>
  <c r="Y77" i="1"/>
  <c r="W77" i="1"/>
  <c r="W79" i="1" s="1"/>
  <c r="V77" i="1"/>
  <c r="U77" i="1"/>
  <c r="U79" i="1" s="1"/>
  <c r="S77" i="1"/>
  <c r="R77" i="1"/>
  <c r="Q77" i="1"/>
  <c r="L77" i="1"/>
  <c r="I77" i="1"/>
  <c r="H77" i="1"/>
  <c r="H79" i="1" s="1"/>
  <c r="F77" i="1"/>
  <c r="E77" i="1"/>
  <c r="D77" i="1"/>
  <c r="C77" i="1"/>
  <c r="B77" i="1"/>
  <c r="AB77" i="1" s="1"/>
  <c r="T76" i="1"/>
  <c r="T79" i="1" s="1"/>
  <c r="I76" i="1"/>
  <c r="I79" i="1" s="1"/>
  <c r="H76" i="1"/>
  <c r="E76" i="1"/>
  <c r="B76" i="1"/>
  <c r="AB76" i="1" s="1"/>
  <c r="Y75" i="1"/>
  <c r="W75" i="1"/>
  <c r="R75" i="1"/>
  <c r="Q75" i="1"/>
  <c r="AB75" i="1" s="1"/>
  <c r="E75" i="1"/>
  <c r="B75" i="1"/>
  <c r="Y74" i="1"/>
  <c r="Y79" i="1" s="1"/>
  <c r="W74" i="1"/>
  <c r="S74" i="1"/>
  <c r="R74" i="1"/>
  <c r="Q74" i="1"/>
  <c r="L74" i="1"/>
  <c r="E74" i="1"/>
  <c r="B74" i="1"/>
  <c r="AB74" i="1" s="1"/>
  <c r="Q73" i="1"/>
  <c r="L73" i="1"/>
  <c r="E73" i="1"/>
  <c r="B73" i="1"/>
  <c r="AB73" i="1" s="1"/>
  <c r="R72" i="1"/>
  <c r="R79" i="1" s="1"/>
  <c r="Q72" i="1"/>
  <c r="Q79" i="1" s="1"/>
  <c r="E72" i="1"/>
  <c r="E79" i="1" s="1"/>
  <c r="B72" i="1"/>
  <c r="B79" i="1" s="1"/>
  <c r="AB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70" i="1"/>
  <c r="C70" i="1"/>
  <c r="C91" i="1" s="1"/>
  <c r="E69" i="1"/>
  <c r="B69" i="1"/>
  <c r="AB69" i="1" s="1"/>
  <c r="E68" i="1"/>
  <c r="E70" i="1" s="1"/>
  <c r="B68" i="1"/>
  <c r="B70" i="1" s="1"/>
  <c r="AB70" i="1" s="1"/>
  <c r="AB67" i="1"/>
  <c r="AA66" i="1"/>
  <c r="Z66" i="1"/>
  <c r="Y66" i="1"/>
  <c r="X66" i="1"/>
  <c r="V66" i="1"/>
  <c r="U66" i="1"/>
  <c r="T66" i="1"/>
  <c r="S66" i="1"/>
  <c r="Q66" i="1"/>
  <c r="P66" i="1"/>
  <c r="O66" i="1"/>
  <c r="N66" i="1"/>
  <c r="M66" i="1"/>
  <c r="K66" i="1"/>
  <c r="J66" i="1"/>
  <c r="I66" i="1"/>
  <c r="G66" i="1"/>
  <c r="F66" i="1"/>
  <c r="D66" i="1"/>
  <c r="C66" i="1"/>
  <c r="AB65" i="1"/>
  <c r="H65" i="1"/>
  <c r="E64" i="1"/>
  <c r="AB64" i="1" s="1"/>
  <c r="Y63" i="1"/>
  <c r="W63" i="1"/>
  <c r="W66" i="1" s="1"/>
  <c r="S63" i="1"/>
  <c r="R63" i="1"/>
  <c r="Q63" i="1"/>
  <c r="L63" i="1"/>
  <c r="L66" i="1" s="1"/>
  <c r="H63" i="1"/>
  <c r="H66" i="1" s="1"/>
  <c r="E63" i="1"/>
  <c r="AB63" i="1" s="1"/>
  <c r="B63" i="1"/>
  <c r="E62" i="1"/>
  <c r="B62" i="1"/>
  <c r="AB62" i="1" s="1"/>
  <c r="AB61" i="1"/>
  <c r="R61" i="1"/>
  <c r="R66" i="1" s="1"/>
  <c r="E60" i="1"/>
  <c r="E66" i="1" s="1"/>
  <c r="B60" i="1"/>
  <c r="E59" i="1"/>
  <c r="B59" i="1"/>
  <c r="AB59" i="1" s="1"/>
  <c r="E58" i="1"/>
  <c r="B58" i="1"/>
  <c r="AB58" i="1" s="1"/>
  <c r="AB57" i="1"/>
  <c r="E57" i="1"/>
  <c r="B57" i="1"/>
  <c r="B66" i="1" s="1"/>
  <c r="AB56" i="1"/>
  <c r="Y55" i="1"/>
  <c r="W55" i="1"/>
  <c r="S55" i="1"/>
  <c r="L55" i="1"/>
  <c r="AB55" i="1" s="1"/>
  <c r="H55" i="1"/>
  <c r="E55" i="1"/>
  <c r="B55" i="1"/>
  <c r="AA54" i="1"/>
  <c r="Z54" i="1"/>
  <c r="X54" i="1"/>
  <c r="V54" i="1"/>
  <c r="U54" i="1"/>
  <c r="T54" i="1"/>
  <c r="Q54" i="1"/>
  <c r="P54" i="1"/>
  <c r="O54" i="1"/>
  <c r="M54" i="1"/>
  <c r="L54" i="1"/>
  <c r="K54" i="1"/>
  <c r="I54" i="1"/>
  <c r="H54" i="1"/>
  <c r="G54" i="1"/>
  <c r="F54" i="1"/>
  <c r="D54" i="1"/>
  <c r="C54" i="1"/>
  <c r="Y53" i="1"/>
  <c r="W53" i="1"/>
  <c r="W54" i="1" s="1"/>
  <c r="S53" i="1"/>
  <c r="S54" i="1" s="1"/>
  <c r="R53" i="1"/>
  <c r="Q53" i="1"/>
  <c r="L53" i="1"/>
  <c r="J53" i="1"/>
  <c r="J54" i="1" s="1"/>
  <c r="H53" i="1"/>
  <c r="E53" i="1"/>
  <c r="AB53" i="1" s="1"/>
  <c r="B53" i="1"/>
  <c r="E52" i="1"/>
  <c r="B52" i="1"/>
  <c r="AB52" i="1" s="1"/>
  <c r="AB51" i="1"/>
  <c r="B51" i="1"/>
  <c r="Y50" i="1"/>
  <c r="Y54" i="1" s="1"/>
  <c r="R50" i="1"/>
  <c r="R54" i="1" s="1"/>
  <c r="N50" i="1"/>
  <c r="N54" i="1" s="1"/>
  <c r="K50" i="1"/>
  <c r="I50" i="1"/>
  <c r="E50" i="1"/>
  <c r="E54" i="1" s="1"/>
  <c r="B50" i="1"/>
  <c r="B54" i="1" s="1"/>
  <c r="AB49" i="1"/>
  <c r="V48" i="1"/>
  <c r="U48" i="1"/>
  <c r="T48" i="1"/>
  <c r="Q48" i="1"/>
  <c r="M48" i="1"/>
  <c r="L48" i="1"/>
  <c r="I48" i="1"/>
  <c r="H48" i="1"/>
  <c r="F48" i="1"/>
  <c r="D48" i="1"/>
  <c r="D91" i="1" s="1"/>
  <c r="C48" i="1"/>
  <c r="AA47" i="1"/>
  <c r="Z47" i="1"/>
  <c r="Y47" i="1"/>
  <c r="X47" i="1"/>
  <c r="W47" i="1"/>
  <c r="S47" i="1"/>
  <c r="R47" i="1"/>
  <c r="O47" i="1"/>
  <c r="N47" i="1"/>
  <c r="M47" i="1"/>
  <c r="L47" i="1"/>
  <c r="AB47" i="1" s="1"/>
  <c r="AA46" i="1"/>
  <c r="Y46" i="1"/>
  <c r="W46" i="1"/>
  <c r="S46" i="1"/>
  <c r="O46" i="1"/>
  <c r="N46" i="1"/>
  <c r="L46" i="1"/>
  <c r="K46" i="1"/>
  <c r="J46" i="1"/>
  <c r="AB46" i="1" s="1"/>
  <c r="G46" i="1"/>
  <c r="E46" i="1"/>
  <c r="B45" i="1"/>
  <c r="AB45" i="1" s="1"/>
  <c r="Y44" i="1"/>
  <c r="N44" i="1"/>
  <c r="K44" i="1"/>
  <c r="AB44" i="1" s="1"/>
  <c r="E44" i="1"/>
  <c r="B44" i="1"/>
  <c r="AA43" i="1"/>
  <c r="Z43" i="1"/>
  <c r="Y43" i="1"/>
  <c r="X43" i="1"/>
  <c r="W43" i="1"/>
  <c r="S43" i="1"/>
  <c r="R43" i="1"/>
  <c r="O43" i="1"/>
  <c r="N43" i="1"/>
  <c r="M43" i="1"/>
  <c r="L43" i="1"/>
  <c r="AB43" i="1" s="1"/>
  <c r="AA42" i="1"/>
  <c r="Y42" i="1"/>
  <c r="X42" i="1"/>
  <c r="W42" i="1"/>
  <c r="R42" i="1"/>
  <c r="N42" i="1"/>
  <c r="M42" i="1"/>
  <c r="K42" i="1"/>
  <c r="G42" i="1"/>
  <c r="AB42" i="1" s="1"/>
  <c r="E42" i="1"/>
  <c r="B42" i="1"/>
  <c r="Z41" i="1"/>
  <c r="Y41" i="1"/>
  <c r="W41" i="1"/>
  <c r="S41" i="1"/>
  <c r="R41" i="1"/>
  <c r="P41" i="1"/>
  <c r="O41" i="1"/>
  <c r="L41" i="1"/>
  <c r="K41" i="1"/>
  <c r="J41" i="1"/>
  <c r="E41" i="1"/>
  <c r="B41" i="1"/>
  <c r="AB41" i="1" s="1"/>
  <c r="AB40" i="1"/>
  <c r="AA40" i="1"/>
  <c r="Z40" i="1"/>
  <c r="Y40" i="1"/>
  <c r="X40" i="1"/>
  <c r="W40" i="1"/>
  <c r="S40" i="1"/>
  <c r="R40" i="1"/>
  <c r="P40" i="1"/>
  <c r="P48" i="1" s="1"/>
  <c r="O40" i="1"/>
  <c r="N40" i="1"/>
  <c r="M40" i="1"/>
  <c r="L40" i="1"/>
  <c r="K40" i="1"/>
  <c r="J40" i="1"/>
  <c r="J48" i="1" s="1"/>
  <c r="G40" i="1"/>
  <c r="G48" i="1" s="1"/>
  <c r="E40" i="1"/>
  <c r="E48" i="1" s="1"/>
  <c r="B40" i="1"/>
  <c r="AA39" i="1"/>
  <c r="Y39" i="1"/>
  <c r="X39" i="1"/>
  <c r="W39" i="1"/>
  <c r="R39" i="1"/>
  <c r="N39" i="1"/>
  <c r="M39" i="1"/>
  <c r="K39" i="1"/>
  <c r="K48" i="1" s="1"/>
  <c r="G39" i="1"/>
  <c r="E39" i="1"/>
  <c r="B39" i="1"/>
  <c r="AB39" i="1" s="1"/>
  <c r="B38" i="1"/>
  <c r="B48" i="1" s="1"/>
  <c r="AB37" i="1"/>
  <c r="AA37" i="1"/>
  <c r="AA48" i="1" s="1"/>
  <c r="Z37" i="1"/>
  <c r="Z48" i="1" s="1"/>
  <c r="Y37" i="1"/>
  <c r="Y48" i="1" s="1"/>
  <c r="X37" i="1"/>
  <c r="X48" i="1" s="1"/>
  <c r="W37" i="1"/>
  <c r="W48" i="1" s="1"/>
  <c r="S37" i="1"/>
  <c r="S48" i="1" s="1"/>
  <c r="R37" i="1"/>
  <c r="R48" i="1" s="1"/>
  <c r="O37" i="1"/>
  <c r="O48" i="1" s="1"/>
  <c r="N37" i="1"/>
  <c r="N48" i="1" s="1"/>
  <c r="M37" i="1"/>
  <c r="L37" i="1"/>
  <c r="AB36" i="1"/>
  <c r="Z35" i="1"/>
  <c r="Y35" i="1"/>
  <c r="V35" i="1"/>
  <c r="V91" i="1" s="1"/>
  <c r="U35" i="1"/>
  <c r="U91" i="1" s="1"/>
  <c r="T35" i="1"/>
  <c r="R35" i="1"/>
  <c r="R91" i="1" s="1"/>
  <c r="Q35" i="1"/>
  <c r="O35" i="1"/>
  <c r="O91" i="1" s="1"/>
  <c r="L35" i="1"/>
  <c r="J35" i="1"/>
  <c r="I35" i="1"/>
  <c r="H35" i="1"/>
  <c r="G35" i="1"/>
  <c r="G91" i="1" s="1"/>
  <c r="F35" i="1"/>
  <c r="F91" i="1" s="1"/>
  <c r="D35" i="1"/>
  <c r="C35" i="1"/>
  <c r="AB34" i="1"/>
  <c r="AA34" i="1"/>
  <c r="AA35" i="1" s="1"/>
  <c r="AA91" i="1" s="1"/>
  <c r="Y34" i="1"/>
  <c r="X34" i="1"/>
  <c r="X35" i="1" s="1"/>
  <c r="W34" i="1"/>
  <c r="R34" i="1"/>
  <c r="N34" i="1"/>
  <c r="N35" i="1" s="1"/>
  <c r="N91" i="1" s="1"/>
  <c r="M34" i="1"/>
  <c r="M35" i="1" s="1"/>
  <c r="M91" i="1" s="1"/>
  <c r="K34" i="1"/>
  <c r="G34" i="1"/>
  <c r="E34" i="1"/>
  <c r="B34" i="1"/>
  <c r="Z33" i="1"/>
  <c r="Y33" i="1"/>
  <c r="W33" i="1"/>
  <c r="W35" i="1" s="1"/>
  <c r="S33" i="1"/>
  <c r="S35" i="1" s="1"/>
  <c r="S91" i="1" s="1"/>
  <c r="R33" i="1"/>
  <c r="P33" i="1"/>
  <c r="P35" i="1" s="1"/>
  <c r="O33" i="1"/>
  <c r="L33" i="1"/>
  <c r="K33" i="1"/>
  <c r="K35" i="1" s="1"/>
  <c r="J33" i="1"/>
  <c r="E33" i="1"/>
  <c r="E35" i="1" s="1"/>
  <c r="B33" i="1"/>
  <c r="AB33" i="1" s="1"/>
  <c r="AB32" i="1"/>
  <c r="Z29" i="1"/>
  <c r="Z30" i="1" s="1"/>
  <c r="R29" i="1"/>
  <c r="R30" i="1" s="1"/>
  <c r="Z28" i="1"/>
  <c r="U28" i="1"/>
  <c r="T28" i="1"/>
  <c r="R28" i="1"/>
  <c r="P28" i="1"/>
  <c r="O28" i="1"/>
  <c r="M28" i="1"/>
  <c r="L28" i="1"/>
  <c r="J28" i="1"/>
  <c r="I28" i="1"/>
  <c r="H28" i="1"/>
  <c r="G28" i="1"/>
  <c r="F28" i="1"/>
  <c r="E28" i="1"/>
  <c r="D28" i="1"/>
  <c r="C28" i="1"/>
  <c r="B28" i="1"/>
  <c r="AA27" i="1"/>
  <c r="AA28" i="1" s="1"/>
  <c r="Z27" i="1"/>
  <c r="Y27" i="1"/>
  <c r="Y28" i="1" s="1"/>
  <c r="Y29" i="1" s="1"/>
  <c r="Y30" i="1" s="1"/>
  <c r="X27" i="1"/>
  <c r="X28" i="1" s="1"/>
  <c r="W27" i="1"/>
  <c r="W28" i="1" s="1"/>
  <c r="V27" i="1"/>
  <c r="V28" i="1" s="1"/>
  <c r="U27" i="1"/>
  <c r="S27" i="1"/>
  <c r="S28" i="1" s="1"/>
  <c r="R27" i="1"/>
  <c r="Q27" i="1"/>
  <c r="Q28" i="1" s="1"/>
  <c r="Q29" i="1" s="1"/>
  <c r="Q30" i="1" s="1"/>
  <c r="O27" i="1"/>
  <c r="L27" i="1"/>
  <c r="AB27" i="1" s="1"/>
  <c r="AB26" i="1"/>
  <c r="P26" i="1"/>
  <c r="N26" i="1"/>
  <c r="N28" i="1" s="1"/>
  <c r="M26" i="1"/>
  <c r="K26" i="1"/>
  <c r="K28" i="1" s="1"/>
  <c r="AB25" i="1"/>
  <c r="B24" i="1"/>
  <c r="AB24" i="1" s="1"/>
  <c r="AB23" i="1"/>
  <c r="B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H22" i="1"/>
  <c r="G22" i="1"/>
  <c r="F22" i="1"/>
  <c r="D22" i="1"/>
  <c r="C22" i="1"/>
  <c r="B22" i="1"/>
  <c r="AB21" i="1"/>
  <c r="E21" i="1"/>
  <c r="J20" i="1"/>
  <c r="AB20" i="1" s="1"/>
  <c r="E20" i="1"/>
  <c r="E22" i="1" s="1"/>
  <c r="AA19" i="1"/>
  <c r="AA29" i="1" s="1"/>
  <c r="AA30" i="1" s="1"/>
  <c r="AA92" i="1" s="1"/>
  <c r="AA93" i="1" s="1"/>
  <c r="Z19" i="1"/>
  <c r="Y19" i="1"/>
  <c r="X19" i="1"/>
  <c r="W19" i="1"/>
  <c r="W29" i="1" s="1"/>
  <c r="W30" i="1" s="1"/>
  <c r="V19" i="1"/>
  <c r="U19" i="1"/>
  <c r="U29" i="1" s="1"/>
  <c r="U30" i="1" s="1"/>
  <c r="U92" i="1" s="1"/>
  <c r="U93" i="1" s="1"/>
  <c r="T19" i="1"/>
  <c r="T29" i="1" s="1"/>
  <c r="T30" i="1" s="1"/>
  <c r="S19" i="1"/>
  <c r="S29" i="1" s="1"/>
  <c r="S30" i="1" s="1"/>
  <c r="R19" i="1"/>
  <c r="Q19" i="1"/>
  <c r="P19" i="1"/>
  <c r="P29" i="1" s="1"/>
  <c r="P30" i="1" s="1"/>
  <c r="O19" i="1"/>
  <c r="O29" i="1" s="1"/>
  <c r="O30" i="1" s="1"/>
  <c r="N19" i="1"/>
  <c r="N29" i="1" s="1"/>
  <c r="N30" i="1" s="1"/>
  <c r="M19" i="1"/>
  <c r="M29" i="1" s="1"/>
  <c r="M30" i="1" s="1"/>
  <c r="L19" i="1"/>
  <c r="L29" i="1" s="1"/>
  <c r="L30" i="1" s="1"/>
  <c r="K19" i="1"/>
  <c r="K29" i="1" s="1"/>
  <c r="K30" i="1" s="1"/>
  <c r="J19" i="1"/>
  <c r="G19" i="1"/>
  <c r="G29" i="1" s="1"/>
  <c r="G30" i="1" s="1"/>
  <c r="G92" i="1" s="1"/>
  <c r="G93" i="1" s="1"/>
  <c r="F19" i="1"/>
  <c r="F29" i="1" s="1"/>
  <c r="F30" i="1" s="1"/>
  <c r="D19" i="1"/>
  <c r="D29" i="1" s="1"/>
  <c r="D30" i="1" s="1"/>
  <c r="C19" i="1"/>
  <c r="C29" i="1" s="1"/>
  <c r="C30" i="1" s="1"/>
  <c r="C92" i="1" s="1"/>
  <c r="C93" i="1" s="1"/>
  <c r="AB18" i="1"/>
  <c r="E18" i="1"/>
  <c r="E17" i="1"/>
  <c r="AB17" i="1" s="1"/>
  <c r="C17" i="1"/>
  <c r="B17" i="1"/>
  <c r="B16" i="1"/>
  <c r="AB16" i="1" s="1"/>
  <c r="AB15" i="1"/>
  <c r="B15" i="1"/>
  <c r="B14" i="1"/>
  <c r="AB14" i="1" s="1"/>
  <c r="I13" i="1"/>
  <c r="I19" i="1" s="1"/>
  <c r="I29" i="1" s="1"/>
  <c r="I30" i="1" s="1"/>
  <c r="H13" i="1"/>
  <c r="E13" i="1"/>
  <c r="B13" i="1"/>
  <c r="AB13" i="1" s="1"/>
  <c r="H12" i="1"/>
  <c r="E12" i="1"/>
  <c r="E19" i="1" s="1"/>
  <c r="E29" i="1" s="1"/>
  <c r="E30" i="1" s="1"/>
  <c r="G11" i="1"/>
  <c r="AB11" i="1" s="1"/>
  <c r="I10" i="1"/>
  <c r="H10" i="1"/>
  <c r="AB10" i="1" s="1"/>
  <c r="B9" i="1"/>
  <c r="B19" i="1" s="1"/>
  <c r="AB8" i="1"/>
  <c r="B8" i="1"/>
  <c r="AB7" i="1"/>
  <c r="E91" i="1" l="1"/>
  <c r="W91" i="1"/>
  <c r="Q91" i="1"/>
  <c r="T91" i="1"/>
  <c r="T92" i="1" s="1"/>
  <c r="T93" i="1" s="1"/>
  <c r="I92" i="1"/>
  <c r="I93" i="1" s="1"/>
  <c r="K91" i="1"/>
  <c r="M92" i="1"/>
  <c r="M93" i="1" s="1"/>
  <c r="X91" i="1"/>
  <c r="AB66" i="1"/>
  <c r="Q92" i="1"/>
  <c r="Q93" i="1" s="1"/>
  <c r="N92" i="1"/>
  <c r="N93" i="1" s="1"/>
  <c r="V29" i="1"/>
  <c r="V30" i="1" s="1"/>
  <c r="V92" i="1" s="1"/>
  <c r="V93" i="1" s="1"/>
  <c r="R92" i="1"/>
  <c r="R93" i="1" s="1"/>
  <c r="I91" i="1"/>
  <c r="AB48" i="1"/>
  <c r="AB54" i="1"/>
  <c r="B29" i="1"/>
  <c r="S92" i="1"/>
  <c r="S93" i="1" s="1"/>
  <c r="D92" i="1"/>
  <c r="D93" i="1" s="1"/>
  <c r="O92" i="1"/>
  <c r="O93" i="1" s="1"/>
  <c r="W92" i="1"/>
  <c r="W93" i="1" s="1"/>
  <c r="AB28" i="1"/>
  <c r="P91" i="1"/>
  <c r="J91" i="1"/>
  <c r="Y91" i="1"/>
  <c r="Y92" i="1" s="1"/>
  <c r="Y93" i="1" s="1"/>
  <c r="L91" i="1"/>
  <c r="L92" i="1" s="1"/>
  <c r="L93" i="1" s="1"/>
  <c r="K92" i="1"/>
  <c r="K93" i="1" s="1"/>
  <c r="E92" i="1"/>
  <c r="E93" i="1" s="1"/>
  <c r="F92" i="1"/>
  <c r="F93" i="1" s="1"/>
  <c r="P92" i="1"/>
  <c r="P93" i="1" s="1"/>
  <c r="X29" i="1"/>
  <c r="X30" i="1" s="1"/>
  <c r="X92" i="1" s="1"/>
  <c r="X93" i="1" s="1"/>
  <c r="Z91" i="1"/>
  <c r="Z92" i="1" s="1"/>
  <c r="Z93" i="1" s="1"/>
  <c r="AB79" i="1"/>
  <c r="AB50" i="1"/>
  <c r="AB60" i="1"/>
  <c r="AB9" i="1"/>
  <c r="AB12" i="1"/>
  <c r="H19" i="1"/>
  <c r="H29" i="1" s="1"/>
  <c r="H30" i="1" s="1"/>
  <c r="AB38" i="1"/>
  <c r="H86" i="1"/>
  <c r="H91" i="1" s="1"/>
  <c r="AB68" i="1"/>
  <c r="AB89" i="1"/>
  <c r="B35" i="1"/>
  <c r="J22" i="1"/>
  <c r="J29" i="1" s="1"/>
  <c r="J30" i="1" s="1"/>
  <c r="B90" i="1"/>
  <c r="AB90" i="1" s="1"/>
  <c r="AB72" i="1"/>
  <c r="AB19" i="1" l="1"/>
  <c r="AB86" i="1"/>
  <c r="B30" i="1"/>
  <c r="AB29" i="1"/>
  <c r="J92" i="1"/>
  <c r="J93" i="1" s="1"/>
  <c r="B91" i="1"/>
  <c r="AB91" i="1" s="1"/>
  <c r="AB35" i="1"/>
  <c r="H92" i="1"/>
  <c r="H93" i="1" s="1"/>
  <c r="AB22" i="1"/>
  <c r="AB30" i="1" l="1"/>
  <c r="B92" i="1"/>
  <c r="B93" i="1" l="1"/>
  <c r="AB93" i="1" s="1"/>
  <c r="AB92" i="1"/>
</calcChain>
</file>

<file path=xl/sharedStrings.xml><?xml version="1.0" encoding="utf-8"?>
<sst xmlns="http://schemas.openxmlformats.org/spreadsheetml/2006/main" count="118" uniqueCount="118">
  <si>
    <t>0010 - Operations</t>
  </si>
  <si>
    <t>0025 - Staff Account</t>
  </si>
  <si>
    <t>0060 - WHS Crusade for Children</t>
  </si>
  <si>
    <t>1100 - RSP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</si>
  <si>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</si>
  <si>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</si>
  <si>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</si>
  <si>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</si>
  <si>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</si>
  <si>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</si>
  <si>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</si>
  <si>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</si>
  <si>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 State</t>
  </si>
  <si>
    <t>3010 - FRYSC - Fed</t>
  </si>
  <si>
    <t>3220 - PERS Effectiveness Coach</t>
  </si>
  <si>
    <t>336L - IDEA B 24-25</t>
  </si>
  <si>
    <t>336M - IDEA B 25-26</t>
  </si>
  <si>
    <t>3416- SPF</t>
  </si>
  <si>
    <t>3420 - Interact for Health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</si>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</sst>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7"/>
  <sheetViews>
    <sheetView tabSelected="1" workbookViewId="0">
      <selection activeCell="I16" sqref="I16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4" width="10.28515625" customWidth="1"/>
    <col min="5" max="5" width="12" customWidth="1"/>
    <col min="6" max="6" width="7.7109375" customWidth="1"/>
    <col min="7" max="7" width="11.140625" customWidth="1"/>
    <col min="8" max="8" width="10.28515625" customWidth="1"/>
    <col min="9" max="9" width="8.5703125" customWidth="1"/>
    <col min="10" max="10" width="9.42578125" customWidth="1"/>
    <col min="11" max="12" width="10.28515625" customWidth="1"/>
    <col min="13" max="14" width="11.140625" customWidth="1"/>
    <col min="15" max="15" width="10.28515625" customWidth="1"/>
    <col min="16" max="16" width="11.140625" customWidth="1"/>
    <col min="17" max="18" width="10.28515625" customWidth="1"/>
    <col min="19" max="19" width="9.42578125" customWidth="1"/>
    <col min="20" max="20" width="8.5703125" customWidth="1"/>
    <col min="21" max="21" width="7.7109375" customWidth="1"/>
    <col min="22" max="22" width="8.5703125" customWidth="1"/>
    <col min="23" max="23" width="11.140625" customWidth="1"/>
    <col min="24" max="24" width="7.7109375" customWidth="1"/>
    <col min="25" max="25" width="12" customWidth="1"/>
    <col min="26" max="26" width="9.42578125" customWidth="1"/>
    <col min="27" max="27" width="7.7109375" customWidth="1"/>
    <col min="28" max="28" width="12" customWidth="1"/>
  </cols>
  <sheetData>
    <row r="1" spans="1:28" ht="18" x14ac:dyDescent="0.25">
      <c r="A1" s="10" t="s">
        <v>115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8" x14ac:dyDescent="0.25">
      <c r="A2" s="10" t="s">
        <v>116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11" t="s">
        <v>117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5" spans="1:28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</row>
    <row r="6" spans="1:28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3" t="s">
        <v>28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>
        <f t="shared" ref="AB7:AB30" si="0">(((((((((((((((((((((((((B7)+(C7))+(D7))+(E7))+(F7))+(G7))+(H7))+(I7))+(J7))+(K7))+(L7))+(M7))+(N7))+(O7))+(P7))+(Q7))+(R7))+(S7))+(T7))+(U7))+(V7))+(W7))+(X7))+(Y7))+(Z7))+(AA7)</f>
        <v>0</v>
      </c>
    </row>
    <row r="8" spans="1:28" x14ac:dyDescent="0.25">
      <c r="A8" s="3" t="s">
        <v>29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>
        <f t="shared" si="0"/>
        <v>282607.03000000003</v>
      </c>
    </row>
    <row r="9" spans="1:28" x14ac:dyDescent="0.25">
      <c r="A9" s="3" t="s">
        <v>30</v>
      </c>
      <c r="B9" s="5">
        <f>103110.98</f>
        <v>103110.98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>
        <f t="shared" si="0"/>
        <v>103110.98</v>
      </c>
    </row>
    <row r="10" spans="1:28" x14ac:dyDescent="0.25">
      <c r="A10" s="3" t="s">
        <v>31</v>
      </c>
      <c r="B10" s="4"/>
      <c r="C10" s="4"/>
      <c r="D10" s="4"/>
      <c r="E10" s="4"/>
      <c r="F10" s="4"/>
      <c r="G10" s="4"/>
      <c r="H10" s="5">
        <f>311751.11</f>
        <v>311751.11</v>
      </c>
      <c r="I10" s="5">
        <f>3880</f>
        <v>3880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5">
        <f t="shared" si="0"/>
        <v>315631.11</v>
      </c>
    </row>
    <row r="11" spans="1:28" x14ac:dyDescent="0.25">
      <c r="A11" s="3" t="s">
        <v>32</v>
      </c>
      <c r="B11" s="4"/>
      <c r="C11" s="4"/>
      <c r="D11" s="4"/>
      <c r="E11" s="4"/>
      <c r="F11" s="4"/>
      <c r="G11" s="5">
        <f>32697.49</f>
        <v>32697.49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5">
        <f t="shared" si="0"/>
        <v>32697.49</v>
      </c>
    </row>
    <row r="12" spans="1:28" x14ac:dyDescent="0.25">
      <c r="A12" s="3" t="s">
        <v>33</v>
      </c>
      <c r="B12" s="4"/>
      <c r="C12" s="4"/>
      <c r="D12" s="4"/>
      <c r="E12" s="5">
        <f>50</f>
        <v>50</v>
      </c>
      <c r="F12" s="4"/>
      <c r="G12" s="4"/>
      <c r="H12" s="5">
        <f>5950</f>
        <v>5950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>
        <f t="shared" si="0"/>
        <v>6000</v>
      </c>
    </row>
    <row r="13" spans="1:28" x14ac:dyDescent="0.25">
      <c r="A13" s="3" t="s">
        <v>34</v>
      </c>
      <c r="B13" s="5">
        <f>9152.77</f>
        <v>9152.77</v>
      </c>
      <c r="C13" s="4"/>
      <c r="D13" s="4"/>
      <c r="E13" s="5">
        <f>95.24</f>
        <v>95.24</v>
      </c>
      <c r="F13" s="4"/>
      <c r="G13" s="4"/>
      <c r="H13" s="5">
        <f>486.47</f>
        <v>486.47</v>
      </c>
      <c r="I13" s="5">
        <f>50</f>
        <v>50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>
        <f t="shared" si="0"/>
        <v>9784.48</v>
      </c>
    </row>
    <row r="14" spans="1:28" x14ac:dyDescent="0.25">
      <c r="A14" s="3" t="s">
        <v>35</v>
      </c>
      <c r="B14" s="5">
        <f>48232.19</f>
        <v>48232.19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5">
        <f t="shared" si="0"/>
        <v>48232.19</v>
      </c>
    </row>
    <row r="15" spans="1:28" x14ac:dyDescent="0.25">
      <c r="A15" s="3" t="s">
        <v>36</v>
      </c>
      <c r="B15" s="5">
        <f>453517.36</f>
        <v>453517.36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5">
        <f t="shared" si="0"/>
        <v>453517.36</v>
      </c>
    </row>
    <row r="16" spans="1:28" x14ac:dyDescent="0.25">
      <c r="A16" s="3" t="s">
        <v>37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5">
        <f t="shared" si="0"/>
        <v>40000</v>
      </c>
    </row>
    <row r="17" spans="1:28" x14ac:dyDescent="0.25">
      <c r="A17" s="3" t="s">
        <v>38</v>
      </c>
      <c r="B17" s="5">
        <f>1774.21</f>
        <v>1774.21</v>
      </c>
      <c r="C17" s="5">
        <f>225</f>
        <v>225</v>
      </c>
      <c r="D17" s="4"/>
      <c r="E17" s="5">
        <f>88.25</f>
        <v>88.25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5">
        <f t="shared" si="0"/>
        <v>2087.46</v>
      </c>
    </row>
    <row r="18" spans="1:28" x14ac:dyDescent="0.25">
      <c r="A18" s="3" t="s">
        <v>39</v>
      </c>
      <c r="B18" s="4"/>
      <c r="C18" s="4"/>
      <c r="D18" s="4"/>
      <c r="E18" s="5">
        <f>65721</f>
        <v>65721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5">
        <f t="shared" si="0"/>
        <v>65721</v>
      </c>
    </row>
    <row r="19" spans="1:28" x14ac:dyDescent="0.25">
      <c r="A19" s="3" t="s">
        <v>40</v>
      </c>
      <c r="B19" s="6">
        <f t="shared" ref="B19:AA19" si="1">(((((((((((B7)+(B8))+(B9))+(B10))+(B11))+(B12))+(B13))+(B14))+(B15))+(B16))+(B17))+(B18)</f>
        <v>938394.54</v>
      </c>
      <c r="C19" s="6">
        <f t="shared" si="1"/>
        <v>225</v>
      </c>
      <c r="D19" s="6">
        <f t="shared" si="1"/>
        <v>0</v>
      </c>
      <c r="E19" s="6">
        <f t="shared" si="1"/>
        <v>65954.490000000005</v>
      </c>
      <c r="F19" s="6">
        <f t="shared" si="1"/>
        <v>0</v>
      </c>
      <c r="G19" s="6">
        <f t="shared" si="1"/>
        <v>32697.49</v>
      </c>
      <c r="H19" s="6">
        <f t="shared" si="1"/>
        <v>318187.57999999996</v>
      </c>
      <c r="I19" s="6">
        <f t="shared" si="1"/>
        <v>3930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0"/>
        <v>1359389.1</v>
      </c>
    </row>
    <row r="20" spans="1:28" x14ac:dyDescent="0.25">
      <c r="A20" s="3" t="s">
        <v>41</v>
      </c>
      <c r="B20" s="4"/>
      <c r="C20" s="4"/>
      <c r="D20" s="4"/>
      <c r="E20" s="5">
        <f>1107063.36</f>
        <v>1107063.3600000001</v>
      </c>
      <c r="F20" s="4"/>
      <c r="G20" s="4"/>
      <c r="H20" s="4"/>
      <c r="I20" s="4"/>
      <c r="J20" s="5">
        <f>93038.69</f>
        <v>93038.69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>
        <f t="shared" si="0"/>
        <v>1200102.05</v>
      </c>
    </row>
    <row r="21" spans="1:28" x14ac:dyDescent="0.25">
      <c r="A21" s="3" t="s">
        <v>42</v>
      </c>
      <c r="B21" s="4"/>
      <c r="C21" s="4"/>
      <c r="D21" s="4"/>
      <c r="E21" s="5">
        <f>21020.64</f>
        <v>21020.639999999999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5">
        <f t="shared" si="0"/>
        <v>21020.639999999999</v>
      </c>
    </row>
    <row r="22" spans="1:28" x14ac:dyDescent="0.25">
      <c r="A22" s="3" t="s">
        <v>43</v>
      </c>
      <c r="B22" s="6">
        <f t="shared" ref="B22:AA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1128084</v>
      </c>
      <c r="F22" s="6">
        <f t="shared" si="2"/>
        <v>0</v>
      </c>
      <c r="G22" s="6">
        <f t="shared" si="2"/>
        <v>0</v>
      </c>
      <c r="H22" s="6">
        <f t="shared" si="2"/>
        <v>0</v>
      </c>
      <c r="I22" s="6">
        <f t="shared" si="2"/>
        <v>0</v>
      </c>
      <c r="J22" s="6">
        <f t="shared" si="2"/>
        <v>93038.69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0"/>
        <v>1221122.69</v>
      </c>
    </row>
    <row r="23" spans="1:28" x14ac:dyDescent="0.25">
      <c r="A23" s="3" t="s">
        <v>44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">
        <f t="shared" si="0"/>
        <v>5292</v>
      </c>
    </row>
    <row r="24" spans="1:28" x14ac:dyDescent="0.25">
      <c r="A24" s="3" t="s">
        <v>45</v>
      </c>
      <c r="B24" s="5">
        <f>27394.29</f>
        <v>27394.29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5">
        <f t="shared" si="0"/>
        <v>27394.29</v>
      </c>
    </row>
    <row r="25" spans="1:28" x14ac:dyDescent="0.25">
      <c r="A25" s="3" t="s">
        <v>46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5">
        <f t="shared" si="0"/>
        <v>0</v>
      </c>
    </row>
    <row r="26" spans="1:28" x14ac:dyDescent="0.25">
      <c r="A26" s="3" t="s">
        <v>47</v>
      </c>
      <c r="B26" s="4"/>
      <c r="C26" s="4"/>
      <c r="D26" s="4"/>
      <c r="E26" s="4"/>
      <c r="F26" s="4"/>
      <c r="G26" s="4"/>
      <c r="H26" s="4"/>
      <c r="I26" s="4"/>
      <c r="J26" s="4"/>
      <c r="K26" s="5">
        <f>480438.95</f>
        <v>480438.95</v>
      </c>
      <c r="L26" s="4"/>
      <c r="M26" s="5">
        <f>229168</f>
        <v>229168</v>
      </c>
      <c r="N26" s="5">
        <f>132897.53</f>
        <v>132897.53</v>
      </c>
      <c r="O26" s="4"/>
      <c r="P26" s="5">
        <f>31114</f>
        <v>31114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5">
        <f t="shared" si="0"/>
        <v>873618.48</v>
      </c>
    </row>
    <row r="27" spans="1:28" x14ac:dyDescent="0.25">
      <c r="A27" s="3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5">
        <f>278828.92</f>
        <v>278828.92</v>
      </c>
      <c r="M27" s="4"/>
      <c r="N27" s="4"/>
      <c r="O27" s="5">
        <f>271171.43</f>
        <v>271171.43</v>
      </c>
      <c r="P27" s="4"/>
      <c r="Q27" s="5">
        <f>73503.64</f>
        <v>73503.64</v>
      </c>
      <c r="R27" s="5">
        <f>445038.99</f>
        <v>445038.99</v>
      </c>
      <c r="S27" s="5">
        <f>87234.5</f>
        <v>87234.5</v>
      </c>
      <c r="T27" s="4"/>
      <c r="U27" s="5">
        <f>740.94</f>
        <v>740.94</v>
      </c>
      <c r="V27" s="5">
        <f>1108.96</f>
        <v>1108.96</v>
      </c>
      <c r="W27" s="5">
        <f>388544.62</f>
        <v>388544.62</v>
      </c>
      <c r="X27" s="5">
        <f>0</f>
        <v>0</v>
      </c>
      <c r="Y27" s="5">
        <f>630553.85</f>
        <v>630553.85</v>
      </c>
      <c r="Z27" s="5">
        <f>83000</f>
        <v>83000</v>
      </c>
      <c r="AA27" s="5">
        <f>0</f>
        <v>0</v>
      </c>
      <c r="AB27" s="5">
        <f t="shared" si="0"/>
        <v>2259725.85</v>
      </c>
    </row>
    <row r="28" spans="1:28" x14ac:dyDescent="0.25">
      <c r="A28" s="3" t="s">
        <v>49</v>
      </c>
      <c r="B28" s="6">
        <f t="shared" ref="B28:AA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480438.95</v>
      </c>
      <c r="L28" s="6">
        <f t="shared" si="3"/>
        <v>278828.92</v>
      </c>
      <c r="M28" s="6">
        <f t="shared" si="3"/>
        <v>229168</v>
      </c>
      <c r="N28" s="6">
        <f t="shared" si="3"/>
        <v>132897.53</v>
      </c>
      <c r="O28" s="6">
        <f t="shared" si="3"/>
        <v>271171.43</v>
      </c>
      <c r="P28" s="6">
        <f t="shared" si="3"/>
        <v>31114</v>
      </c>
      <c r="Q28" s="6">
        <f t="shared" si="3"/>
        <v>73503.64</v>
      </c>
      <c r="R28" s="6">
        <f t="shared" si="3"/>
        <v>445038.99</v>
      </c>
      <c r="S28" s="6">
        <f t="shared" si="3"/>
        <v>87234.5</v>
      </c>
      <c r="T28" s="6">
        <f t="shared" si="3"/>
        <v>0</v>
      </c>
      <c r="U28" s="6">
        <f t="shared" si="3"/>
        <v>740.94</v>
      </c>
      <c r="V28" s="6">
        <f t="shared" si="3"/>
        <v>1108.96</v>
      </c>
      <c r="W28" s="6">
        <f t="shared" si="3"/>
        <v>388544.62</v>
      </c>
      <c r="X28" s="6">
        <f t="shared" si="3"/>
        <v>0</v>
      </c>
      <c r="Y28" s="6">
        <f t="shared" si="3"/>
        <v>630553.85</v>
      </c>
      <c r="Z28" s="6">
        <f t="shared" si="3"/>
        <v>83000</v>
      </c>
      <c r="AA28" s="6">
        <f t="shared" si="3"/>
        <v>0</v>
      </c>
      <c r="AB28" s="6">
        <f t="shared" si="0"/>
        <v>3133344.3299999996</v>
      </c>
    </row>
    <row r="29" spans="1:28" x14ac:dyDescent="0.25">
      <c r="A29" s="3" t="s">
        <v>50</v>
      </c>
      <c r="B29" s="6">
        <f t="shared" ref="B29:AA29" si="4">((((B19)+(B22))+(B23))+(B24))+(B28)</f>
        <v>971080.83000000007</v>
      </c>
      <c r="C29" s="6">
        <f t="shared" si="4"/>
        <v>225</v>
      </c>
      <c r="D29" s="6">
        <f t="shared" si="4"/>
        <v>0</v>
      </c>
      <c r="E29" s="6">
        <f t="shared" si="4"/>
        <v>1194038.49</v>
      </c>
      <c r="F29" s="6">
        <f t="shared" si="4"/>
        <v>0</v>
      </c>
      <c r="G29" s="6">
        <f t="shared" si="4"/>
        <v>32697.49</v>
      </c>
      <c r="H29" s="6">
        <f t="shared" si="4"/>
        <v>318187.57999999996</v>
      </c>
      <c r="I29" s="6">
        <f t="shared" si="4"/>
        <v>3930</v>
      </c>
      <c r="J29" s="6">
        <f t="shared" si="4"/>
        <v>93038.69</v>
      </c>
      <c r="K29" s="6">
        <f t="shared" si="4"/>
        <v>480438.95</v>
      </c>
      <c r="L29" s="6">
        <f t="shared" si="4"/>
        <v>278828.92</v>
      </c>
      <c r="M29" s="6">
        <f t="shared" si="4"/>
        <v>229168</v>
      </c>
      <c r="N29" s="6">
        <f t="shared" si="4"/>
        <v>132897.53</v>
      </c>
      <c r="O29" s="6">
        <f t="shared" si="4"/>
        <v>271171.43</v>
      </c>
      <c r="P29" s="6">
        <f t="shared" si="4"/>
        <v>31114</v>
      </c>
      <c r="Q29" s="6">
        <f t="shared" si="4"/>
        <v>73503.64</v>
      </c>
      <c r="R29" s="6">
        <f t="shared" si="4"/>
        <v>445038.99</v>
      </c>
      <c r="S29" s="6">
        <f t="shared" si="4"/>
        <v>87234.5</v>
      </c>
      <c r="T29" s="6">
        <f t="shared" si="4"/>
        <v>0</v>
      </c>
      <c r="U29" s="6">
        <f t="shared" si="4"/>
        <v>740.94</v>
      </c>
      <c r="V29" s="6">
        <f t="shared" si="4"/>
        <v>1108.96</v>
      </c>
      <c r="W29" s="6">
        <f t="shared" si="4"/>
        <v>388544.62</v>
      </c>
      <c r="X29" s="6">
        <f t="shared" si="4"/>
        <v>0</v>
      </c>
      <c r="Y29" s="6">
        <f t="shared" si="4"/>
        <v>630553.85</v>
      </c>
      <c r="Z29" s="6">
        <f t="shared" si="4"/>
        <v>83000</v>
      </c>
      <c r="AA29" s="6">
        <f t="shared" si="4"/>
        <v>0</v>
      </c>
      <c r="AB29" s="6">
        <f t="shared" si="0"/>
        <v>5746542.4100000011</v>
      </c>
    </row>
    <row r="30" spans="1:28" x14ac:dyDescent="0.25">
      <c r="A30" s="3" t="s">
        <v>51</v>
      </c>
      <c r="B30" s="6">
        <f t="shared" ref="B30:AA30" si="5">(B29)-(0)</f>
        <v>971080.83000000007</v>
      </c>
      <c r="C30" s="6">
        <f t="shared" si="5"/>
        <v>225</v>
      </c>
      <c r="D30" s="6">
        <f t="shared" si="5"/>
        <v>0</v>
      </c>
      <c r="E30" s="6">
        <f t="shared" si="5"/>
        <v>1194038.49</v>
      </c>
      <c r="F30" s="6">
        <f t="shared" si="5"/>
        <v>0</v>
      </c>
      <c r="G30" s="6">
        <f t="shared" si="5"/>
        <v>32697.49</v>
      </c>
      <c r="H30" s="6">
        <f t="shared" si="5"/>
        <v>318187.57999999996</v>
      </c>
      <c r="I30" s="6">
        <f t="shared" si="5"/>
        <v>3930</v>
      </c>
      <c r="J30" s="6">
        <f t="shared" si="5"/>
        <v>93038.69</v>
      </c>
      <c r="K30" s="6">
        <f t="shared" si="5"/>
        <v>480438.95</v>
      </c>
      <c r="L30" s="6">
        <f t="shared" si="5"/>
        <v>278828.92</v>
      </c>
      <c r="M30" s="6">
        <f t="shared" si="5"/>
        <v>229168</v>
      </c>
      <c r="N30" s="6">
        <f t="shared" si="5"/>
        <v>132897.53</v>
      </c>
      <c r="O30" s="6">
        <f t="shared" si="5"/>
        <v>271171.43</v>
      </c>
      <c r="P30" s="6">
        <f t="shared" si="5"/>
        <v>31114</v>
      </c>
      <c r="Q30" s="6">
        <f t="shared" si="5"/>
        <v>73503.64</v>
      </c>
      <c r="R30" s="6">
        <f t="shared" si="5"/>
        <v>445038.99</v>
      </c>
      <c r="S30" s="6">
        <f t="shared" si="5"/>
        <v>87234.5</v>
      </c>
      <c r="T30" s="6">
        <f t="shared" si="5"/>
        <v>0</v>
      </c>
      <c r="U30" s="6">
        <f t="shared" si="5"/>
        <v>740.94</v>
      </c>
      <c r="V30" s="6">
        <f t="shared" si="5"/>
        <v>1108.96</v>
      </c>
      <c r="W30" s="6">
        <f t="shared" si="5"/>
        <v>388544.62</v>
      </c>
      <c r="X30" s="6">
        <f t="shared" si="5"/>
        <v>0</v>
      </c>
      <c r="Y30" s="6">
        <f t="shared" si="5"/>
        <v>630553.85</v>
      </c>
      <c r="Z30" s="6">
        <f t="shared" si="5"/>
        <v>83000</v>
      </c>
      <c r="AA30" s="6">
        <f t="shared" si="5"/>
        <v>0</v>
      </c>
      <c r="AB30" s="6">
        <f t="shared" si="0"/>
        <v>5746542.4100000011</v>
      </c>
    </row>
    <row r="31" spans="1:28" x14ac:dyDescent="0.25">
      <c r="A31" s="3" t="s">
        <v>52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25">
      <c r="A32" s="3" t="s">
        <v>53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5">
        <f t="shared" ref="AB32:AB63" si="6">(((((((((((((((((((((((((B32)+(C32))+(D32))+(E32))+(F32))+(G32))+(H32))+(I32))+(J32))+(K32))+(L32))+(M32))+(N32))+(O32))+(P32))+(Q32))+(R32))+(S32))+(T32))+(U32))+(V32))+(W32))+(X32))+(Y32))+(Z32))+(AA32)</f>
        <v>0</v>
      </c>
    </row>
    <row r="33" spans="1:28" x14ac:dyDescent="0.25">
      <c r="A33" s="3" t="s">
        <v>54</v>
      </c>
      <c r="B33" s="5">
        <f>239003.84</f>
        <v>239003.84</v>
      </c>
      <c r="C33" s="4"/>
      <c r="D33" s="4"/>
      <c r="E33" s="5">
        <f>424124.72</f>
        <v>424124.72</v>
      </c>
      <c r="F33" s="4"/>
      <c r="G33" s="4"/>
      <c r="H33" s="4"/>
      <c r="I33" s="4"/>
      <c r="J33" s="5">
        <f>27376.7</f>
        <v>27376.7</v>
      </c>
      <c r="K33" s="5">
        <f>361123.33</f>
        <v>361123.33</v>
      </c>
      <c r="L33" s="5">
        <f>28634.28</f>
        <v>28634.28</v>
      </c>
      <c r="M33" s="4"/>
      <c r="N33" s="4"/>
      <c r="O33" s="5">
        <f>44204.2</f>
        <v>44204.2</v>
      </c>
      <c r="P33" s="5">
        <f>45987.5</f>
        <v>45987.5</v>
      </c>
      <c r="Q33" s="4"/>
      <c r="R33" s="5">
        <f>223108.78</f>
        <v>223108.78</v>
      </c>
      <c r="S33" s="5">
        <f>30837.12</f>
        <v>30837.119999999999</v>
      </c>
      <c r="T33" s="4"/>
      <c r="U33" s="4"/>
      <c r="V33" s="4"/>
      <c r="W33" s="5">
        <f>164764.7</f>
        <v>164764.70000000001</v>
      </c>
      <c r="X33" s="4"/>
      <c r="Y33" s="5">
        <f>228124.38</f>
        <v>228124.38</v>
      </c>
      <c r="Z33" s="5">
        <f>25700.7</f>
        <v>25700.7</v>
      </c>
      <c r="AA33" s="4"/>
      <c r="AB33" s="5">
        <f t="shared" si="6"/>
        <v>1842990.2499999998</v>
      </c>
    </row>
    <row r="34" spans="1:28" x14ac:dyDescent="0.25">
      <c r="A34" s="3" t="s">
        <v>55</v>
      </c>
      <c r="B34" s="5">
        <f>149804.14</f>
        <v>149804.14000000001</v>
      </c>
      <c r="C34" s="4"/>
      <c r="D34" s="4"/>
      <c r="E34" s="5">
        <f>126177.14</f>
        <v>126177.14</v>
      </c>
      <c r="F34" s="4"/>
      <c r="G34" s="5">
        <f>39449</f>
        <v>39449</v>
      </c>
      <c r="H34" s="4"/>
      <c r="I34" s="4"/>
      <c r="J34" s="4"/>
      <c r="K34" s="5">
        <f>19891.9</f>
        <v>19891.900000000001</v>
      </c>
      <c r="L34" s="4"/>
      <c r="M34" s="5">
        <f>190512.16</f>
        <v>190512.16</v>
      </c>
      <c r="N34" s="5">
        <f>110891.58</f>
        <v>110891.58</v>
      </c>
      <c r="O34" s="4"/>
      <c r="P34" s="4"/>
      <c r="Q34" s="4"/>
      <c r="R34" s="5">
        <f>29703.9</f>
        <v>29703.9</v>
      </c>
      <c r="S34" s="4"/>
      <c r="T34" s="4"/>
      <c r="U34" s="4"/>
      <c r="V34" s="4"/>
      <c r="W34" s="5">
        <f>25697.9</f>
        <v>25697.9</v>
      </c>
      <c r="X34" s="5">
        <f>0</f>
        <v>0</v>
      </c>
      <c r="Y34" s="5">
        <f>25636.17</f>
        <v>25636.17</v>
      </c>
      <c r="Z34" s="4"/>
      <c r="AA34" s="5">
        <f>0</f>
        <v>0</v>
      </c>
      <c r="AB34" s="5">
        <f t="shared" si="6"/>
        <v>717763.89000000013</v>
      </c>
    </row>
    <row r="35" spans="1:28" x14ac:dyDescent="0.25">
      <c r="A35" s="3" t="s">
        <v>56</v>
      </c>
      <c r="B35" s="6">
        <f t="shared" ref="B35:AA35" si="7">((B32)+(B33))+(B34)</f>
        <v>388807.98</v>
      </c>
      <c r="C35" s="6">
        <f t="shared" si="7"/>
        <v>0</v>
      </c>
      <c r="D35" s="6">
        <f t="shared" si="7"/>
        <v>0</v>
      </c>
      <c r="E35" s="6">
        <f t="shared" si="7"/>
        <v>550301.86</v>
      </c>
      <c r="F35" s="6">
        <f t="shared" si="7"/>
        <v>0</v>
      </c>
      <c r="G35" s="6">
        <f t="shared" si="7"/>
        <v>39449</v>
      </c>
      <c r="H35" s="6">
        <f t="shared" si="7"/>
        <v>0</v>
      </c>
      <c r="I35" s="6">
        <f t="shared" si="7"/>
        <v>0</v>
      </c>
      <c r="J35" s="6">
        <f t="shared" si="7"/>
        <v>27376.7</v>
      </c>
      <c r="K35" s="6">
        <f t="shared" si="7"/>
        <v>381015.23000000004</v>
      </c>
      <c r="L35" s="6">
        <f t="shared" si="7"/>
        <v>28634.28</v>
      </c>
      <c r="M35" s="6">
        <f t="shared" si="7"/>
        <v>190512.16</v>
      </c>
      <c r="N35" s="6">
        <f t="shared" si="7"/>
        <v>110891.58</v>
      </c>
      <c r="O35" s="6">
        <f t="shared" si="7"/>
        <v>44204.2</v>
      </c>
      <c r="P35" s="6">
        <f t="shared" si="7"/>
        <v>45987.5</v>
      </c>
      <c r="Q35" s="6">
        <f t="shared" si="7"/>
        <v>0</v>
      </c>
      <c r="R35" s="6">
        <f t="shared" si="7"/>
        <v>252812.68</v>
      </c>
      <c r="S35" s="6">
        <f t="shared" si="7"/>
        <v>30837.119999999999</v>
      </c>
      <c r="T35" s="6">
        <f t="shared" si="7"/>
        <v>0</v>
      </c>
      <c r="U35" s="6">
        <f t="shared" si="7"/>
        <v>0</v>
      </c>
      <c r="V35" s="6">
        <f t="shared" si="7"/>
        <v>0</v>
      </c>
      <c r="W35" s="6">
        <f t="shared" si="7"/>
        <v>190462.6</v>
      </c>
      <c r="X35" s="6">
        <f t="shared" si="7"/>
        <v>0</v>
      </c>
      <c r="Y35" s="6">
        <f t="shared" si="7"/>
        <v>253760.55</v>
      </c>
      <c r="Z35" s="6">
        <f t="shared" si="7"/>
        <v>25700.7</v>
      </c>
      <c r="AA35" s="6">
        <f t="shared" si="7"/>
        <v>0</v>
      </c>
      <c r="AB35" s="6">
        <f t="shared" si="6"/>
        <v>2560754.14</v>
      </c>
    </row>
    <row r="36" spans="1:28" x14ac:dyDescent="0.25">
      <c r="A36" s="3" t="s">
        <v>57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5">
        <f t="shared" si="6"/>
        <v>0</v>
      </c>
    </row>
    <row r="37" spans="1:28" x14ac:dyDescent="0.25">
      <c r="A37" s="3" t="s">
        <v>58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>
        <f>3.57</f>
        <v>3.57</v>
      </c>
      <c r="M37" s="5">
        <f>4.5</f>
        <v>4.5</v>
      </c>
      <c r="N37" s="5">
        <f>2</f>
        <v>2</v>
      </c>
      <c r="O37" s="5">
        <f>6.25</f>
        <v>6.25</v>
      </c>
      <c r="P37" s="4"/>
      <c r="Q37" s="4"/>
      <c r="R37" s="5">
        <f>33.55</f>
        <v>33.549999999999997</v>
      </c>
      <c r="S37" s="5">
        <f>3.53</f>
        <v>3.53</v>
      </c>
      <c r="T37" s="4"/>
      <c r="U37" s="4"/>
      <c r="V37" s="4"/>
      <c r="W37" s="5">
        <f>26.6</f>
        <v>26.6</v>
      </c>
      <c r="X37" s="5">
        <f>0</f>
        <v>0</v>
      </c>
      <c r="Y37" s="5">
        <f>36.33</f>
        <v>36.33</v>
      </c>
      <c r="Z37" s="5">
        <f>5</f>
        <v>5</v>
      </c>
      <c r="AA37" s="5">
        <f>0</f>
        <v>0</v>
      </c>
      <c r="AB37" s="5">
        <f t="shared" si="6"/>
        <v>121.33</v>
      </c>
    </row>
    <row r="38" spans="1:28" x14ac:dyDescent="0.25">
      <c r="A38" s="3" t="s">
        <v>59</v>
      </c>
      <c r="B38" s="5">
        <f>1550</f>
        <v>1550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5">
        <f t="shared" si="6"/>
        <v>1550</v>
      </c>
    </row>
    <row r="39" spans="1:28" x14ac:dyDescent="0.25">
      <c r="A39" s="3" t="s">
        <v>60</v>
      </c>
      <c r="B39" s="5">
        <f>8964.69</f>
        <v>8964.69</v>
      </c>
      <c r="C39" s="4"/>
      <c r="D39" s="4"/>
      <c r="E39" s="5">
        <f>7430.62</f>
        <v>7430.62</v>
      </c>
      <c r="F39" s="4"/>
      <c r="G39" s="5">
        <f>2330.61</f>
        <v>2330.61</v>
      </c>
      <c r="H39" s="4"/>
      <c r="I39" s="4"/>
      <c r="J39" s="4"/>
      <c r="K39" s="5">
        <f>1187.61</f>
        <v>1187.6099999999999</v>
      </c>
      <c r="L39" s="4"/>
      <c r="M39" s="5">
        <f>11461.47</f>
        <v>11461.47</v>
      </c>
      <c r="N39" s="5">
        <f>6562.44</f>
        <v>6562.44</v>
      </c>
      <c r="O39" s="4"/>
      <c r="P39" s="4"/>
      <c r="Q39" s="4"/>
      <c r="R39" s="5">
        <f>1805.89</f>
        <v>1805.89</v>
      </c>
      <c r="S39" s="4"/>
      <c r="T39" s="4"/>
      <c r="U39" s="4"/>
      <c r="V39" s="4"/>
      <c r="W39" s="5">
        <f>1362.79</f>
        <v>1362.79</v>
      </c>
      <c r="X39" s="5">
        <f>0</f>
        <v>0</v>
      </c>
      <c r="Y39" s="5">
        <f>1545.13</f>
        <v>1545.13</v>
      </c>
      <c r="Z39" s="4"/>
      <c r="AA39" s="5">
        <f>0</f>
        <v>0</v>
      </c>
      <c r="AB39" s="5">
        <f t="shared" si="6"/>
        <v>42651.25</v>
      </c>
    </row>
    <row r="40" spans="1:28" x14ac:dyDescent="0.25">
      <c r="A40" s="3" t="s">
        <v>61</v>
      </c>
      <c r="B40" s="5">
        <f>5668.71</f>
        <v>5668.71</v>
      </c>
      <c r="C40" s="4"/>
      <c r="D40" s="4"/>
      <c r="E40" s="5">
        <f>7656.03</f>
        <v>7656.03</v>
      </c>
      <c r="F40" s="4"/>
      <c r="G40" s="5">
        <f>545.08</f>
        <v>545.08000000000004</v>
      </c>
      <c r="H40" s="4"/>
      <c r="I40" s="4"/>
      <c r="J40" s="5">
        <f>391</f>
        <v>391</v>
      </c>
      <c r="K40" s="5">
        <f>5282.31</f>
        <v>5282.31</v>
      </c>
      <c r="L40" s="5">
        <f>388.02</f>
        <v>388.02</v>
      </c>
      <c r="M40" s="5">
        <f>2680.51</f>
        <v>2680.51</v>
      </c>
      <c r="N40" s="5">
        <f>1534.73</f>
        <v>1534.73</v>
      </c>
      <c r="O40" s="5">
        <f>621.8</f>
        <v>621.79999999999995</v>
      </c>
      <c r="P40" s="5">
        <f>647.6</f>
        <v>647.6</v>
      </c>
      <c r="Q40" s="4"/>
      <c r="R40" s="5">
        <f>3519.92</f>
        <v>3519.92</v>
      </c>
      <c r="S40" s="5">
        <f>423.2</f>
        <v>423.2</v>
      </c>
      <c r="T40" s="4"/>
      <c r="U40" s="4"/>
      <c r="V40" s="4"/>
      <c r="W40" s="5">
        <f>2612.18</f>
        <v>2612.1799999999998</v>
      </c>
      <c r="X40" s="5">
        <f>0</f>
        <v>0</v>
      </c>
      <c r="Y40" s="5">
        <f>3543.03</f>
        <v>3543.03</v>
      </c>
      <c r="Z40" s="5">
        <f>365.2</f>
        <v>365.2</v>
      </c>
      <c r="AA40" s="5">
        <f>0</f>
        <v>0</v>
      </c>
      <c r="AB40" s="5">
        <f t="shared" si="6"/>
        <v>35879.32</v>
      </c>
    </row>
    <row r="41" spans="1:28" x14ac:dyDescent="0.25">
      <c r="A41" s="3" t="s">
        <v>62</v>
      </c>
      <c r="B41" s="5">
        <f>7615.84</f>
        <v>7615.84</v>
      </c>
      <c r="C41" s="4"/>
      <c r="D41" s="4"/>
      <c r="E41" s="5">
        <f>12723.8</f>
        <v>12723.8</v>
      </c>
      <c r="F41" s="4"/>
      <c r="G41" s="4"/>
      <c r="H41" s="4"/>
      <c r="I41" s="4"/>
      <c r="J41" s="5">
        <f>821.3</f>
        <v>821.3</v>
      </c>
      <c r="K41" s="5">
        <f>10833.36</f>
        <v>10833.36</v>
      </c>
      <c r="L41" s="5">
        <f>4620.23</f>
        <v>4620.2299999999996</v>
      </c>
      <c r="M41" s="4"/>
      <c r="N41" s="4"/>
      <c r="O41" s="5">
        <f>7119.1</f>
        <v>7119.1</v>
      </c>
      <c r="P41" s="5">
        <f>1379.6</f>
        <v>1379.6</v>
      </c>
      <c r="Q41" s="4"/>
      <c r="R41" s="5">
        <f>36067.44</f>
        <v>36067.440000000002</v>
      </c>
      <c r="S41" s="5">
        <f>5023.1</f>
        <v>5023.1000000000004</v>
      </c>
      <c r="T41" s="4"/>
      <c r="U41" s="4"/>
      <c r="V41" s="4"/>
      <c r="W41" s="5">
        <f>27254.7</f>
        <v>27254.7</v>
      </c>
      <c r="X41" s="4"/>
      <c r="Y41" s="5">
        <f>37566.5</f>
        <v>37566.5</v>
      </c>
      <c r="Z41" s="5">
        <f>3533.8</f>
        <v>3533.8</v>
      </c>
      <c r="AA41" s="4"/>
      <c r="AB41" s="5">
        <f t="shared" si="6"/>
        <v>154558.76999999999</v>
      </c>
    </row>
    <row r="42" spans="1:28" x14ac:dyDescent="0.25">
      <c r="A42" s="3" t="s">
        <v>63</v>
      </c>
      <c r="B42" s="5">
        <f>27879.58</f>
        <v>27879.58</v>
      </c>
      <c r="C42" s="4"/>
      <c r="D42" s="4"/>
      <c r="E42" s="5">
        <f>23459.77</f>
        <v>23459.77</v>
      </c>
      <c r="F42" s="4"/>
      <c r="G42" s="5">
        <f>7345.4</f>
        <v>7345.4</v>
      </c>
      <c r="H42" s="4"/>
      <c r="I42" s="4"/>
      <c r="J42" s="4"/>
      <c r="K42" s="5">
        <f>3703.9</f>
        <v>3703.9</v>
      </c>
      <c r="L42" s="4"/>
      <c r="M42" s="5">
        <f>35473.28</f>
        <v>35473.279999999999</v>
      </c>
      <c r="N42" s="5">
        <f>20647.95</f>
        <v>20647.95</v>
      </c>
      <c r="O42" s="4"/>
      <c r="P42" s="4"/>
      <c r="Q42" s="4"/>
      <c r="R42" s="5">
        <f>3617.3</f>
        <v>3617.3</v>
      </c>
      <c r="S42" s="4"/>
      <c r="T42" s="4"/>
      <c r="U42" s="4"/>
      <c r="V42" s="4"/>
      <c r="W42" s="5">
        <f>4784.9</f>
        <v>4784.8999999999996</v>
      </c>
      <c r="X42" s="5">
        <f>0</f>
        <v>0</v>
      </c>
      <c r="Y42" s="5">
        <f>4787.44</f>
        <v>4787.4399999999996</v>
      </c>
      <c r="Z42" s="4"/>
      <c r="AA42" s="5">
        <f>0</f>
        <v>0</v>
      </c>
      <c r="AB42" s="5">
        <f t="shared" si="6"/>
        <v>131699.51999999999</v>
      </c>
    </row>
    <row r="43" spans="1:28" x14ac:dyDescent="0.25">
      <c r="A43" s="3" t="s">
        <v>64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5">
        <f>5633.61</f>
        <v>5633.61</v>
      </c>
      <c r="M43" s="5">
        <f>8992.28</f>
        <v>8992.2800000000007</v>
      </c>
      <c r="N43" s="5">
        <f>1802.08</f>
        <v>1802.08</v>
      </c>
      <c r="O43" s="5">
        <f>7332.4</f>
        <v>7332.4</v>
      </c>
      <c r="P43" s="4"/>
      <c r="Q43" s="4"/>
      <c r="R43" s="5">
        <f>38567.39</f>
        <v>38567.39</v>
      </c>
      <c r="S43" s="5">
        <f>3646.75</f>
        <v>3646.75</v>
      </c>
      <c r="T43" s="4"/>
      <c r="U43" s="4"/>
      <c r="V43" s="4"/>
      <c r="W43" s="5">
        <f>31026.35</f>
        <v>31026.35</v>
      </c>
      <c r="X43" s="5">
        <f>0</f>
        <v>0</v>
      </c>
      <c r="Y43" s="5">
        <f>29415.08</f>
        <v>29415.08</v>
      </c>
      <c r="Z43" s="5">
        <f>4386.5</f>
        <v>4386.5</v>
      </c>
      <c r="AA43" s="5">
        <f>0</f>
        <v>0</v>
      </c>
      <c r="AB43" s="5">
        <f t="shared" si="6"/>
        <v>130802.44000000002</v>
      </c>
    </row>
    <row r="44" spans="1:28" x14ac:dyDescent="0.25">
      <c r="A44" s="3" t="s">
        <v>65</v>
      </c>
      <c r="B44" s="5">
        <f>119.99</f>
        <v>119.99</v>
      </c>
      <c r="C44" s="4"/>
      <c r="D44" s="4"/>
      <c r="E44" s="5">
        <f>190.24</f>
        <v>190.24</v>
      </c>
      <c r="F44" s="4"/>
      <c r="G44" s="4"/>
      <c r="H44" s="4"/>
      <c r="I44" s="4"/>
      <c r="J44" s="4"/>
      <c r="K44" s="5">
        <f>60</f>
        <v>60</v>
      </c>
      <c r="L44" s="4"/>
      <c r="M44" s="4"/>
      <c r="N44" s="5">
        <f>60</f>
        <v>60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5">
        <f>60</f>
        <v>60</v>
      </c>
      <c r="Z44" s="4"/>
      <c r="AA44" s="4"/>
      <c r="AB44" s="5">
        <f t="shared" si="6"/>
        <v>490.23</v>
      </c>
    </row>
    <row r="45" spans="1:28" x14ac:dyDescent="0.25">
      <c r="A45" s="3" t="s">
        <v>66</v>
      </c>
      <c r="B45" s="5">
        <f>66140.47</f>
        <v>66140.47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5">
        <f t="shared" si="6"/>
        <v>66140.47</v>
      </c>
    </row>
    <row r="46" spans="1:28" x14ac:dyDescent="0.25">
      <c r="A46" s="3" t="s">
        <v>67</v>
      </c>
      <c r="B46" s="4"/>
      <c r="C46" s="4"/>
      <c r="D46" s="4"/>
      <c r="E46" s="5">
        <f>5503.01</f>
        <v>5503.01</v>
      </c>
      <c r="F46" s="4"/>
      <c r="G46" s="5">
        <f>789</f>
        <v>789</v>
      </c>
      <c r="H46" s="4"/>
      <c r="I46" s="4"/>
      <c r="J46" s="5">
        <f>273.75</f>
        <v>273.75</v>
      </c>
      <c r="K46" s="5">
        <f>7540.75</f>
        <v>7540.75</v>
      </c>
      <c r="L46" s="5">
        <f>572.7</f>
        <v>572.70000000000005</v>
      </c>
      <c r="M46" s="4"/>
      <c r="N46" s="5">
        <f>2216.17</f>
        <v>2216.17</v>
      </c>
      <c r="O46" s="5">
        <f>884.12</f>
        <v>884.12</v>
      </c>
      <c r="P46" s="4"/>
      <c r="Q46" s="4"/>
      <c r="R46" s="4"/>
      <c r="S46" s="5">
        <f>730.32</f>
        <v>730.32</v>
      </c>
      <c r="T46" s="4"/>
      <c r="U46" s="4"/>
      <c r="V46" s="4"/>
      <c r="W46" s="5">
        <f>3809.25</f>
        <v>3809.25</v>
      </c>
      <c r="X46" s="4"/>
      <c r="Y46" s="5">
        <f>5075.22</f>
        <v>5075.22</v>
      </c>
      <c r="Z46" s="4"/>
      <c r="AA46" s="5">
        <f>0</f>
        <v>0</v>
      </c>
      <c r="AB46" s="5">
        <f t="shared" si="6"/>
        <v>27394.29</v>
      </c>
    </row>
    <row r="47" spans="1:28" x14ac:dyDescent="0.25">
      <c r="A47" s="3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5">
        <f>28.56</f>
        <v>28.56</v>
      </c>
      <c r="M47" s="5">
        <f>36</f>
        <v>36</v>
      </c>
      <c r="N47" s="5">
        <f>16</f>
        <v>16</v>
      </c>
      <c r="O47" s="5">
        <f>50</f>
        <v>50</v>
      </c>
      <c r="P47" s="4"/>
      <c r="Q47" s="4"/>
      <c r="R47" s="5">
        <f>268.4</f>
        <v>268.39999999999998</v>
      </c>
      <c r="S47" s="5">
        <f>28.24</f>
        <v>28.24</v>
      </c>
      <c r="T47" s="4"/>
      <c r="U47" s="4"/>
      <c r="V47" s="4"/>
      <c r="W47" s="5">
        <f>212.8</f>
        <v>212.8</v>
      </c>
      <c r="X47" s="5">
        <f>0</f>
        <v>0</v>
      </c>
      <c r="Y47" s="5">
        <f>290.64</f>
        <v>290.64</v>
      </c>
      <c r="Z47" s="5">
        <f>40</f>
        <v>40</v>
      </c>
      <c r="AA47" s="5">
        <f>0</f>
        <v>0</v>
      </c>
      <c r="AB47" s="5">
        <f t="shared" si="6"/>
        <v>970.64</v>
      </c>
    </row>
    <row r="48" spans="1:28" x14ac:dyDescent="0.25">
      <c r="A48" s="3" t="s">
        <v>69</v>
      </c>
      <c r="B48" s="6">
        <f t="shared" ref="B48:AA48" si="8">(((((((((((B36)+(B37))+(B38))+(B39))+(B40))+(B41))+(B42))+(B43))+(B44))+(B45))+(B46))+(B47)</f>
        <v>117939.28</v>
      </c>
      <c r="C48" s="6">
        <f t="shared" si="8"/>
        <v>0</v>
      </c>
      <c r="D48" s="6">
        <f t="shared" si="8"/>
        <v>0</v>
      </c>
      <c r="E48" s="6">
        <f t="shared" si="8"/>
        <v>56963.47</v>
      </c>
      <c r="F48" s="6">
        <f t="shared" si="8"/>
        <v>0</v>
      </c>
      <c r="G48" s="6">
        <f t="shared" si="8"/>
        <v>11010.09</v>
      </c>
      <c r="H48" s="6">
        <f t="shared" si="8"/>
        <v>0</v>
      </c>
      <c r="I48" s="6">
        <f t="shared" si="8"/>
        <v>0</v>
      </c>
      <c r="J48" s="6">
        <f t="shared" si="8"/>
        <v>1486.05</v>
      </c>
      <c r="K48" s="6">
        <f t="shared" si="8"/>
        <v>28607.93</v>
      </c>
      <c r="L48" s="6">
        <f t="shared" si="8"/>
        <v>11246.69</v>
      </c>
      <c r="M48" s="6">
        <f t="shared" si="8"/>
        <v>58648.039999999994</v>
      </c>
      <c r="N48" s="6">
        <f t="shared" si="8"/>
        <v>32841.370000000003</v>
      </c>
      <c r="O48" s="6">
        <f t="shared" si="8"/>
        <v>16013.67</v>
      </c>
      <c r="P48" s="6">
        <f t="shared" si="8"/>
        <v>2027.1999999999998</v>
      </c>
      <c r="Q48" s="6">
        <f t="shared" si="8"/>
        <v>0</v>
      </c>
      <c r="R48" s="6">
        <f t="shared" si="8"/>
        <v>83879.89</v>
      </c>
      <c r="S48" s="6">
        <f t="shared" si="8"/>
        <v>9855.14</v>
      </c>
      <c r="T48" s="6">
        <f t="shared" si="8"/>
        <v>0</v>
      </c>
      <c r="U48" s="6">
        <f t="shared" si="8"/>
        <v>0</v>
      </c>
      <c r="V48" s="6">
        <f t="shared" si="8"/>
        <v>0</v>
      </c>
      <c r="W48" s="6">
        <f t="shared" si="8"/>
        <v>71089.569999999992</v>
      </c>
      <c r="X48" s="6">
        <f t="shared" si="8"/>
        <v>0</v>
      </c>
      <c r="Y48" s="6">
        <f t="shared" si="8"/>
        <v>82319.37000000001</v>
      </c>
      <c r="Z48" s="6">
        <f t="shared" si="8"/>
        <v>8330.5</v>
      </c>
      <c r="AA48" s="6">
        <f t="shared" si="8"/>
        <v>0</v>
      </c>
      <c r="AB48" s="6">
        <f t="shared" si="6"/>
        <v>592258.26</v>
      </c>
    </row>
    <row r="49" spans="1:28" x14ac:dyDescent="0.25">
      <c r="A49" s="3" t="s">
        <v>70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5">
        <f t="shared" si="6"/>
        <v>0</v>
      </c>
    </row>
    <row r="50" spans="1:28" x14ac:dyDescent="0.25">
      <c r="A50" s="3" t="s">
        <v>71</v>
      </c>
      <c r="B50" s="5">
        <f>4404.03</f>
        <v>4404.03</v>
      </c>
      <c r="C50" s="4"/>
      <c r="D50" s="4"/>
      <c r="E50" s="5">
        <f>1515</f>
        <v>1515</v>
      </c>
      <c r="F50" s="4"/>
      <c r="G50" s="4"/>
      <c r="H50" s="4"/>
      <c r="I50" s="5">
        <f>19.2</f>
        <v>19.2</v>
      </c>
      <c r="J50" s="4"/>
      <c r="K50" s="5">
        <f>64</f>
        <v>64</v>
      </c>
      <c r="L50" s="4"/>
      <c r="M50" s="4"/>
      <c r="N50" s="5">
        <f>64</f>
        <v>64</v>
      </c>
      <c r="O50" s="4"/>
      <c r="P50" s="4"/>
      <c r="Q50" s="4"/>
      <c r="R50" s="5">
        <f>125</f>
        <v>125</v>
      </c>
      <c r="S50" s="4"/>
      <c r="T50" s="4"/>
      <c r="U50" s="4"/>
      <c r="V50" s="4"/>
      <c r="W50" s="4"/>
      <c r="X50" s="4"/>
      <c r="Y50" s="5">
        <f>21</f>
        <v>21</v>
      </c>
      <c r="Z50" s="4"/>
      <c r="AA50" s="4"/>
      <c r="AB50" s="5">
        <f t="shared" si="6"/>
        <v>6212.23</v>
      </c>
    </row>
    <row r="51" spans="1:28" x14ac:dyDescent="0.25">
      <c r="A51" s="3" t="s">
        <v>72</v>
      </c>
      <c r="B51" s="5">
        <f>25100</f>
        <v>25100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5">
        <f t="shared" si="6"/>
        <v>25100</v>
      </c>
    </row>
    <row r="52" spans="1:28" x14ac:dyDescent="0.25">
      <c r="A52" s="3" t="s">
        <v>73</v>
      </c>
      <c r="B52" s="5">
        <f>4498.33</f>
        <v>4498.33</v>
      </c>
      <c r="C52" s="4"/>
      <c r="D52" s="4"/>
      <c r="E52" s="5">
        <f>3485.12</f>
        <v>3485.12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5">
        <f t="shared" si="6"/>
        <v>7983.45</v>
      </c>
    </row>
    <row r="53" spans="1:28" x14ac:dyDescent="0.25">
      <c r="A53" s="3" t="s">
        <v>74</v>
      </c>
      <c r="B53" s="5">
        <f>3156.24</f>
        <v>3156.24</v>
      </c>
      <c r="C53" s="4"/>
      <c r="D53" s="4"/>
      <c r="E53" s="5">
        <f>5582.39</f>
        <v>5582.39</v>
      </c>
      <c r="F53" s="4"/>
      <c r="G53" s="4"/>
      <c r="H53" s="5">
        <f>16425.17</f>
        <v>16425.169999999998</v>
      </c>
      <c r="I53" s="4"/>
      <c r="J53" s="5">
        <f>96.8</f>
        <v>96.8</v>
      </c>
      <c r="K53" s="4"/>
      <c r="L53" s="5">
        <f>5858.08</f>
        <v>5858.08</v>
      </c>
      <c r="M53" s="4"/>
      <c r="N53" s="4"/>
      <c r="O53" s="4"/>
      <c r="P53" s="4"/>
      <c r="Q53" s="5">
        <f>2960.25</f>
        <v>2960.25</v>
      </c>
      <c r="R53" s="5">
        <f>2397.91</f>
        <v>2397.91</v>
      </c>
      <c r="S53" s="5">
        <f>77.44</f>
        <v>77.44</v>
      </c>
      <c r="T53" s="4"/>
      <c r="U53" s="4"/>
      <c r="V53" s="4"/>
      <c r="W53" s="5">
        <f>387.2</f>
        <v>387.2</v>
      </c>
      <c r="X53" s="4"/>
      <c r="Y53" s="5">
        <f>484</f>
        <v>484</v>
      </c>
      <c r="Z53" s="4"/>
      <c r="AA53" s="4"/>
      <c r="AB53" s="5">
        <f t="shared" si="6"/>
        <v>37425.479999999996</v>
      </c>
    </row>
    <row r="54" spans="1:28" x14ac:dyDescent="0.25">
      <c r="A54" s="3" t="s">
        <v>75</v>
      </c>
      <c r="B54" s="6">
        <f t="shared" ref="B54:AA54" si="9">((((B49)+(B50))+(B51))+(B52))+(B53)</f>
        <v>37158.6</v>
      </c>
      <c r="C54" s="6">
        <f t="shared" si="9"/>
        <v>0</v>
      </c>
      <c r="D54" s="6">
        <f t="shared" si="9"/>
        <v>0</v>
      </c>
      <c r="E54" s="6">
        <f t="shared" si="9"/>
        <v>10582.51</v>
      </c>
      <c r="F54" s="6">
        <f t="shared" si="9"/>
        <v>0</v>
      </c>
      <c r="G54" s="6">
        <f t="shared" si="9"/>
        <v>0</v>
      </c>
      <c r="H54" s="6">
        <f t="shared" si="9"/>
        <v>16425.169999999998</v>
      </c>
      <c r="I54" s="6">
        <f t="shared" si="9"/>
        <v>19.2</v>
      </c>
      <c r="J54" s="6">
        <f t="shared" si="9"/>
        <v>96.8</v>
      </c>
      <c r="K54" s="6">
        <f t="shared" si="9"/>
        <v>64</v>
      </c>
      <c r="L54" s="6">
        <f t="shared" si="9"/>
        <v>5858.08</v>
      </c>
      <c r="M54" s="6">
        <f t="shared" si="9"/>
        <v>0</v>
      </c>
      <c r="N54" s="6">
        <f t="shared" si="9"/>
        <v>64</v>
      </c>
      <c r="O54" s="6">
        <f t="shared" si="9"/>
        <v>0</v>
      </c>
      <c r="P54" s="6">
        <f t="shared" si="9"/>
        <v>0</v>
      </c>
      <c r="Q54" s="6">
        <f t="shared" si="9"/>
        <v>2960.25</v>
      </c>
      <c r="R54" s="6">
        <f t="shared" si="9"/>
        <v>2522.91</v>
      </c>
      <c r="S54" s="6">
        <f t="shared" si="9"/>
        <v>77.44</v>
      </c>
      <c r="T54" s="6">
        <f t="shared" si="9"/>
        <v>0</v>
      </c>
      <c r="U54" s="6">
        <f t="shared" si="9"/>
        <v>0</v>
      </c>
      <c r="V54" s="6">
        <f t="shared" si="9"/>
        <v>0</v>
      </c>
      <c r="W54" s="6">
        <f t="shared" si="9"/>
        <v>387.2</v>
      </c>
      <c r="X54" s="6">
        <f t="shared" si="9"/>
        <v>0</v>
      </c>
      <c r="Y54" s="6">
        <f t="shared" si="9"/>
        <v>505</v>
      </c>
      <c r="Z54" s="6">
        <f t="shared" si="9"/>
        <v>0</v>
      </c>
      <c r="AA54" s="6">
        <f t="shared" si="9"/>
        <v>0</v>
      </c>
      <c r="AB54" s="6">
        <f t="shared" si="6"/>
        <v>76721.16</v>
      </c>
    </row>
    <row r="55" spans="1:28" x14ac:dyDescent="0.25">
      <c r="A55" s="3" t="s">
        <v>76</v>
      </c>
      <c r="B55" s="5">
        <f>22086.52</f>
        <v>22086.52</v>
      </c>
      <c r="C55" s="4"/>
      <c r="D55" s="4"/>
      <c r="E55" s="5">
        <f>19997.4</f>
        <v>19997.400000000001</v>
      </c>
      <c r="F55" s="4"/>
      <c r="G55" s="4"/>
      <c r="H55" s="5">
        <f>83477.57</f>
        <v>83477.570000000007</v>
      </c>
      <c r="I55" s="4"/>
      <c r="J55" s="4"/>
      <c r="K55" s="4"/>
      <c r="L55" s="5">
        <f>65373.68</f>
        <v>65373.68</v>
      </c>
      <c r="M55" s="4"/>
      <c r="N55" s="4"/>
      <c r="O55" s="4"/>
      <c r="P55" s="4"/>
      <c r="Q55" s="4"/>
      <c r="R55" s="4"/>
      <c r="S55" s="5">
        <f>0</f>
        <v>0</v>
      </c>
      <c r="T55" s="4"/>
      <c r="U55" s="4"/>
      <c r="V55" s="4"/>
      <c r="W55" s="5">
        <f>17900</f>
        <v>17900</v>
      </c>
      <c r="X55" s="4"/>
      <c r="Y55" s="5">
        <f>16850</f>
        <v>16850</v>
      </c>
      <c r="Z55" s="4"/>
      <c r="AA55" s="4"/>
      <c r="AB55" s="5">
        <f t="shared" si="6"/>
        <v>225685.17</v>
      </c>
    </row>
    <row r="56" spans="1:28" x14ac:dyDescent="0.25">
      <c r="A56" s="3" t="s">
        <v>77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5">
        <f t="shared" si="6"/>
        <v>0</v>
      </c>
    </row>
    <row r="57" spans="1:28" x14ac:dyDescent="0.25">
      <c r="A57" s="3" t="s">
        <v>78</v>
      </c>
      <c r="B57" s="5">
        <f>94.49</f>
        <v>94.49</v>
      </c>
      <c r="C57" s="4"/>
      <c r="D57" s="4"/>
      <c r="E57" s="5">
        <f>191.83</f>
        <v>191.83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5">
        <f t="shared" si="6"/>
        <v>286.32</v>
      </c>
    </row>
    <row r="58" spans="1:28" x14ac:dyDescent="0.25">
      <c r="A58" s="3" t="s">
        <v>79</v>
      </c>
      <c r="B58" s="5">
        <f>1740.75</f>
        <v>1740.75</v>
      </c>
      <c r="C58" s="4"/>
      <c r="D58" s="4"/>
      <c r="E58" s="5">
        <f>3534.25</f>
        <v>3534.25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5">
        <f t="shared" si="6"/>
        <v>5275</v>
      </c>
    </row>
    <row r="59" spans="1:28" x14ac:dyDescent="0.25">
      <c r="A59" s="3" t="s">
        <v>80</v>
      </c>
      <c r="B59" s="5">
        <f>1113.92</f>
        <v>1113.92</v>
      </c>
      <c r="C59" s="4"/>
      <c r="D59" s="4"/>
      <c r="E59" s="5">
        <f>2261.6</f>
        <v>2261.6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5">
        <f t="shared" si="6"/>
        <v>3375.52</v>
      </c>
    </row>
    <row r="60" spans="1:28" x14ac:dyDescent="0.25">
      <c r="A60" s="3" t="s">
        <v>81</v>
      </c>
      <c r="B60" s="5">
        <f>28003.3</f>
        <v>28003.3</v>
      </c>
      <c r="C60" s="4"/>
      <c r="D60" s="4"/>
      <c r="E60" s="5">
        <f>18498.86</f>
        <v>18498.86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5">
        <f t="shared" si="6"/>
        <v>46502.16</v>
      </c>
    </row>
    <row r="61" spans="1:28" x14ac:dyDescent="0.25">
      <c r="A61" s="3" t="s">
        <v>82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5">
        <f>40000</f>
        <v>40000</v>
      </c>
      <c r="S61" s="4"/>
      <c r="T61" s="4"/>
      <c r="U61" s="4"/>
      <c r="V61" s="4"/>
      <c r="W61" s="4"/>
      <c r="X61" s="4"/>
      <c r="Y61" s="4"/>
      <c r="Z61" s="4"/>
      <c r="AA61" s="4"/>
      <c r="AB61" s="5">
        <f t="shared" si="6"/>
        <v>40000</v>
      </c>
    </row>
    <row r="62" spans="1:28" x14ac:dyDescent="0.25">
      <c r="A62" s="3" t="s">
        <v>83</v>
      </c>
      <c r="B62" s="5">
        <f>9962.7</f>
        <v>9962.7000000000007</v>
      </c>
      <c r="C62" s="4"/>
      <c r="D62" s="4"/>
      <c r="E62" s="5">
        <f>20227.3</f>
        <v>20227.3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5">
        <f t="shared" si="6"/>
        <v>30190</v>
      </c>
    </row>
    <row r="63" spans="1:28" x14ac:dyDescent="0.25">
      <c r="A63" s="3" t="s">
        <v>84</v>
      </c>
      <c r="B63" s="5">
        <f>2644.6</f>
        <v>2644.6</v>
      </c>
      <c r="C63" s="4"/>
      <c r="D63" s="4"/>
      <c r="E63" s="5">
        <f>1166.21</f>
        <v>1166.21</v>
      </c>
      <c r="F63" s="4"/>
      <c r="G63" s="4"/>
      <c r="H63" s="5">
        <f>7500</f>
        <v>7500</v>
      </c>
      <c r="I63" s="4"/>
      <c r="J63" s="4"/>
      <c r="K63" s="4"/>
      <c r="L63" s="5">
        <f>56.7</f>
        <v>56.7</v>
      </c>
      <c r="M63" s="4"/>
      <c r="N63" s="4"/>
      <c r="O63" s="4"/>
      <c r="P63" s="4"/>
      <c r="Q63" s="5">
        <f>696.6</f>
        <v>696.6</v>
      </c>
      <c r="R63" s="5">
        <f>510.3</f>
        <v>510.3</v>
      </c>
      <c r="S63" s="5">
        <f>56.7</f>
        <v>56.7</v>
      </c>
      <c r="T63" s="4"/>
      <c r="U63" s="4"/>
      <c r="V63" s="4"/>
      <c r="W63" s="5">
        <f>378</f>
        <v>378</v>
      </c>
      <c r="X63" s="4"/>
      <c r="Y63" s="5">
        <f>472.5</f>
        <v>472.5</v>
      </c>
      <c r="Z63" s="4"/>
      <c r="AA63" s="4"/>
      <c r="AB63" s="5">
        <f t="shared" si="6"/>
        <v>13481.61</v>
      </c>
    </row>
    <row r="64" spans="1:28" x14ac:dyDescent="0.25">
      <c r="A64" s="3" t="s">
        <v>85</v>
      </c>
      <c r="B64" s="4"/>
      <c r="C64" s="4"/>
      <c r="D64" s="4"/>
      <c r="E64" s="5">
        <f>0</f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5">
        <f t="shared" ref="AB64:AB95" si="10">(((((((((((((((((((((((((B64)+(C64))+(D64))+(E64))+(F64))+(G64))+(H64))+(I64))+(J64))+(K64))+(L64))+(M64))+(N64))+(O64))+(P64))+(Q64))+(R64))+(S64))+(T64))+(U64))+(V64))+(W64))+(X64))+(Y64))+(Z64))+(AA64)</f>
        <v>0</v>
      </c>
    </row>
    <row r="65" spans="1:28" x14ac:dyDescent="0.25">
      <c r="A65" s="3" t="s">
        <v>86</v>
      </c>
      <c r="B65" s="4"/>
      <c r="C65" s="4"/>
      <c r="D65" s="4"/>
      <c r="E65" s="4"/>
      <c r="F65" s="4"/>
      <c r="G65" s="4"/>
      <c r="H65" s="5">
        <f>8727.25</f>
        <v>8727.25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5">
        <f t="shared" si="10"/>
        <v>8727.25</v>
      </c>
    </row>
    <row r="66" spans="1:28" x14ac:dyDescent="0.25">
      <c r="A66" s="3" t="s">
        <v>87</v>
      </c>
      <c r="B66" s="6">
        <f t="shared" ref="B66:AA66" si="11">(((((((((B56)+(B57))+(B58))+(B59))+(B60))+(B61))+(B62))+(B63))+(B64))+(B65)</f>
        <v>43559.76</v>
      </c>
      <c r="C66" s="6">
        <f t="shared" si="11"/>
        <v>0</v>
      </c>
      <c r="D66" s="6">
        <f t="shared" si="11"/>
        <v>0</v>
      </c>
      <c r="E66" s="6">
        <f t="shared" si="11"/>
        <v>45880.049999999996</v>
      </c>
      <c r="F66" s="6">
        <f t="shared" si="11"/>
        <v>0</v>
      </c>
      <c r="G66" s="6">
        <f t="shared" si="11"/>
        <v>0</v>
      </c>
      <c r="H66" s="6">
        <f t="shared" si="11"/>
        <v>16227.25</v>
      </c>
      <c r="I66" s="6">
        <f t="shared" si="11"/>
        <v>0</v>
      </c>
      <c r="J66" s="6">
        <f t="shared" si="11"/>
        <v>0</v>
      </c>
      <c r="K66" s="6">
        <f t="shared" si="11"/>
        <v>0</v>
      </c>
      <c r="L66" s="6">
        <f t="shared" si="11"/>
        <v>56.7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0</v>
      </c>
      <c r="Q66" s="6">
        <f t="shared" si="11"/>
        <v>696.6</v>
      </c>
      <c r="R66" s="6">
        <f t="shared" si="11"/>
        <v>40510.300000000003</v>
      </c>
      <c r="S66" s="6">
        <f t="shared" si="11"/>
        <v>56.7</v>
      </c>
      <c r="T66" s="6">
        <f t="shared" si="11"/>
        <v>0</v>
      </c>
      <c r="U66" s="6">
        <f t="shared" si="11"/>
        <v>0</v>
      </c>
      <c r="V66" s="6">
        <f t="shared" si="11"/>
        <v>0</v>
      </c>
      <c r="W66" s="6">
        <f t="shared" si="11"/>
        <v>378</v>
      </c>
      <c r="X66" s="6">
        <f t="shared" si="11"/>
        <v>0</v>
      </c>
      <c r="Y66" s="6">
        <f t="shared" si="11"/>
        <v>472.5</v>
      </c>
      <c r="Z66" s="6">
        <f t="shared" si="11"/>
        <v>0</v>
      </c>
      <c r="AA66" s="6">
        <f t="shared" si="11"/>
        <v>0</v>
      </c>
      <c r="AB66" s="6">
        <f t="shared" si="10"/>
        <v>147837.86000000002</v>
      </c>
    </row>
    <row r="67" spans="1:28" x14ac:dyDescent="0.25">
      <c r="A67" s="3" t="s">
        <v>88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5">
        <f t="shared" si="10"/>
        <v>0</v>
      </c>
    </row>
    <row r="68" spans="1:28" x14ac:dyDescent="0.25">
      <c r="A68" s="3" t="s">
        <v>89</v>
      </c>
      <c r="B68" s="5">
        <f>42343.22</f>
        <v>42343.22</v>
      </c>
      <c r="C68" s="4"/>
      <c r="D68" s="4"/>
      <c r="E68" s="5">
        <f>35852.5</f>
        <v>35852.5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5">
        <f t="shared" si="10"/>
        <v>78195.72</v>
      </c>
    </row>
    <row r="69" spans="1:28" x14ac:dyDescent="0.25">
      <c r="A69" s="3" t="s">
        <v>90</v>
      </c>
      <c r="B69" s="5">
        <f>23782</f>
        <v>23782</v>
      </c>
      <c r="C69" s="4"/>
      <c r="D69" s="4"/>
      <c r="E69" s="5">
        <f>23911</f>
        <v>23911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5">
        <f t="shared" si="10"/>
        <v>47693</v>
      </c>
    </row>
    <row r="70" spans="1:28" x14ac:dyDescent="0.25">
      <c r="A70" s="3" t="s">
        <v>91</v>
      </c>
      <c r="B70" s="6">
        <f t="shared" ref="B70:AA70" si="12">((B67)+(B68))+(B69)</f>
        <v>66125.22</v>
      </c>
      <c r="C70" s="6">
        <f t="shared" si="12"/>
        <v>0</v>
      </c>
      <c r="D70" s="6">
        <f t="shared" si="12"/>
        <v>0</v>
      </c>
      <c r="E70" s="6">
        <f t="shared" si="12"/>
        <v>59763.5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0"/>
        <v>125888.72</v>
      </c>
    </row>
    <row r="71" spans="1:28" x14ac:dyDescent="0.25">
      <c r="A71" s="3" t="s">
        <v>92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5">
        <f t="shared" si="10"/>
        <v>0</v>
      </c>
    </row>
    <row r="72" spans="1:28" x14ac:dyDescent="0.25">
      <c r="A72" s="3" t="s">
        <v>93</v>
      </c>
      <c r="B72" s="5">
        <f>317.22</f>
        <v>317.22000000000003</v>
      </c>
      <c r="C72" s="4"/>
      <c r="D72" s="4"/>
      <c r="E72" s="5">
        <f>222.04</f>
        <v>222.04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5">
        <f>47.58</f>
        <v>47.58</v>
      </c>
      <c r="R72" s="5">
        <f>47.58</f>
        <v>47.58</v>
      </c>
      <c r="S72" s="4"/>
      <c r="T72" s="4"/>
      <c r="U72" s="4"/>
      <c r="V72" s="4"/>
      <c r="W72" s="4"/>
      <c r="X72" s="4"/>
      <c r="Y72" s="4"/>
      <c r="Z72" s="4"/>
      <c r="AA72" s="4"/>
      <c r="AB72" s="5">
        <f t="shared" si="10"/>
        <v>634.42000000000007</v>
      </c>
    </row>
    <row r="73" spans="1:28" x14ac:dyDescent="0.25">
      <c r="A73" s="3" t="s">
        <v>94</v>
      </c>
      <c r="B73" s="5">
        <f>150</f>
        <v>150</v>
      </c>
      <c r="C73" s="4"/>
      <c r="D73" s="4"/>
      <c r="E73" s="5">
        <f>60</f>
        <v>60</v>
      </c>
      <c r="F73" s="4"/>
      <c r="G73" s="4"/>
      <c r="H73" s="4"/>
      <c r="I73" s="4"/>
      <c r="J73" s="4"/>
      <c r="K73" s="4"/>
      <c r="L73" s="5">
        <f>87.05</f>
        <v>87.05</v>
      </c>
      <c r="M73" s="4"/>
      <c r="N73" s="4"/>
      <c r="O73" s="4"/>
      <c r="P73" s="4"/>
      <c r="Q73" s="5">
        <f>90</f>
        <v>90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5">
        <f t="shared" si="10"/>
        <v>387.05</v>
      </c>
    </row>
    <row r="74" spans="1:28" x14ac:dyDescent="0.25">
      <c r="A74" s="3" t="s">
        <v>95</v>
      </c>
      <c r="B74" s="5">
        <f>3873.28</f>
        <v>3873.28</v>
      </c>
      <c r="C74" s="4"/>
      <c r="D74" s="4"/>
      <c r="E74" s="5">
        <f>2386.25</f>
        <v>2386.25</v>
      </c>
      <c r="F74" s="4"/>
      <c r="G74" s="4"/>
      <c r="H74" s="4"/>
      <c r="I74" s="4"/>
      <c r="J74" s="4"/>
      <c r="K74" s="4"/>
      <c r="L74" s="5">
        <f>68.41</f>
        <v>68.41</v>
      </c>
      <c r="M74" s="4"/>
      <c r="N74" s="4"/>
      <c r="O74" s="4"/>
      <c r="P74" s="4"/>
      <c r="Q74" s="5">
        <f>930.98</f>
        <v>930.98</v>
      </c>
      <c r="R74" s="5">
        <f>1314.14</f>
        <v>1314.14</v>
      </c>
      <c r="S74" s="5">
        <f>183.02</f>
        <v>183.02</v>
      </c>
      <c r="T74" s="4"/>
      <c r="U74" s="4"/>
      <c r="V74" s="4"/>
      <c r="W74" s="5">
        <f>1356.17</f>
        <v>1356.17</v>
      </c>
      <c r="X74" s="4"/>
      <c r="Y74" s="5">
        <f>1892.85</f>
        <v>1892.85</v>
      </c>
      <c r="Z74" s="4"/>
      <c r="AA74" s="4"/>
      <c r="AB74" s="5">
        <f t="shared" si="10"/>
        <v>12005.1</v>
      </c>
    </row>
    <row r="75" spans="1:28" x14ac:dyDescent="0.25">
      <c r="A75" s="3" t="s">
        <v>96</v>
      </c>
      <c r="B75" s="5">
        <f>285.75</f>
        <v>285.75</v>
      </c>
      <c r="C75" s="4"/>
      <c r="D75" s="4"/>
      <c r="E75" s="5">
        <f>1669.03</f>
        <v>1669.03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5">
        <f>3687.22</f>
        <v>3687.22</v>
      </c>
      <c r="R75" s="5">
        <f>168.91</f>
        <v>168.91</v>
      </c>
      <c r="S75" s="4"/>
      <c r="T75" s="4"/>
      <c r="U75" s="4"/>
      <c r="V75" s="4"/>
      <c r="W75" s="5">
        <f>1109.55</f>
        <v>1109.55</v>
      </c>
      <c r="X75" s="4"/>
      <c r="Y75" s="5">
        <f>1109.56</f>
        <v>1109.56</v>
      </c>
      <c r="Z75" s="4"/>
      <c r="AA75" s="4"/>
      <c r="AB75" s="5">
        <f t="shared" si="10"/>
        <v>8030.02</v>
      </c>
    </row>
    <row r="76" spans="1:28" x14ac:dyDescent="0.25">
      <c r="A76" s="3" t="s">
        <v>97</v>
      </c>
      <c r="B76" s="5">
        <f>16626.94</f>
        <v>16626.939999999999</v>
      </c>
      <c r="C76" s="4"/>
      <c r="D76" s="4"/>
      <c r="E76" s="5">
        <f>1954.68</f>
        <v>1954.68</v>
      </c>
      <c r="F76" s="4"/>
      <c r="G76" s="4"/>
      <c r="H76" s="5">
        <f>8200.39</f>
        <v>8200.39</v>
      </c>
      <c r="I76" s="5">
        <f>3076.28</f>
        <v>3076.28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5">
        <f>435.57</f>
        <v>435.57</v>
      </c>
      <c r="U76" s="4"/>
      <c r="V76" s="4"/>
      <c r="W76" s="4"/>
      <c r="X76" s="4"/>
      <c r="Y76" s="4"/>
      <c r="Z76" s="4"/>
      <c r="AA76" s="4"/>
      <c r="AB76" s="5">
        <f t="shared" si="10"/>
        <v>30293.859999999997</v>
      </c>
    </row>
    <row r="77" spans="1:28" x14ac:dyDescent="0.25">
      <c r="A77" s="3" t="s">
        <v>98</v>
      </c>
      <c r="B77" s="5">
        <f>26878.64</f>
        <v>26878.639999999999</v>
      </c>
      <c r="C77" s="5">
        <f>136.95</f>
        <v>136.94999999999999</v>
      </c>
      <c r="D77" s="5">
        <f>3137.45</f>
        <v>3137.45</v>
      </c>
      <c r="E77" s="5">
        <f>7654.21</f>
        <v>7654.21</v>
      </c>
      <c r="F77" s="5">
        <f>0</f>
        <v>0</v>
      </c>
      <c r="G77" s="4"/>
      <c r="H77" s="5">
        <f>13908.95</f>
        <v>13908.95</v>
      </c>
      <c r="I77" s="5">
        <f>383.57</f>
        <v>383.57</v>
      </c>
      <c r="J77" s="4"/>
      <c r="K77" s="4"/>
      <c r="L77" s="5">
        <f>83209.05</f>
        <v>83209.05</v>
      </c>
      <c r="M77" s="4"/>
      <c r="N77" s="4"/>
      <c r="O77" s="4"/>
      <c r="P77" s="4"/>
      <c r="Q77" s="5">
        <f>18059.54</f>
        <v>18059.54</v>
      </c>
      <c r="R77" s="5">
        <f>5074.12</f>
        <v>5074.12</v>
      </c>
      <c r="S77" s="5">
        <f>18560.54</f>
        <v>18560.54</v>
      </c>
      <c r="T77" s="4"/>
      <c r="U77" s="5">
        <f>-62</f>
        <v>-62</v>
      </c>
      <c r="V77" s="5">
        <f>1058.01</f>
        <v>1058.01</v>
      </c>
      <c r="W77" s="5">
        <f>19372.95</f>
        <v>19372.95</v>
      </c>
      <c r="X77" s="4"/>
      <c r="Y77" s="5">
        <f>24864.58</f>
        <v>24864.58</v>
      </c>
      <c r="Z77" s="5">
        <f>1197.96</f>
        <v>1197.96</v>
      </c>
      <c r="AA77" s="4"/>
      <c r="AB77" s="5">
        <f t="shared" si="10"/>
        <v>223434.52000000005</v>
      </c>
    </row>
    <row r="78" spans="1:28" x14ac:dyDescent="0.25">
      <c r="A78" s="3" t="s">
        <v>99</v>
      </c>
      <c r="B78" s="5">
        <f>2178.04</f>
        <v>2178.04</v>
      </c>
      <c r="C78" s="4"/>
      <c r="D78" s="4"/>
      <c r="E78" s="5">
        <f>2934.21</f>
        <v>2934.21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5">
        <f t="shared" si="10"/>
        <v>5112.25</v>
      </c>
    </row>
    <row r="79" spans="1:28" x14ac:dyDescent="0.25">
      <c r="A79" s="3" t="s">
        <v>100</v>
      </c>
      <c r="B79" s="6">
        <f t="shared" ref="B79:AA79" si="13">(((((((B71)+(B72))+(B73))+(B74))+(B75))+(B76))+(B77))+(B78)</f>
        <v>50309.87</v>
      </c>
      <c r="C79" s="6">
        <f t="shared" si="13"/>
        <v>136.94999999999999</v>
      </c>
      <c r="D79" s="6">
        <f t="shared" si="13"/>
        <v>3137.45</v>
      </c>
      <c r="E79" s="6">
        <f t="shared" si="13"/>
        <v>16880.419999999998</v>
      </c>
      <c r="F79" s="6">
        <f t="shared" si="13"/>
        <v>0</v>
      </c>
      <c r="G79" s="6">
        <f t="shared" si="13"/>
        <v>0</v>
      </c>
      <c r="H79" s="6">
        <f t="shared" si="13"/>
        <v>22109.34</v>
      </c>
      <c r="I79" s="6">
        <f t="shared" si="13"/>
        <v>3459.8500000000004</v>
      </c>
      <c r="J79" s="6">
        <f t="shared" si="13"/>
        <v>0</v>
      </c>
      <c r="K79" s="6">
        <f t="shared" si="13"/>
        <v>0</v>
      </c>
      <c r="L79" s="6">
        <f t="shared" si="13"/>
        <v>83364.510000000009</v>
      </c>
      <c r="M79" s="6">
        <f t="shared" si="13"/>
        <v>0</v>
      </c>
      <c r="N79" s="6">
        <f t="shared" si="13"/>
        <v>0</v>
      </c>
      <c r="O79" s="6">
        <f t="shared" si="13"/>
        <v>0</v>
      </c>
      <c r="P79" s="6">
        <f t="shared" si="13"/>
        <v>0</v>
      </c>
      <c r="Q79" s="6">
        <f t="shared" si="13"/>
        <v>22815.32</v>
      </c>
      <c r="R79" s="6">
        <f t="shared" si="13"/>
        <v>6604.75</v>
      </c>
      <c r="S79" s="6">
        <f t="shared" si="13"/>
        <v>18743.560000000001</v>
      </c>
      <c r="T79" s="6">
        <f t="shared" si="13"/>
        <v>435.57</v>
      </c>
      <c r="U79" s="6">
        <f t="shared" si="13"/>
        <v>-62</v>
      </c>
      <c r="V79" s="6">
        <f t="shared" si="13"/>
        <v>1058.01</v>
      </c>
      <c r="W79" s="6">
        <f t="shared" si="13"/>
        <v>21838.670000000002</v>
      </c>
      <c r="X79" s="6">
        <f t="shared" si="13"/>
        <v>0</v>
      </c>
      <c r="Y79" s="6">
        <f t="shared" si="13"/>
        <v>27866.99</v>
      </c>
      <c r="Z79" s="6">
        <f t="shared" si="13"/>
        <v>1197.96</v>
      </c>
      <c r="AA79" s="6">
        <f t="shared" si="13"/>
        <v>0</v>
      </c>
      <c r="AB79" s="6">
        <f t="shared" si="10"/>
        <v>279897.22000000009</v>
      </c>
    </row>
    <row r="80" spans="1:28" x14ac:dyDescent="0.25">
      <c r="A80" s="3" t="s">
        <v>101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5">
        <f t="shared" si="10"/>
        <v>0</v>
      </c>
    </row>
    <row r="81" spans="1:28" x14ac:dyDescent="0.25">
      <c r="A81" s="3" t="s">
        <v>102</v>
      </c>
      <c r="B81" s="5">
        <f>1000</f>
        <v>1000</v>
      </c>
      <c r="C81" s="4"/>
      <c r="D81" s="4"/>
      <c r="E81" s="4"/>
      <c r="F81" s="4"/>
      <c r="G81" s="4"/>
      <c r="H81" s="5">
        <f>37080</f>
        <v>37080</v>
      </c>
      <c r="I81" s="4"/>
      <c r="J81" s="4"/>
      <c r="K81" s="5">
        <f>27075.52</f>
        <v>27075.52</v>
      </c>
      <c r="L81" s="5">
        <f>11000</f>
        <v>11000</v>
      </c>
      <c r="M81" s="4"/>
      <c r="N81" s="4"/>
      <c r="O81" s="4"/>
      <c r="P81" s="4"/>
      <c r="Q81" s="5">
        <f>7155</f>
        <v>7155</v>
      </c>
      <c r="R81" s="4"/>
      <c r="S81" s="5">
        <f>10000</f>
        <v>10000</v>
      </c>
      <c r="T81" s="4"/>
      <c r="U81" s="4"/>
      <c r="V81" s="4"/>
      <c r="W81" s="5">
        <f>83813.24</f>
        <v>83813.240000000005</v>
      </c>
      <c r="X81" s="4"/>
      <c r="Y81" s="5">
        <f>271208.2</f>
        <v>271208.2</v>
      </c>
      <c r="Z81" s="5">
        <f>5388</f>
        <v>5388</v>
      </c>
      <c r="AA81" s="4"/>
      <c r="AB81" s="5">
        <f t="shared" si="10"/>
        <v>453719.96</v>
      </c>
    </row>
    <row r="82" spans="1:28" x14ac:dyDescent="0.25">
      <c r="A82" s="3" t="s">
        <v>103</v>
      </c>
      <c r="B82" s="5">
        <f>11724.52</f>
        <v>11724.52</v>
      </c>
      <c r="C82" s="4"/>
      <c r="D82" s="4"/>
      <c r="E82" s="5">
        <f>290</f>
        <v>290</v>
      </c>
      <c r="F82" s="4"/>
      <c r="G82" s="4"/>
      <c r="H82" s="4"/>
      <c r="I82" s="4"/>
      <c r="J82" s="4"/>
      <c r="K82" s="4"/>
      <c r="L82" s="5">
        <f>12700</f>
        <v>12700</v>
      </c>
      <c r="M82" s="4"/>
      <c r="N82" s="4"/>
      <c r="O82" s="4"/>
      <c r="P82" s="4"/>
      <c r="Q82" s="5">
        <f>4690</f>
        <v>4690</v>
      </c>
      <c r="R82" s="5">
        <f>2051</f>
        <v>2051</v>
      </c>
      <c r="S82" s="5">
        <f>970</f>
        <v>970</v>
      </c>
      <c r="T82" s="4"/>
      <c r="U82" s="4"/>
      <c r="V82" s="4"/>
      <c r="W82" s="5">
        <f>2125</f>
        <v>2125</v>
      </c>
      <c r="X82" s="4"/>
      <c r="Y82" s="5">
        <f>6898.51</f>
        <v>6898.51</v>
      </c>
      <c r="Z82" s="4"/>
      <c r="AA82" s="4"/>
      <c r="AB82" s="5">
        <f t="shared" si="10"/>
        <v>41449.030000000006</v>
      </c>
    </row>
    <row r="83" spans="1:28" x14ac:dyDescent="0.25">
      <c r="A83" s="3" t="s">
        <v>104</v>
      </c>
      <c r="B83" s="5">
        <f>35385.03</f>
        <v>35385.03</v>
      </c>
      <c r="C83" s="4"/>
      <c r="D83" s="4"/>
      <c r="E83" s="4"/>
      <c r="F83" s="4"/>
      <c r="G83" s="4"/>
      <c r="H83" s="5">
        <f>1737.02</f>
        <v>1737.02</v>
      </c>
      <c r="I83" s="4"/>
      <c r="J83" s="4"/>
      <c r="K83" s="4"/>
      <c r="L83" s="5">
        <f>24497.33</f>
        <v>24497.33</v>
      </c>
      <c r="M83" s="4"/>
      <c r="N83" s="4"/>
      <c r="O83" s="5">
        <f>186301.6</f>
        <v>186301.6</v>
      </c>
      <c r="P83" s="4"/>
      <c r="Q83" s="5">
        <f>4361.39</f>
        <v>4361.3900000000003</v>
      </c>
      <c r="R83" s="5">
        <f>6092.86</f>
        <v>6092.86</v>
      </c>
      <c r="S83" s="5">
        <f>40.91</f>
        <v>40.909999999999997</v>
      </c>
      <c r="T83" s="4"/>
      <c r="U83" s="5">
        <f>787.75</f>
        <v>787.75</v>
      </c>
      <c r="V83" s="5">
        <f>29.21</f>
        <v>29.21</v>
      </c>
      <c r="W83" s="5">
        <f>12565.62</f>
        <v>12565.62</v>
      </c>
      <c r="X83" s="4"/>
      <c r="Y83" s="5">
        <f>4308.87</f>
        <v>4308.87</v>
      </c>
      <c r="Z83" s="5">
        <f>4430.52</f>
        <v>4430.5200000000004</v>
      </c>
      <c r="AA83" s="4"/>
      <c r="AB83" s="5">
        <f t="shared" si="10"/>
        <v>280538.11000000004</v>
      </c>
    </row>
    <row r="84" spans="1:28" x14ac:dyDescent="0.25">
      <c r="A84" s="3" t="s">
        <v>105</v>
      </c>
      <c r="B84" s="5">
        <f>458.55</f>
        <v>458.55</v>
      </c>
      <c r="C84" s="4"/>
      <c r="D84" s="4"/>
      <c r="E84" s="4"/>
      <c r="F84" s="4"/>
      <c r="G84" s="4"/>
      <c r="H84" s="4"/>
      <c r="I84" s="4"/>
      <c r="J84" s="4"/>
      <c r="K84" s="4"/>
      <c r="L84" s="5">
        <f>3726.54</f>
        <v>3726.54</v>
      </c>
      <c r="M84" s="4"/>
      <c r="N84" s="4"/>
      <c r="O84" s="4"/>
      <c r="P84" s="4"/>
      <c r="Q84" s="5">
        <f>26461.43</f>
        <v>26461.43</v>
      </c>
      <c r="R84" s="5">
        <f>2022.56</f>
        <v>2022.56</v>
      </c>
      <c r="S84" s="5">
        <f>5940.3</f>
        <v>5940.3</v>
      </c>
      <c r="T84" s="4"/>
      <c r="U84" s="4"/>
      <c r="V84" s="4"/>
      <c r="W84" s="5">
        <f>1912.74</f>
        <v>1912.74</v>
      </c>
      <c r="X84" s="4"/>
      <c r="Y84" s="4"/>
      <c r="Z84" s="4"/>
      <c r="AA84" s="4"/>
      <c r="AB84" s="5">
        <f t="shared" si="10"/>
        <v>40522.120000000003</v>
      </c>
    </row>
    <row r="85" spans="1:28" x14ac:dyDescent="0.25">
      <c r="A85" s="3" t="s">
        <v>106</v>
      </c>
      <c r="B85" s="5">
        <f>6314.39</f>
        <v>6314.39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5">
        <f t="shared" si="10"/>
        <v>6314.39</v>
      </c>
    </row>
    <row r="86" spans="1:28" x14ac:dyDescent="0.25">
      <c r="A86" s="3" t="s">
        <v>107</v>
      </c>
      <c r="B86" s="6">
        <f t="shared" ref="B86:AA86" si="14">(((((B80)+(B81))+(B82))+(B83))+(B84))+(B85)</f>
        <v>54882.490000000005</v>
      </c>
      <c r="C86" s="6">
        <f t="shared" si="14"/>
        <v>0</v>
      </c>
      <c r="D86" s="6">
        <f t="shared" si="14"/>
        <v>0</v>
      </c>
      <c r="E86" s="6">
        <f t="shared" si="14"/>
        <v>290</v>
      </c>
      <c r="F86" s="6">
        <f t="shared" si="14"/>
        <v>0</v>
      </c>
      <c r="G86" s="6">
        <f t="shared" si="14"/>
        <v>0</v>
      </c>
      <c r="H86" s="6">
        <f t="shared" si="14"/>
        <v>38817.019999999997</v>
      </c>
      <c r="I86" s="6">
        <f t="shared" si="14"/>
        <v>0</v>
      </c>
      <c r="J86" s="6">
        <f t="shared" si="14"/>
        <v>0</v>
      </c>
      <c r="K86" s="6">
        <f t="shared" si="14"/>
        <v>27075.52</v>
      </c>
      <c r="L86" s="6">
        <f t="shared" si="14"/>
        <v>51923.87</v>
      </c>
      <c r="M86" s="6">
        <f t="shared" si="14"/>
        <v>0</v>
      </c>
      <c r="N86" s="6">
        <f t="shared" si="14"/>
        <v>0</v>
      </c>
      <c r="O86" s="6">
        <f t="shared" si="14"/>
        <v>186301.6</v>
      </c>
      <c r="P86" s="6">
        <f t="shared" si="14"/>
        <v>0</v>
      </c>
      <c r="Q86" s="6">
        <f t="shared" si="14"/>
        <v>42667.82</v>
      </c>
      <c r="R86" s="6">
        <f t="shared" si="14"/>
        <v>10166.42</v>
      </c>
      <c r="S86" s="6">
        <f t="shared" si="14"/>
        <v>16951.21</v>
      </c>
      <c r="T86" s="6">
        <f t="shared" si="14"/>
        <v>0</v>
      </c>
      <c r="U86" s="6">
        <f t="shared" si="14"/>
        <v>787.75</v>
      </c>
      <c r="V86" s="6">
        <f t="shared" si="14"/>
        <v>29.21</v>
      </c>
      <c r="W86" s="6">
        <f t="shared" si="14"/>
        <v>100416.6</v>
      </c>
      <c r="X86" s="6">
        <f t="shared" si="14"/>
        <v>0</v>
      </c>
      <c r="Y86" s="6">
        <f t="shared" si="14"/>
        <v>282415.58</v>
      </c>
      <c r="Z86" s="6">
        <f t="shared" si="14"/>
        <v>9818.52</v>
      </c>
      <c r="AA86" s="6">
        <f t="shared" si="14"/>
        <v>0</v>
      </c>
      <c r="AB86" s="6">
        <f t="shared" si="10"/>
        <v>822543.6100000001</v>
      </c>
    </row>
    <row r="87" spans="1:28" x14ac:dyDescent="0.25">
      <c r="A87" s="3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5">
        <f t="shared" si="10"/>
        <v>0</v>
      </c>
    </row>
    <row r="88" spans="1:28" x14ac:dyDescent="0.25">
      <c r="A88" s="3" t="s">
        <v>109</v>
      </c>
      <c r="B88" s="5">
        <f>2626.89</f>
        <v>2626.89</v>
      </c>
      <c r="C88" s="4"/>
      <c r="D88" s="4"/>
      <c r="E88" s="4"/>
      <c r="F88" s="4"/>
      <c r="G88" s="4"/>
      <c r="H88" s="4"/>
      <c r="I88" s="5">
        <f>500</f>
        <v>500</v>
      </c>
      <c r="J88" s="4"/>
      <c r="K88" s="4"/>
      <c r="L88" s="4"/>
      <c r="M88" s="4"/>
      <c r="N88" s="4"/>
      <c r="O88" s="4"/>
      <c r="P88" s="4"/>
      <c r="Q88" s="5">
        <f>1965</f>
        <v>1965</v>
      </c>
      <c r="R88" s="5">
        <f>866.77</f>
        <v>866.77</v>
      </c>
      <c r="S88" s="4"/>
      <c r="T88" s="4"/>
      <c r="U88" s="4"/>
      <c r="V88" s="4"/>
      <c r="W88" s="4"/>
      <c r="X88" s="4"/>
      <c r="Y88" s="5">
        <f>290</f>
        <v>290</v>
      </c>
      <c r="Z88" s="4"/>
      <c r="AA88" s="4"/>
      <c r="AB88" s="5">
        <f t="shared" si="10"/>
        <v>6248.66</v>
      </c>
    </row>
    <row r="89" spans="1:28" x14ac:dyDescent="0.25">
      <c r="A89" s="3" t="s">
        <v>110</v>
      </c>
      <c r="B89" s="4"/>
      <c r="C89" s="4"/>
      <c r="D89" s="4"/>
      <c r="E89" s="5">
        <f>75844.4</f>
        <v>75844.399999999994</v>
      </c>
      <c r="F89" s="4"/>
      <c r="G89" s="5">
        <f>4036.74</f>
        <v>4036.74</v>
      </c>
      <c r="H89" s="4"/>
      <c r="I89" s="5">
        <f>397.9</f>
        <v>397.9</v>
      </c>
      <c r="J89" s="5">
        <f>2895.95</f>
        <v>2895.95</v>
      </c>
      <c r="K89" s="5">
        <f>43676.27</f>
        <v>43676.27</v>
      </c>
      <c r="L89" s="5">
        <f>32371.11</f>
        <v>32371.11</v>
      </c>
      <c r="M89" s="5">
        <f>30413.74</f>
        <v>30413.74</v>
      </c>
      <c r="N89" s="5">
        <f>17471.06</f>
        <v>17471.060000000001</v>
      </c>
      <c r="O89" s="5">
        <f>24651.96</f>
        <v>24651.96</v>
      </c>
      <c r="P89" s="5">
        <f>3841.2</f>
        <v>3841.2</v>
      </c>
      <c r="Q89" s="5">
        <f>5683.1</f>
        <v>5683.1</v>
      </c>
      <c r="R89" s="5">
        <f>47682.74</f>
        <v>47682.74</v>
      </c>
      <c r="S89" s="5">
        <f>10713.33</f>
        <v>10713.33</v>
      </c>
      <c r="T89" s="5">
        <f>0</f>
        <v>0</v>
      </c>
      <c r="U89" s="5">
        <f>15.19</f>
        <v>15.19</v>
      </c>
      <c r="V89" s="5">
        <f>21.74</f>
        <v>21.74</v>
      </c>
      <c r="W89" s="5">
        <f>56269.68</f>
        <v>56269.68</v>
      </c>
      <c r="X89" s="5">
        <f>0</f>
        <v>0</v>
      </c>
      <c r="Y89" s="5">
        <f>93026.49</f>
        <v>93026.49</v>
      </c>
      <c r="Z89" s="5">
        <f>4504.76</f>
        <v>4504.76</v>
      </c>
      <c r="AA89" s="5">
        <f>0</f>
        <v>0</v>
      </c>
      <c r="AB89" s="5">
        <f t="shared" si="10"/>
        <v>453517.36</v>
      </c>
    </row>
    <row r="90" spans="1:28" x14ac:dyDescent="0.25">
      <c r="A90" s="3" t="s">
        <v>111</v>
      </c>
      <c r="B90" s="6">
        <f t="shared" ref="B90:AA90" si="15">((B87)+(B88))+(B89)</f>
        <v>2626.89</v>
      </c>
      <c r="C90" s="6">
        <f t="shared" si="15"/>
        <v>0</v>
      </c>
      <c r="D90" s="6">
        <f t="shared" si="15"/>
        <v>0</v>
      </c>
      <c r="E90" s="6">
        <f t="shared" si="15"/>
        <v>75844.399999999994</v>
      </c>
      <c r="F90" s="6">
        <f t="shared" si="15"/>
        <v>0</v>
      </c>
      <c r="G90" s="6">
        <f t="shared" si="15"/>
        <v>4036.74</v>
      </c>
      <c r="H90" s="6">
        <f t="shared" si="15"/>
        <v>0</v>
      </c>
      <c r="I90" s="6">
        <f t="shared" si="15"/>
        <v>897.9</v>
      </c>
      <c r="J90" s="6">
        <f t="shared" si="15"/>
        <v>2895.95</v>
      </c>
      <c r="K90" s="6">
        <f t="shared" si="15"/>
        <v>43676.27</v>
      </c>
      <c r="L90" s="6">
        <f t="shared" si="15"/>
        <v>32371.11</v>
      </c>
      <c r="M90" s="6">
        <f t="shared" si="15"/>
        <v>30413.74</v>
      </c>
      <c r="N90" s="6">
        <f t="shared" si="15"/>
        <v>17471.060000000001</v>
      </c>
      <c r="O90" s="6">
        <f t="shared" si="15"/>
        <v>24651.96</v>
      </c>
      <c r="P90" s="6">
        <f t="shared" si="15"/>
        <v>3841.2</v>
      </c>
      <c r="Q90" s="6">
        <f t="shared" si="15"/>
        <v>7648.1</v>
      </c>
      <c r="R90" s="6">
        <f t="shared" si="15"/>
        <v>48549.509999999995</v>
      </c>
      <c r="S90" s="6">
        <f t="shared" si="15"/>
        <v>10713.33</v>
      </c>
      <c r="T90" s="6">
        <f t="shared" si="15"/>
        <v>0</v>
      </c>
      <c r="U90" s="6">
        <f t="shared" si="15"/>
        <v>15.19</v>
      </c>
      <c r="V90" s="6">
        <f t="shared" si="15"/>
        <v>21.74</v>
      </c>
      <c r="W90" s="6">
        <f t="shared" si="15"/>
        <v>56269.68</v>
      </c>
      <c r="X90" s="6">
        <f t="shared" si="15"/>
        <v>0</v>
      </c>
      <c r="Y90" s="6">
        <f t="shared" si="15"/>
        <v>93316.49</v>
      </c>
      <c r="Z90" s="6">
        <f t="shared" si="15"/>
        <v>4504.76</v>
      </c>
      <c r="AA90" s="6">
        <f t="shared" si="15"/>
        <v>0</v>
      </c>
      <c r="AB90" s="6">
        <f t="shared" si="10"/>
        <v>459766.02</v>
      </c>
    </row>
    <row r="91" spans="1:28" x14ac:dyDescent="0.25">
      <c r="A91" s="3" t="s">
        <v>112</v>
      </c>
      <c r="B91" s="6">
        <f t="shared" ref="B91:AA91" si="16">((((((((B35)+(B48))+(B54))+(B55))+(B66))+(B70))+(B79))+(B86))+(B90)</f>
        <v>783496.61</v>
      </c>
      <c r="C91" s="6">
        <f t="shared" si="16"/>
        <v>136.94999999999999</v>
      </c>
      <c r="D91" s="6">
        <f t="shared" si="16"/>
        <v>3137.45</v>
      </c>
      <c r="E91" s="6">
        <f t="shared" si="16"/>
        <v>836503.6100000001</v>
      </c>
      <c r="F91" s="6">
        <f t="shared" si="16"/>
        <v>0</v>
      </c>
      <c r="G91" s="6">
        <f t="shared" si="16"/>
        <v>54495.829999999994</v>
      </c>
      <c r="H91" s="6">
        <f t="shared" si="16"/>
        <v>177056.35</v>
      </c>
      <c r="I91" s="6">
        <f t="shared" si="16"/>
        <v>4376.95</v>
      </c>
      <c r="J91" s="6">
        <f t="shared" si="16"/>
        <v>31855.5</v>
      </c>
      <c r="K91" s="6">
        <f t="shared" si="16"/>
        <v>480438.95000000007</v>
      </c>
      <c r="L91" s="6">
        <f t="shared" si="16"/>
        <v>278828.92</v>
      </c>
      <c r="M91" s="6">
        <f t="shared" si="16"/>
        <v>279573.94</v>
      </c>
      <c r="N91" s="6">
        <f t="shared" si="16"/>
        <v>161268.01</v>
      </c>
      <c r="O91" s="6">
        <f t="shared" si="16"/>
        <v>271171.43</v>
      </c>
      <c r="P91" s="6">
        <f t="shared" si="16"/>
        <v>51855.899999999994</v>
      </c>
      <c r="Q91" s="6">
        <f t="shared" si="16"/>
        <v>76788.09</v>
      </c>
      <c r="R91" s="6">
        <f t="shared" si="16"/>
        <v>445046.45999999996</v>
      </c>
      <c r="S91" s="6">
        <f t="shared" si="16"/>
        <v>87234.499999999985</v>
      </c>
      <c r="T91" s="6">
        <f t="shared" si="16"/>
        <v>435.57</v>
      </c>
      <c r="U91" s="6">
        <f t="shared" si="16"/>
        <v>740.94</v>
      </c>
      <c r="V91" s="6">
        <f t="shared" si="16"/>
        <v>1108.96</v>
      </c>
      <c r="W91" s="6">
        <f t="shared" si="16"/>
        <v>458742.32</v>
      </c>
      <c r="X91" s="6">
        <f t="shared" si="16"/>
        <v>0</v>
      </c>
      <c r="Y91" s="6">
        <f t="shared" si="16"/>
        <v>757506.48</v>
      </c>
      <c r="Z91" s="6">
        <f t="shared" si="16"/>
        <v>49552.439999999995</v>
      </c>
      <c r="AA91" s="6">
        <f t="shared" si="16"/>
        <v>0</v>
      </c>
      <c r="AB91" s="6">
        <f t="shared" si="10"/>
        <v>5291352.1600000011</v>
      </c>
    </row>
    <row r="92" spans="1:28" x14ac:dyDescent="0.25">
      <c r="A92" s="3" t="s">
        <v>113</v>
      </c>
      <c r="B92" s="6">
        <f t="shared" ref="B92:AA92" si="17">(B30)-(B91)</f>
        <v>187584.22000000009</v>
      </c>
      <c r="C92" s="6">
        <f t="shared" si="17"/>
        <v>88.050000000000011</v>
      </c>
      <c r="D92" s="6">
        <f t="shared" si="17"/>
        <v>-3137.45</v>
      </c>
      <c r="E92" s="6">
        <f t="shared" si="17"/>
        <v>357534.87999999989</v>
      </c>
      <c r="F92" s="6">
        <f t="shared" si="17"/>
        <v>0</v>
      </c>
      <c r="G92" s="6">
        <f t="shared" si="17"/>
        <v>-21798.339999999993</v>
      </c>
      <c r="H92" s="6">
        <f t="shared" si="17"/>
        <v>141131.22999999995</v>
      </c>
      <c r="I92" s="6">
        <f t="shared" si="17"/>
        <v>-446.94999999999982</v>
      </c>
      <c r="J92" s="6">
        <f t="shared" si="17"/>
        <v>61183.19</v>
      </c>
      <c r="K92" s="6">
        <f t="shared" si="17"/>
        <v>0</v>
      </c>
      <c r="L92" s="6">
        <f t="shared" si="17"/>
        <v>0</v>
      </c>
      <c r="M92" s="6">
        <f t="shared" si="17"/>
        <v>-50405.94</v>
      </c>
      <c r="N92" s="6">
        <f t="shared" si="17"/>
        <v>-28370.48000000001</v>
      </c>
      <c r="O92" s="6">
        <f t="shared" si="17"/>
        <v>0</v>
      </c>
      <c r="P92" s="6">
        <f t="shared" si="17"/>
        <v>-20741.899999999994</v>
      </c>
      <c r="Q92" s="6">
        <f t="shared" si="17"/>
        <v>-3284.4499999999971</v>
      </c>
      <c r="R92" s="6">
        <f t="shared" si="17"/>
        <v>-7.4699999999720603</v>
      </c>
      <c r="S92" s="6">
        <f t="shared" si="17"/>
        <v>0</v>
      </c>
      <c r="T92" s="6">
        <f t="shared" si="17"/>
        <v>-435.57</v>
      </c>
      <c r="U92" s="6">
        <f t="shared" si="17"/>
        <v>0</v>
      </c>
      <c r="V92" s="6">
        <f t="shared" si="17"/>
        <v>0</v>
      </c>
      <c r="W92" s="6">
        <f t="shared" si="17"/>
        <v>-70197.700000000012</v>
      </c>
      <c r="X92" s="6">
        <f t="shared" si="17"/>
        <v>0</v>
      </c>
      <c r="Y92" s="6">
        <f t="shared" si="17"/>
        <v>-126952.63</v>
      </c>
      <c r="Z92" s="6">
        <f t="shared" si="17"/>
        <v>33447.560000000005</v>
      </c>
      <c r="AA92" s="6">
        <f t="shared" si="17"/>
        <v>0</v>
      </c>
      <c r="AB92" s="6">
        <f t="shared" si="10"/>
        <v>455190.25000000029</v>
      </c>
    </row>
    <row r="93" spans="1:28" x14ac:dyDescent="0.25">
      <c r="A93" s="3" t="s">
        <v>114</v>
      </c>
      <c r="B93" s="7">
        <f t="shared" ref="B93:AA93" si="18">(B92)+(0)</f>
        <v>187584.22000000009</v>
      </c>
      <c r="C93" s="7">
        <f t="shared" si="18"/>
        <v>88.050000000000011</v>
      </c>
      <c r="D93" s="7">
        <f t="shared" si="18"/>
        <v>-3137.45</v>
      </c>
      <c r="E93" s="7">
        <f t="shared" si="18"/>
        <v>357534.87999999989</v>
      </c>
      <c r="F93" s="7">
        <f t="shared" si="18"/>
        <v>0</v>
      </c>
      <c r="G93" s="7">
        <f t="shared" si="18"/>
        <v>-21798.339999999993</v>
      </c>
      <c r="H93" s="7">
        <f t="shared" si="18"/>
        <v>141131.22999999995</v>
      </c>
      <c r="I93" s="7">
        <f t="shared" si="18"/>
        <v>-446.94999999999982</v>
      </c>
      <c r="J93" s="7">
        <f t="shared" si="18"/>
        <v>61183.19</v>
      </c>
      <c r="K93" s="7">
        <f t="shared" si="18"/>
        <v>0</v>
      </c>
      <c r="L93" s="7">
        <f t="shared" si="18"/>
        <v>0</v>
      </c>
      <c r="M93" s="7">
        <f t="shared" si="18"/>
        <v>-50405.94</v>
      </c>
      <c r="N93" s="7">
        <f t="shared" si="18"/>
        <v>-28370.48000000001</v>
      </c>
      <c r="O93" s="7">
        <f t="shared" si="18"/>
        <v>0</v>
      </c>
      <c r="P93" s="7">
        <f t="shared" si="18"/>
        <v>-20741.899999999994</v>
      </c>
      <c r="Q93" s="7">
        <f t="shared" si="18"/>
        <v>-3284.4499999999971</v>
      </c>
      <c r="R93" s="7">
        <f t="shared" si="18"/>
        <v>-7.4699999999720603</v>
      </c>
      <c r="S93" s="7">
        <f t="shared" si="18"/>
        <v>0</v>
      </c>
      <c r="T93" s="7">
        <f t="shared" si="18"/>
        <v>-435.57</v>
      </c>
      <c r="U93" s="7">
        <f t="shared" si="18"/>
        <v>0</v>
      </c>
      <c r="V93" s="7">
        <f t="shared" si="18"/>
        <v>0</v>
      </c>
      <c r="W93" s="7">
        <f t="shared" si="18"/>
        <v>-70197.700000000012</v>
      </c>
      <c r="X93" s="7">
        <f t="shared" si="18"/>
        <v>0</v>
      </c>
      <c r="Y93" s="7">
        <f t="shared" si="18"/>
        <v>-126952.63</v>
      </c>
      <c r="Z93" s="7">
        <f t="shared" si="18"/>
        <v>33447.560000000005</v>
      </c>
      <c r="AA93" s="7">
        <f t="shared" si="18"/>
        <v>0</v>
      </c>
      <c r="AB93" s="7">
        <f t="shared" si="10"/>
        <v>455190.25000000029</v>
      </c>
    </row>
    <row r="94" spans="1:28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7" spans="1:28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</sheetData>
  <sheetProtection algorithmName="SHA-512" hashValue="55jVstonkGMunfB2ezKgVyWEGdFOUZX5XYqisUzpU7nb7bWBGIu8i8mhlj+79nTg1PSPavm82KnB/ORraTSu6Q==" saltValue="z0598NorwMmJ8iALtiY3xg==" spinCount="100000" sheet="1" objects="1" scenarios="1"/>
  <mergeCells count="4">
    <mergeCell ref="A97:AB97"/>
    <mergeCell ref="A1:AB1"/>
    <mergeCell ref="A2:AB2"/>
    <mergeCell ref="A3:AB3"/>
  </mergeCells>
  <pageMargins left="0.7" right="0.7" top="0.75" bottom="0.75" header="0.3" footer="0.3"/>
  <pageSetup paperSize="5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2025-12-01T16:56:14Z</cp:lastPrinted>
  <dcterms:created xsi:type="dcterms:W3CDTF">2025-12-01T16:54:23Z</dcterms:created>
  <dcterms:modified xsi:type="dcterms:W3CDTF">2025-12-01T16:58:06Z</dcterms:modified>
</cp:coreProperties>
</file>