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oldhamkyschools-my.sharepoint.com/personal/michael_williams_oldham_kyschools_us/Documents/Projections and Redistrict/"/>
    </mc:Choice>
  </mc:AlternateContent>
  <xr:revisionPtr revIDLastSave="437" documentId="8_{6104B745-CBE5-4A6F-8083-F430A179CE68}" xr6:coauthVersionLast="47" xr6:coauthVersionMax="47" xr10:uidLastSave="{FE35E03C-CD3B-44CC-B647-3DED49EB5FF4}"/>
  <bookViews>
    <workbookView xWindow="-30828" yWindow="48" windowWidth="30936" windowHeight="16776" tabRatio="734" activeTab="4" xr2:uid="{00000000-000D-0000-FFFF-FFFF00000000}"/>
  </bookViews>
  <sheets>
    <sheet name="SUMMARY" sheetId="1" r:id="rId1"/>
    <sheet name="ENRHIST" sheetId="2" r:id="rId2"/>
    <sheet name="ENPRJ3" sheetId="3" r:id="rId3"/>
    <sheet name="ENPRJ5" sheetId="4" r:id="rId4"/>
    <sheet name="ENPRJ10" sheetId="5" r:id="rId5"/>
    <sheet name="ENRHIST 1" sheetId="6" r:id="rId6"/>
    <sheet name="ENRHIST 2" sheetId="7" r:id="rId7"/>
    <sheet name="ENRHIST 3" sheetId="8" r:id="rId8"/>
    <sheet name="ENRHIST 4" sheetId="9" r:id="rId9"/>
    <sheet name="ENRHIST 5" sheetId="10" r:id="rId10"/>
    <sheet name="ENPRJ3 1" sheetId="12" r:id="rId11"/>
    <sheet name="ENPRJ3 2" sheetId="11" r:id="rId12"/>
    <sheet name="ENPRJ3 3" sheetId="13" r:id="rId13"/>
    <sheet name="ENPRJ3 4" sheetId="14" r:id="rId14"/>
    <sheet name="ENPRJ3 5" sheetId="15" r:id="rId15"/>
    <sheet name="ENPRJ3 6" sheetId="16" r:id="rId16"/>
    <sheet name="ENPRJ3 7" sheetId="17" r:id="rId17"/>
    <sheet name="ENPRJ3 8" sheetId="18" r:id="rId18"/>
    <sheet name="ENPRJ3 9" sheetId="19" r:id="rId19"/>
    <sheet name="ENPRJ3 10" sheetId="20" r:id="rId20"/>
    <sheet name="ENPRJ3 11" sheetId="21" r:id="rId21"/>
    <sheet name="ENPRJ3 12" sheetId="22" r:id="rId22"/>
    <sheet name="ENPRJ5 1" sheetId="23" r:id="rId23"/>
    <sheet name="ENPRJ5 2" sheetId="24" r:id="rId24"/>
    <sheet name="ENPRJ5 3" sheetId="25" r:id="rId25"/>
    <sheet name="ENPRJ5 4" sheetId="26" r:id="rId26"/>
    <sheet name="ENPRJ5 5" sheetId="27" r:id="rId27"/>
    <sheet name="ENPRJ5 6" sheetId="28" r:id="rId28"/>
    <sheet name="ENPRJ5 7" sheetId="30" r:id="rId29"/>
    <sheet name="ENPRJ10 1" sheetId="31" r:id="rId30"/>
    <sheet name="ENPRJ10 2" sheetId="32" r:id="rId31"/>
    <sheet name="ENPRJ10 3" sheetId="33" r:id="rId32"/>
    <sheet name="ENPRJ10 4" sheetId="34" r:id="rId33"/>
    <sheet name="ENPRJ10 5" sheetId="35" r:id="rId34"/>
    <sheet name="ENPRJ10 6" sheetId="36" r:id="rId35"/>
    <sheet name="ENPRJ10 7" sheetId="37" r:id="rId36"/>
  </sheets>
  <definedNames>
    <definedName name="_xlnm.Print_Area" localSheetId="4">ENPRJ10!$A$1:$V$1</definedName>
    <definedName name="_xlnm.Print_Area" localSheetId="30">'ENPRJ10 2'!$A$1:$T$50</definedName>
    <definedName name="_xlnm.Print_Area" localSheetId="2">ENPRJ3!$A$1:$V$1</definedName>
    <definedName name="_xlnm.Print_Area" localSheetId="16">'ENPRJ3 7'!$A$1:$V$49</definedName>
    <definedName name="_xlnm.Print_Area" localSheetId="3">ENPRJ5!$A$1:$W$1</definedName>
    <definedName name="_xlnm.Print_Area" localSheetId="1">ENRHIST!$A$1:$AC$1</definedName>
    <definedName name="_xlnm.Print_Area" localSheetId="5">'ENRHIST 1'!$A$1:$AH$52</definedName>
    <definedName name="_xlnm.Print_Area" localSheetId="0">SUMMARY!$A$1:$L$129</definedName>
    <definedName name="_xlnm.Print_Titles" localSheetId="4">ENPRJ10!$1:$4</definedName>
    <definedName name="_xlnm.Print_Titles" localSheetId="2">ENPRJ3!$1:$4</definedName>
    <definedName name="_xlnm.Print_Titles" localSheetId="3">ENPRJ5!$1:$4</definedName>
    <definedName name="_xlnm.Print_Titles" localSheetId="1">ENRHIST!$1:$8</definedName>
    <definedName name="Print_Titles_MI" localSheetId="4">ENPRJ10!$1:$4</definedName>
    <definedName name="Print_Titles_MI" localSheetId="2">ENPRJ3!$1:$4</definedName>
    <definedName name="Print_Titles_MI" localSheetId="3">ENPRJ5!$1:$4</definedName>
    <definedName name="Print_Titles_MI" localSheetId="1">ENRHIST!$1:$8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2" i="2" l="1"/>
  <c r="C66" i="5"/>
  <c r="C67" i="5"/>
  <c r="C68" i="5"/>
  <c r="C69" i="5"/>
  <c r="C65" i="5"/>
  <c r="B75" i="5"/>
  <c r="G69" i="5"/>
  <c r="G68" i="5"/>
  <c r="G67" i="5"/>
  <c r="G66" i="5"/>
  <c r="M76" i="5"/>
  <c r="K76" i="5"/>
  <c r="G69" i="4"/>
  <c r="G68" i="4"/>
  <c r="G67" i="4"/>
  <c r="G66" i="4"/>
  <c r="M76" i="4"/>
  <c r="K76" i="4"/>
  <c r="B75" i="4"/>
  <c r="C62" i="4"/>
  <c r="C63" i="4"/>
  <c r="C64" i="4"/>
  <c r="J287" i="3"/>
  <c r="G237" i="3"/>
  <c r="G236" i="3"/>
  <c r="G235" i="3"/>
  <c r="G238" i="3"/>
  <c r="K245" i="3"/>
  <c r="M245" i="3"/>
  <c r="B244" i="3"/>
  <c r="S88" i="2" l="1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54" i="2"/>
  <c r="S155" i="2"/>
  <c r="S156" i="2"/>
  <c r="S157" i="2"/>
  <c r="S158" i="2"/>
  <c r="S159" i="2"/>
  <c r="S160" i="2"/>
  <c r="S161" i="2"/>
  <c r="S162" i="2"/>
  <c r="S169" i="2" s="1"/>
  <c r="S163" i="2"/>
  <c r="S164" i="2"/>
  <c r="S165" i="2"/>
  <c r="S166" i="2"/>
  <c r="S167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20" i="2"/>
  <c r="S235" i="2" s="1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B257" i="2"/>
  <c r="C257" i="2"/>
  <c r="D257" i="2"/>
  <c r="E257" i="2"/>
  <c r="F257" i="2"/>
  <c r="G257" i="2"/>
  <c r="H257" i="2"/>
  <c r="I257" i="2"/>
  <c r="J257" i="2"/>
  <c r="K257" i="2"/>
  <c r="L257" i="2"/>
  <c r="M257" i="2"/>
  <c r="N257" i="2"/>
  <c r="O257" i="2"/>
  <c r="P257" i="2"/>
  <c r="Q257" i="2"/>
  <c r="R257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B279" i="2"/>
  <c r="C279" i="2"/>
  <c r="D279" i="2"/>
  <c r="E279" i="2"/>
  <c r="F279" i="2"/>
  <c r="G279" i="2"/>
  <c r="H279" i="2"/>
  <c r="I279" i="2"/>
  <c r="J279" i="2"/>
  <c r="K279" i="2"/>
  <c r="L279" i="2"/>
  <c r="M279" i="2"/>
  <c r="N279" i="2"/>
  <c r="O279" i="2"/>
  <c r="P279" i="2"/>
  <c r="Q279" i="2"/>
  <c r="R279" i="2"/>
  <c r="S286" i="2"/>
  <c r="S301" i="2" s="1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B301" i="2"/>
  <c r="C301" i="2"/>
  <c r="D301" i="2"/>
  <c r="E301" i="2"/>
  <c r="F301" i="2"/>
  <c r="G301" i="2"/>
  <c r="H301" i="2"/>
  <c r="I301" i="2"/>
  <c r="J301" i="2"/>
  <c r="K301" i="2"/>
  <c r="L301" i="2"/>
  <c r="M301" i="2"/>
  <c r="N301" i="2"/>
  <c r="O301" i="2"/>
  <c r="P301" i="2"/>
  <c r="Q301" i="2"/>
  <c r="R301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B323" i="2"/>
  <c r="C323" i="2"/>
  <c r="D323" i="2"/>
  <c r="E323" i="2"/>
  <c r="F323" i="2"/>
  <c r="G323" i="2"/>
  <c r="H323" i="2"/>
  <c r="I323" i="2"/>
  <c r="J323" i="2"/>
  <c r="K323" i="2"/>
  <c r="L323" i="2"/>
  <c r="M323" i="2"/>
  <c r="N323" i="2"/>
  <c r="O323" i="2"/>
  <c r="P323" i="2"/>
  <c r="Q323" i="2"/>
  <c r="R323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B345" i="2"/>
  <c r="C345" i="2"/>
  <c r="D345" i="2"/>
  <c r="E345" i="2"/>
  <c r="F345" i="2"/>
  <c r="G345" i="2"/>
  <c r="H345" i="2"/>
  <c r="I345" i="2"/>
  <c r="J345" i="2"/>
  <c r="K345" i="2"/>
  <c r="L345" i="2"/>
  <c r="M345" i="2"/>
  <c r="N345" i="2"/>
  <c r="O345" i="2"/>
  <c r="P345" i="2"/>
  <c r="Q345" i="2"/>
  <c r="R345" i="2"/>
  <c r="S352" i="2"/>
  <c r="S353" i="2"/>
  <c r="S354" i="2"/>
  <c r="S355" i="2"/>
  <c r="S356" i="2"/>
  <c r="S357" i="2"/>
  <c r="N358" i="2"/>
  <c r="S358" i="2"/>
  <c r="N359" i="2"/>
  <c r="S359" i="2" s="1"/>
  <c r="S360" i="2"/>
  <c r="S361" i="2"/>
  <c r="S362" i="2"/>
  <c r="S363" i="2"/>
  <c r="S364" i="2"/>
  <c r="S365" i="2"/>
  <c r="B367" i="2"/>
  <c r="C367" i="2"/>
  <c r="D367" i="2"/>
  <c r="E367" i="2"/>
  <c r="F367" i="2"/>
  <c r="G367" i="2"/>
  <c r="H367" i="2"/>
  <c r="I367" i="2"/>
  <c r="J367" i="2"/>
  <c r="K367" i="2"/>
  <c r="L367" i="2"/>
  <c r="M367" i="2"/>
  <c r="N367" i="2"/>
  <c r="O367" i="2"/>
  <c r="P367" i="2"/>
  <c r="Q367" i="2"/>
  <c r="R367" i="2"/>
  <c r="S374" i="2"/>
  <c r="S375" i="2"/>
  <c r="S376" i="2"/>
  <c r="S377" i="2"/>
  <c r="S378" i="2"/>
  <c r="S379" i="2"/>
  <c r="N380" i="2"/>
  <c r="S380" i="2" s="1"/>
  <c r="S381" i="2"/>
  <c r="S382" i="2"/>
  <c r="S383" i="2"/>
  <c r="S384" i="2"/>
  <c r="S385" i="2"/>
  <c r="S386" i="2"/>
  <c r="S387" i="2"/>
  <c r="B389" i="2"/>
  <c r="C389" i="2"/>
  <c r="D389" i="2"/>
  <c r="E389" i="2"/>
  <c r="F389" i="2"/>
  <c r="G389" i="2"/>
  <c r="H389" i="2"/>
  <c r="I389" i="2"/>
  <c r="J389" i="2"/>
  <c r="K389" i="2"/>
  <c r="L389" i="2"/>
  <c r="M389" i="2"/>
  <c r="O389" i="2"/>
  <c r="P389" i="2"/>
  <c r="Q389" i="2"/>
  <c r="R389" i="2"/>
  <c r="S191" i="2" l="1"/>
  <c r="S367" i="2"/>
  <c r="S147" i="2"/>
  <c r="S213" i="2"/>
  <c r="S103" i="2"/>
  <c r="S125" i="2"/>
  <c r="S257" i="2"/>
  <c r="S279" i="2"/>
  <c r="S345" i="2"/>
  <c r="S323" i="2"/>
  <c r="S389" i="2"/>
  <c r="N389" i="2"/>
  <c r="R27" i="5"/>
  <c r="R27" i="4"/>
  <c r="R18" i="5" l="1"/>
  <c r="R19" i="5"/>
  <c r="R20" i="5"/>
  <c r="R21" i="5"/>
  <c r="R22" i="5"/>
  <c r="R23" i="5"/>
  <c r="R17" i="5"/>
  <c r="R18" i="4"/>
  <c r="R19" i="4"/>
  <c r="R20" i="4"/>
  <c r="R21" i="4"/>
  <c r="R22" i="4"/>
  <c r="R23" i="4"/>
  <c r="R17" i="4"/>
  <c r="R27" i="3"/>
  <c r="R17" i="3"/>
  <c r="R18" i="3"/>
  <c r="R19" i="3"/>
  <c r="R20" i="3"/>
  <c r="R21" i="3"/>
  <c r="R22" i="3"/>
  <c r="R23" i="3"/>
  <c r="R16" i="3"/>
  <c r="S38" i="2"/>
  <c r="S36" i="2"/>
  <c r="S34" i="2"/>
  <c r="S31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14" i="2"/>
  <c r="R29" i="2"/>
  <c r="R39" i="2" s="1"/>
  <c r="C107" i="5"/>
  <c r="C107" i="4"/>
  <c r="C10" i="3"/>
  <c r="D10" i="3"/>
  <c r="E10" i="3"/>
  <c r="F10" i="3"/>
  <c r="G10" i="3"/>
  <c r="H10" i="3"/>
  <c r="I10" i="3"/>
  <c r="J10" i="3"/>
  <c r="C11" i="3"/>
  <c r="D11" i="3"/>
  <c r="E11" i="3"/>
  <c r="F11" i="3"/>
  <c r="G11" i="3"/>
  <c r="H11" i="3"/>
  <c r="I11" i="3"/>
  <c r="J11" i="3"/>
  <c r="C12" i="3"/>
  <c r="D12" i="3"/>
  <c r="E12" i="3"/>
  <c r="F12" i="3"/>
  <c r="G12" i="3"/>
  <c r="H12" i="3"/>
  <c r="I12" i="3"/>
  <c r="J12" i="3"/>
  <c r="C13" i="3"/>
  <c r="D13" i="3"/>
  <c r="E13" i="3"/>
  <c r="F13" i="3"/>
  <c r="G13" i="3"/>
  <c r="H13" i="3"/>
  <c r="I13" i="3"/>
  <c r="J13" i="3"/>
  <c r="C14" i="3"/>
  <c r="D14" i="3"/>
  <c r="E14" i="3"/>
  <c r="F14" i="3"/>
  <c r="G14" i="3"/>
  <c r="H14" i="3"/>
  <c r="I14" i="3"/>
  <c r="J14" i="3"/>
  <c r="C15" i="3"/>
  <c r="D15" i="3"/>
  <c r="E15" i="3"/>
  <c r="F15" i="3"/>
  <c r="G15" i="3"/>
  <c r="H15" i="3"/>
  <c r="I15" i="3"/>
  <c r="J15" i="3"/>
  <c r="K16" i="3"/>
  <c r="L16" i="3"/>
  <c r="M16" i="3"/>
  <c r="N16" i="3"/>
  <c r="K17" i="3"/>
  <c r="L17" i="3"/>
  <c r="M17" i="3"/>
  <c r="N17" i="3"/>
  <c r="K18" i="3"/>
  <c r="L18" i="3"/>
  <c r="M18" i="3"/>
  <c r="N18" i="3"/>
  <c r="O19" i="3"/>
  <c r="P19" i="3"/>
  <c r="Q19" i="3"/>
  <c r="O20" i="3"/>
  <c r="P20" i="3"/>
  <c r="Q20" i="3"/>
  <c r="O21" i="3"/>
  <c r="P21" i="3"/>
  <c r="Q21" i="3"/>
  <c r="O22" i="3"/>
  <c r="P22" i="3"/>
  <c r="Q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B10" i="3"/>
  <c r="B11" i="3"/>
  <c r="B12" i="3"/>
  <c r="B13" i="3"/>
  <c r="B14" i="3"/>
  <c r="B15" i="3"/>
  <c r="F139" i="3"/>
  <c r="S11" i="3" l="1"/>
  <c r="S14" i="3"/>
  <c r="S12" i="3"/>
  <c r="S13" i="3"/>
  <c r="S22" i="3"/>
  <c r="S15" i="3"/>
  <c r="S18" i="3"/>
  <c r="S17" i="3"/>
  <c r="S20" i="3"/>
  <c r="S16" i="3"/>
  <c r="S19" i="3"/>
  <c r="S21" i="3"/>
  <c r="R25" i="3"/>
  <c r="R35" i="3" s="1"/>
  <c r="R32" i="2"/>
  <c r="R35" i="2"/>
  <c r="R37" i="2"/>
  <c r="G176" i="3"/>
  <c r="R31" i="3" l="1"/>
  <c r="R29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B29" i="2" l="1"/>
  <c r="B35" i="2" s="1"/>
  <c r="N849" i="2"/>
  <c r="C784" i="2"/>
  <c r="D784" i="2"/>
  <c r="E784" i="2"/>
  <c r="F784" i="2"/>
  <c r="G784" i="2"/>
  <c r="H784" i="2"/>
  <c r="H813" i="2" s="1"/>
  <c r="I784" i="2"/>
  <c r="J784" i="2"/>
  <c r="K784" i="2"/>
  <c r="K842" i="2" s="1"/>
  <c r="L784" i="2"/>
  <c r="L842" i="2" s="1"/>
  <c r="M784" i="2"/>
  <c r="N784" i="2"/>
  <c r="O784" i="2"/>
  <c r="P784" i="2"/>
  <c r="Q784" i="2"/>
  <c r="B33" i="4"/>
  <c r="E311" i="3"/>
  <c r="B55" i="1"/>
  <c r="B35" i="1"/>
  <c r="B21" i="1"/>
  <c r="K133" i="3"/>
  <c r="J133" i="3"/>
  <c r="J132" i="3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P19" i="5"/>
  <c r="Q19" i="5"/>
  <c r="P20" i="5"/>
  <c r="Q20" i="5"/>
  <c r="P21" i="5"/>
  <c r="Q21" i="5"/>
  <c r="P22" i="5"/>
  <c r="Q22" i="5"/>
  <c r="P23" i="5"/>
  <c r="Q23" i="5"/>
  <c r="O20" i="5"/>
  <c r="O21" i="5"/>
  <c r="O22" i="5"/>
  <c r="O23" i="5"/>
  <c r="L16" i="5"/>
  <c r="M16" i="5"/>
  <c r="N16" i="5"/>
  <c r="L17" i="5"/>
  <c r="M17" i="5"/>
  <c r="N17" i="5"/>
  <c r="L18" i="5"/>
  <c r="M18" i="5"/>
  <c r="N18" i="5"/>
  <c r="K17" i="5"/>
  <c r="K18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D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B11" i="5"/>
  <c r="B12" i="5"/>
  <c r="B13" i="5"/>
  <c r="B14" i="5"/>
  <c r="B15" i="5"/>
  <c r="O19" i="5"/>
  <c r="K16" i="5"/>
  <c r="B10" i="5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P19" i="4"/>
  <c r="Q19" i="4"/>
  <c r="P20" i="4"/>
  <c r="Q20" i="4"/>
  <c r="P21" i="4"/>
  <c r="Q21" i="4"/>
  <c r="P22" i="4"/>
  <c r="Q22" i="4"/>
  <c r="P23" i="4"/>
  <c r="Q23" i="4"/>
  <c r="O20" i="4"/>
  <c r="O21" i="4"/>
  <c r="O22" i="4"/>
  <c r="O23" i="4"/>
  <c r="O19" i="4"/>
  <c r="L16" i="4"/>
  <c r="M16" i="4"/>
  <c r="N16" i="4"/>
  <c r="L17" i="4"/>
  <c r="M17" i="4"/>
  <c r="N17" i="4"/>
  <c r="L18" i="4"/>
  <c r="M18" i="4"/>
  <c r="N18" i="4"/>
  <c r="K17" i="4"/>
  <c r="K18" i="4"/>
  <c r="K16" i="4"/>
  <c r="C10" i="4"/>
  <c r="D10" i="4"/>
  <c r="E10" i="4"/>
  <c r="F10" i="4"/>
  <c r="G10" i="4"/>
  <c r="H10" i="4"/>
  <c r="I10" i="4"/>
  <c r="J10" i="4"/>
  <c r="C11" i="4"/>
  <c r="D11" i="4"/>
  <c r="E11" i="4"/>
  <c r="F11" i="4"/>
  <c r="G11" i="4"/>
  <c r="H11" i="4"/>
  <c r="I11" i="4"/>
  <c r="J11" i="4"/>
  <c r="C12" i="4"/>
  <c r="D12" i="4"/>
  <c r="E12" i="4"/>
  <c r="F12" i="4"/>
  <c r="G12" i="4"/>
  <c r="H12" i="4"/>
  <c r="I12" i="4"/>
  <c r="J12" i="4"/>
  <c r="C13" i="4"/>
  <c r="D13" i="4"/>
  <c r="E13" i="4"/>
  <c r="F13" i="4"/>
  <c r="G13" i="4"/>
  <c r="H13" i="4"/>
  <c r="I13" i="4"/>
  <c r="J13" i="4"/>
  <c r="C14" i="4"/>
  <c r="D14" i="4"/>
  <c r="E14" i="4"/>
  <c r="F14" i="4"/>
  <c r="G14" i="4"/>
  <c r="H14" i="4"/>
  <c r="I14" i="4"/>
  <c r="J14" i="4"/>
  <c r="C15" i="4"/>
  <c r="D15" i="4"/>
  <c r="E15" i="4"/>
  <c r="F15" i="4"/>
  <c r="G15" i="4"/>
  <c r="H15" i="4"/>
  <c r="I15" i="4"/>
  <c r="J15" i="4"/>
  <c r="B11" i="4"/>
  <c r="B12" i="4"/>
  <c r="B13" i="4"/>
  <c r="B14" i="4"/>
  <c r="B15" i="4"/>
  <c r="B10" i="4"/>
  <c r="J25" i="3"/>
  <c r="M25" i="3"/>
  <c r="M35" i="3" s="1"/>
  <c r="B23" i="3"/>
  <c r="S23" i="3" s="1"/>
  <c r="C216" i="4"/>
  <c r="E221" i="4"/>
  <c r="F221" i="4"/>
  <c r="G221" i="4"/>
  <c r="H221" i="4"/>
  <c r="I221" i="4"/>
  <c r="J221" i="4"/>
  <c r="K221" i="4"/>
  <c r="L221" i="4"/>
  <c r="M221" i="4"/>
  <c r="L311" i="3"/>
  <c r="L341" i="3" s="1"/>
  <c r="L371" i="3" s="1"/>
  <c r="R838" i="2"/>
  <c r="R809" i="2"/>
  <c r="R780" i="2"/>
  <c r="R868" i="2" s="1"/>
  <c r="C33" i="4"/>
  <c r="C142" i="4" s="1"/>
  <c r="C172" i="4" s="1"/>
  <c r="C202" i="4" s="1"/>
  <c r="D33" i="4"/>
  <c r="D142" i="4" s="1"/>
  <c r="D172" i="4" s="1"/>
  <c r="D202" i="4" s="1"/>
  <c r="E33" i="4"/>
  <c r="E142" i="4" s="1"/>
  <c r="E172" i="4" s="1"/>
  <c r="E202" i="4" s="1"/>
  <c r="F33" i="4"/>
  <c r="F142" i="4" s="1"/>
  <c r="F172" i="4" s="1"/>
  <c r="F202" i="4" s="1"/>
  <c r="G33" i="4"/>
  <c r="G142" i="4" s="1"/>
  <c r="G172" i="4" s="1"/>
  <c r="G202" i="4" s="1"/>
  <c r="H33" i="4"/>
  <c r="I33" i="4"/>
  <c r="I142" i="4" s="1"/>
  <c r="I172" i="4" s="1"/>
  <c r="I202" i="4" s="1"/>
  <c r="J33" i="4"/>
  <c r="J142" i="4" s="1"/>
  <c r="J172" i="4" s="1"/>
  <c r="J202" i="4" s="1"/>
  <c r="L33" i="4"/>
  <c r="L142" i="4" s="1"/>
  <c r="L172" i="4" s="1"/>
  <c r="L202" i="4" s="1"/>
  <c r="M33" i="4"/>
  <c r="M142" i="4" s="1"/>
  <c r="M172" i="4" s="1"/>
  <c r="M202" i="4" s="1"/>
  <c r="N33" i="4"/>
  <c r="N142" i="4" s="1"/>
  <c r="N172" i="4" s="1"/>
  <c r="N202" i="4" s="1"/>
  <c r="O33" i="4"/>
  <c r="O142" i="4" s="1"/>
  <c r="O172" i="4" s="1"/>
  <c r="O202" i="4" s="1"/>
  <c r="P33" i="4"/>
  <c r="P142" i="4" s="1"/>
  <c r="P172" i="4" s="1"/>
  <c r="P202" i="4" s="1"/>
  <c r="Q33" i="4"/>
  <c r="Q142" i="4" s="1"/>
  <c r="Q172" i="4" s="1"/>
  <c r="Q202" i="4" s="1"/>
  <c r="R142" i="4"/>
  <c r="R172" i="4" s="1"/>
  <c r="R202" i="4" s="1"/>
  <c r="C33" i="5"/>
  <c r="D33" i="5"/>
  <c r="E33" i="5"/>
  <c r="E142" i="5" s="1"/>
  <c r="E172" i="5" s="1"/>
  <c r="E202" i="5" s="1"/>
  <c r="E330" i="5" s="1"/>
  <c r="F33" i="5"/>
  <c r="G33" i="5"/>
  <c r="H33" i="5"/>
  <c r="H142" i="5" s="1"/>
  <c r="H172" i="5" s="1"/>
  <c r="H202" i="5" s="1"/>
  <c r="H330" i="5" s="1"/>
  <c r="I33" i="5"/>
  <c r="I142" i="5" s="1"/>
  <c r="I172" i="5" s="1"/>
  <c r="I202" i="5" s="1"/>
  <c r="I330" i="5" s="1"/>
  <c r="J33" i="5"/>
  <c r="K33" i="5"/>
  <c r="K142" i="5" s="1"/>
  <c r="K172" i="5" s="1"/>
  <c r="K202" i="5" s="1"/>
  <c r="L330" i="5" s="1"/>
  <c r="L33" i="5"/>
  <c r="L142" i="5" s="1"/>
  <c r="L172" i="5" s="1"/>
  <c r="L202" i="5" s="1"/>
  <c r="M330" i="5" s="1"/>
  <c r="M33" i="5"/>
  <c r="M142" i="5" s="1"/>
  <c r="M172" i="5" s="1"/>
  <c r="M202" i="5" s="1"/>
  <c r="N330" i="5" s="1"/>
  <c r="N33" i="5"/>
  <c r="N142" i="5" s="1"/>
  <c r="N172" i="5" s="1"/>
  <c r="N202" i="5" s="1"/>
  <c r="O330" i="5" s="1"/>
  <c r="O33" i="5"/>
  <c r="O142" i="5" s="1"/>
  <c r="O172" i="5" s="1"/>
  <c r="O202" i="5" s="1"/>
  <c r="P330" i="5" s="1"/>
  <c r="P33" i="5"/>
  <c r="P142" i="5" s="1"/>
  <c r="P172" i="5" s="1"/>
  <c r="P202" i="5" s="1"/>
  <c r="Q330" i="5" s="1"/>
  <c r="Q33" i="5"/>
  <c r="H151" i="3"/>
  <c r="K151" i="3"/>
  <c r="A153" i="3"/>
  <c r="A155" i="3" s="1"/>
  <c r="A157" i="3" s="1"/>
  <c r="A159" i="3" s="1"/>
  <c r="A161" i="3" s="1"/>
  <c r="E173" i="3" s="1"/>
  <c r="H153" i="3"/>
  <c r="K153" i="3"/>
  <c r="H155" i="3"/>
  <c r="K155" i="3"/>
  <c r="H157" i="3"/>
  <c r="K157" i="3"/>
  <c r="H159" i="3"/>
  <c r="K159" i="3"/>
  <c r="D237" i="5"/>
  <c r="E237" i="5"/>
  <c r="F237" i="5"/>
  <c r="G237" i="5"/>
  <c r="H237" i="5"/>
  <c r="I237" i="5"/>
  <c r="J237" i="5"/>
  <c r="K237" i="5"/>
  <c r="L237" i="5"/>
  <c r="M237" i="5"/>
  <c r="D230" i="5"/>
  <c r="E230" i="5"/>
  <c r="F230" i="5"/>
  <c r="G230" i="5"/>
  <c r="H230" i="5"/>
  <c r="I230" i="5"/>
  <c r="J230" i="5"/>
  <c r="K230" i="5"/>
  <c r="L230" i="5"/>
  <c r="M230" i="5"/>
  <c r="D221" i="5"/>
  <c r="E221" i="5"/>
  <c r="F221" i="5"/>
  <c r="G221" i="5"/>
  <c r="H221" i="5"/>
  <c r="I221" i="5"/>
  <c r="J221" i="5"/>
  <c r="K221" i="5"/>
  <c r="L221" i="5"/>
  <c r="M221" i="5"/>
  <c r="C221" i="5"/>
  <c r="B46" i="1"/>
  <c r="I29" i="2"/>
  <c r="N48" i="2" s="1"/>
  <c r="F56" i="3"/>
  <c r="E56" i="3"/>
  <c r="E57" i="3"/>
  <c r="E58" i="3"/>
  <c r="A220" i="3"/>
  <c r="A221" i="3" s="1"/>
  <c r="A53" i="1"/>
  <c r="M51" i="3"/>
  <c r="L50" i="3"/>
  <c r="S70" i="2"/>
  <c r="N51" i="3" s="1"/>
  <c r="M50" i="3"/>
  <c r="S69" i="2"/>
  <c r="M52" i="3"/>
  <c r="L51" i="3"/>
  <c r="S71" i="2"/>
  <c r="V1046" i="2" s="1"/>
  <c r="L52" i="3"/>
  <c r="R899" i="2"/>
  <c r="C973" i="2" s="1"/>
  <c r="R898" i="2"/>
  <c r="B973" i="2" s="1"/>
  <c r="C998" i="2" s="1"/>
  <c r="N898" i="2"/>
  <c r="B972" i="2" s="1"/>
  <c r="R900" i="2"/>
  <c r="C948" i="2" s="1"/>
  <c r="N899" i="2"/>
  <c r="B947" i="2" s="1"/>
  <c r="S899" i="2"/>
  <c r="F973" i="2" s="1"/>
  <c r="S898" i="2"/>
  <c r="E973" i="2" s="1"/>
  <c r="O898" i="2"/>
  <c r="E972" i="2" s="1"/>
  <c r="F997" i="2" s="1"/>
  <c r="S900" i="2"/>
  <c r="F948" i="2" s="1"/>
  <c r="O899" i="2"/>
  <c r="E947" i="2" s="1"/>
  <c r="T899" i="2"/>
  <c r="T898" i="2"/>
  <c r="H973" i="2" s="1"/>
  <c r="I998" i="2" s="1"/>
  <c r="P898" i="2"/>
  <c r="H972" i="2" s="1"/>
  <c r="I997" i="2" s="1"/>
  <c r="T900" i="2"/>
  <c r="P899" i="2"/>
  <c r="H947" i="2" s="1"/>
  <c r="U899" i="2"/>
  <c r="L973" i="2" s="1"/>
  <c r="U898" i="2"/>
  <c r="K973" i="2" s="1"/>
  <c r="L998" i="2" s="1"/>
  <c r="Q898" i="2"/>
  <c r="K972" i="2" s="1"/>
  <c r="U900" i="2"/>
  <c r="K922" i="2" s="1"/>
  <c r="Q899" i="2"/>
  <c r="K947" i="2" s="1"/>
  <c r="M47" i="3"/>
  <c r="H199" i="3" s="1"/>
  <c r="K199" i="3" s="1"/>
  <c r="S66" i="2"/>
  <c r="M48" i="3"/>
  <c r="L47" i="3"/>
  <c r="H198" i="3" s="1"/>
  <c r="K198" i="3" s="1"/>
  <c r="S67" i="2"/>
  <c r="X896" i="2" s="1"/>
  <c r="M49" i="3"/>
  <c r="L48" i="3"/>
  <c r="S68" i="2"/>
  <c r="V897" i="2" s="1"/>
  <c r="B999" i="2" s="1"/>
  <c r="L49" i="3"/>
  <c r="C60" i="4"/>
  <c r="K47" i="3"/>
  <c r="H197" i="3" s="1"/>
  <c r="K197" i="3" s="1"/>
  <c r="K48" i="3"/>
  <c r="J47" i="3"/>
  <c r="H196" i="3" s="1"/>
  <c r="K196" i="3" s="1"/>
  <c r="K49" i="3"/>
  <c r="J48" i="3"/>
  <c r="K50" i="3"/>
  <c r="J49" i="3"/>
  <c r="K51" i="3"/>
  <c r="J50" i="3"/>
  <c r="K52" i="3"/>
  <c r="J51" i="3"/>
  <c r="J52" i="3"/>
  <c r="E52" i="3"/>
  <c r="F52" i="3"/>
  <c r="G52" i="3"/>
  <c r="H52" i="3"/>
  <c r="I52" i="3"/>
  <c r="A409" i="2"/>
  <c r="A999" i="2" s="1"/>
  <c r="A408" i="2"/>
  <c r="A1103" i="2" s="1"/>
  <c r="V892" i="2"/>
  <c r="R892" i="2"/>
  <c r="G226" i="3"/>
  <c r="G57" i="4" s="1"/>
  <c r="G227" i="3"/>
  <c r="G58" i="4" s="1"/>
  <c r="G228" i="3"/>
  <c r="G59" i="5" s="1"/>
  <c r="G229" i="3"/>
  <c r="A133" i="3"/>
  <c r="A137" i="3" s="1"/>
  <c r="A132" i="3"/>
  <c r="A136" i="3" s="1"/>
  <c r="A131" i="3"/>
  <c r="A135" i="3" s="1"/>
  <c r="C131" i="3"/>
  <c r="C132" i="3" s="1"/>
  <c r="N45" i="3"/>
  <c r="F200" i="3" s="1"/>
  <c r="M45" i="3"/>
  <c r="F199" i="3" s="1"/>
  <c r="A203" i="3" s="1"/>
  <c r="E41" i="2"/>
  <c r="E42" i="2"/>
  <c r="E43" i="2"/>
  <c r="E44" i="2"/>
  <c r="E45" i="2"/>
  <c r="E46" i="2"/>
  <c r="E47" i="2"/>
  <c r="E48" i="2"/>
  <c r="E49" i="2"/>
  <c r="F41" i="2"/>
  <c r="F42" i="2"/>
  <c r="F43" i="2"/>
  <c r="F44" i="2"/>
  <c r="F45" i="2"/>
  <c r="F46" i="2"/>
  <c r="F47" i="2"/>
  <c r="F48" i="2"/>
  <c r="F49" i="2"/>
  <c r="G41" i="2"/>
  <c r="G42" i="2"/>
  <c r="G43" i="2"/>
  <c r="G44" i="2"/>
  <c r="G45" i="2"/>
  <c r="G46" i="2"/>
  <c r="G47" i="2"/>
  <c r="G48" i="2"/>
  <c r="G49" i="2"/>
  <c r="H41" i="2"/>
  <c r="H42" i="2"/>
  <c r="H43" i="2"/>
  <c r="H44" i="2"/>
  <c r="H45" i="2"/>
  <c r="H46" i="2"/>
  <c r="H47" i="2"/>
  <c r="H48" i="2"/>
  <c r="H49" i="2"/>
  <c r="I41" i="2"/>
  <c r="I42" i="2"/>
  <c r="I43" i="2"/>
  <c r="I44" i="2"/>
  <c r="I45" i="2"/>
  <c r="I46" i="2"/>
  <c r="I47" i="2"/>
  <c r="I48" i="2"/>
  <c r="I49" i="2"/>
  <c r="J41" i="2"/>
  <c r="J42" i="2"/>
  <c r="J43" i="2"/>
  <c r="J44" i="2"/>
  <c r="J45" i="2"/>
  <c r="J46" i="2"/>
  <c r="J47" i="2"/>
  <c r="J48" i="2"/>
  <c r="J49" i="2"/>
  <c r="K41" i="2"/>
  <c r="K42" i="2"/>
  <c r="K43" i="2"/>
  <c r="K44" i="2"/>
  <c r="K45" i="2"/>
  <c r="K46" i="2"/>
  <c r="K47" i="2"/>
  <c r="K48" i="2"/>
  <c r="K49" i="2"/>
  <c r="L41" i="2"/>
  <c r="L42" i="2"/>
  <c r="L43" i="2"/>
  <c r="L44" i="2"/>
  <c r="L45" i="2"/>
  <c r="L46" i="2"/>
  <c r="L47" i="2"/>
  <c r="L48" i="2"/>
  <c r="L49" i="2"/>
  <c r="B81" i="2"/>
  <c r="M41" i="2" s="1"/>
  <c r="C81" i="2"/>
  <c r="M42" i="2" s="1"/>
  <c r="D81" i="2"/>
  <c r="M43" i="2" s="1"/>
  <c r="E81" i="2"/>
  <c r="M44" i="2" s="1"/>
  <c r="F81" i="2"/>
  <c r="M45" i="2" s="1"/>
  <c r="G81" i="2"/>
  <c r="M46" i="2" s="1"/>
  <c r="H81" i="2"/>
  <c r="M47" i="2" s="1"/>
  <c r="I81" i="2"/>
  <c r="M48" i="2" s="1"/>
  <c r="J81" i="2"/>
  <c r="M49" i="2" s="1"/>
  <c r="M40" i="2"/>
  <c r="L40" i="2"/>
  <c r="S72" i="2"/>
  <c r="S73" i="2"/>
  <c r="S74" i="2"/>
  <c r="V1049" i="2" s="1"/>
  <c r="S75" i="2"/>
  <c r="N56" i="3" s="1"/>
  <c r="S76" i="2"/>
  <c r="N57" i="3" s="1"/>
  <c r="S77" i="2"/>
  <c r="N58" i="3" s="1"/>
  <c r="S78" i="2"/>
  <c r="N59" i="3" s="1"/>
  <c r="S79" i="2"/>
  <c r="N62" i="3" s="1"/>
  <c r="R81" i="2"/>
  <c r="Q81" i="2"/>
  <c r="M58" i="2" s="1"/>
  <c r="P81" i="2"/>
  <c r="M57" i="2" s="1"/>
  <c r="O81" i="2"/>
  <c r="M56" i="2" s="1"/>
  <c r="N81" i="2"/>
  <c r="M54" i="2" s="1"/>
  <c r="M81" i="2"/>
  <c r="M53" i="2" s="1"/>
  <c r="L81" i="2"/>
  <c r="M52" i="2" s="1"/>
  <c r="K81" i="2"/>
  <c r="M51" i="2" s="1"/>
  <c r="M53" i="3"/>
  <c r="M54" i="3"/>
  <c r="M55" i="3"/>
  <c r="M56" i="3"/>
  <c r="M57" i="3"/>
  <c r="M58" i="3"/>
  <c r="M59" i="3"/>
  <c r="L53" i="3"/>
  <c r="L54" i="3"/>
  <c r="L55" i="3"/>
  <c r="L56" i="3"/>
  <c r="L57" i="3"/>
  <c r="L58" i="3"/>
  <c r="L59" i="3"/>
  <c r="K53" i="3"/>
  <c r="K54" i="3"/>
  <c r="K55" i="3"/>
  <c r="K56" i="3"/>
  <c r="K57" i="3"/>
  <c r="K58" i="3"/>
  <c r="K59" i="3"/>
  <c r="J53" i="3"/>
  <c r="J54" i="3"/>
  <c r="J55" i="3"/>
  <c r="J56" i="3"/>
  <c r="J57" i="3"/>
  <c r="J58" i="3"/>
  <c r="I53" i="3"/>
  <c r="I54" i="3"/>
  <c r="I55" i="3"/>
  <c r="H53" i="3"/>
  <c r="H54" i="3"/>
  <c r="H55" i="3"/>
  <c r="G53" i="3"/>
  <c r="G54" i="3"/>
  <c r="G57" i="3"/>
  <c r="G58" i="3"/>
  <c r="G59" i="3"/>
  <c r="F53" i="3"/>
  <c r="F55" i="3"/>
  <c r="E53" i="3"/>
  <c r="E54" i="3"/>
  <c r="AA523" i="2"/>
  <c r="X523" i="2"/>
  <c r="U523" i="2"/>
  <c r="R523" i="2"/>
  <c r="O523" i="2"/>
  <c r="L523" i="2"/>
  <c r="I523" i="2"/>
  <c r="F523" i="2"/>
  <c r="C523" i="2"/>
  <c r="AA524" i="2"/>
  <c r="X524" i="2"/>
  <c r="U524" i="2"/>
  <c r="R524" i="2"/>
  <c r="O524" i="2"/>
  <c r="L524" i="2"/>
  <c r="I524" i="2"/>
  <c r="F524" i="2"/>
  <c r="C524" i="2"/>
  <c r="AA525" i="2"/>
  <c r="X525" i="2"/>
  <c r="U525" i="2"/>
  <c r="R525" i="2"/>
  <c r="O525" i="2"/>
  <c r="L525" i="2"/>
  <c r="I525" i="2"/>
  <c r="F525" i="2"/>
  <c r="C525" i="2"/>
  <c r="AA526" i="2"/>
  <c r="X526" i="2"/>
  <c r="U526" i="2"/>
  <c r="R526" i="2"/>
  <c r="O526" i="2"/>
  <c r="L526" i="2"/>
  <c r="I526" i="2"/>
  <c r="F526" i="2"/>
  <c r="C526" i="2"/>
  <c r="AA527" i="2"/>
  <c r="X527" i="2"/>
  <c r="U527" i="2"/>
  <c r="R527" i="2"/>
  <c r="O527" i="2"/>
  <c r="L527" i="2"/>
  <c r="I527" i="2"/>
  <c r="F527" i="2"/>
  <c r="C527" i="2"/>
  <c r="AA528" i="2"/>
  <c r="X528" i="2"/>
  <c r="U528" i="2"/>
  <c r="R528" i="2"/>
  <c r="O528" i="2"/>
  <c r="L528" i="2"/>
  <c r="I528" i="2"/>
  <c r="F528" i="2"/>
  <c r="C528" i="2"/>
  <c r="AA529" i="2"/>
  <c r="X529" i="2"/>
  <c r="U529" i="2"/>
  <c r="R529" i="2"/>
  <c r="O529" i="2"/>
  <c r="L529" i="2"/>
  <c r="I529" i="2"/>
  <c r="F529" i="2"/>
  <c r="C529" i="2"/>
  <c r="AA530" i="2"/>
  <c r="X530" i="2"/>
  <c r="U530" i="2"/>
  <c r="R530" i="2"/>
  <c r="O530" i="2"/>
  <c r="L530" i="2"/>
  <c r="I530" i="2"/>
  <c r="F530" i="2"/>
  <c r="C530" i="2"/>
  <c r="AA531" i="2"/>
  <c r="X531" i="2"/>
  <c r="U531" i="2"/>
  <c r="R531" i="2"/>
  <c r="O531" i="2"/>
  <c r="L531" i="2"/>
  <c r="I531" i="2"/>
  <c r="F531" i="2"/>
  <c r="C531" i="2"/>
  <c r="C532" i="2"/>
  <c r="F532" i="2"/>
  <c r="E531" i="2"/>
  <c r="I532" i="2"/>
  <c r="L532" i="2"/>
  <c r="O532" i="2"/>
  <c r="R532" i="2"/>
  <c r="U532" i="2"/>
  <c r="X532" i="2"/>
  <c r="AA532" i="2"/>
  <c r="AA497" i="2"/>
  <c r="X497" i="2"/>
  <c r="U497" i="2"/>
  <c r="R497" i="2"/>
  <c r="O497" i="2"/>
  <c r="L497" i="2"/>
  <c r="I497" i="2"/>
  <c r="F497" i="2"/>
  <c r="C497" i="2"/>
  <c r="AA498" i="2"/>
  <c r="X498" i="2"/>
  <c r="U498" i="2"/>
  <c r="R498" i="2"/>
  <c r="O498" i="2"/>
  <c r="L498" i="2"/>
  <c r="I498" i="2"/>
  <c r="F498" i="2"/>
  <c r="C498" i="2"/>
  <c r="AA499" i="2"/>
  <c r="X499" i="2"/>
  <c r="U499" i="2"/>
  <c r="R499" i="2"/>
  <c r="O499" i="2"/>
  <c r="L499" i="2"/>
  <c r="I499" i="2"/>
  <c r="F499" i="2"/>
  <c r="C499" i="2"/>
  <c r="AA500" i="2"/>
  <c r="X500" i="2"/>
  <c r="U500" i="2"/>
  <c r="R500" i="2"/>
  <c r="O500" i="2"/>
  <c r="L500" i="2"/>
  <c r="I500" i="2"/>
  <c r="F500" i="2"/>
  <c r="C500" i="2"/>
  <c r="AA501" i="2"/>
  <c r="X501" i="2"/>
  <c r="U501" i="2"/>
  <c r="R501" i="2"/>
  <c r="O501" i="2"/>
  <c r="L501" i="2"/>
  <c r="I501" i="2"/>
  <c r="F501" i="2"/>
  <c r="C501" i="2"/>
  <c r="AA502" i="2"/>
  <c r="X502" i="2"/>
  <c r="U502" i="2"/>
  <c r="R502" i="2"/>
  <c r="O502" i="2"/>
  <c r="L502" i="2"/>
  <c r="I502" i="2"/>
  <c r="F502" i="2"/>
  <c r="C502" i="2"/>
  <c r="AA503" i="2"/>
  <c r="X503" i="2"/>
  <c r="U503" i="2"/>
  <c r="R503" i="2"/>
  <c r="O503" i="2"/>
  <c r="L503" i="2"/>
  <c r="I503" i="2"/>
  <c r="F503" i="2"/>
  <c r="C503" i="2"/>
  <c r="AA504" i="2"/>
  <c r="X504" i="2"/>
  <c r="U504" i="2"/>
  <c r="R504" i="2"/>
  <c r="O504" i="2"/>
  <c r="L504" i="2"/>
  <c r="I504" i="2"/>
  <c r="F504" i="2"/>
  <c r="C504" i="2"/>
  <c r="AA505" i="2"/>
  <c r="X505" i="2"/>
  <c r="U505" i="2"/>
  <c r="R505" i="2"/>
  <c r="O505" i="2"/>
  <c r="L505" i="2"/>
  <c r="I505" i="2"/>
  <c r="F505" i="2"/>
  <c r="C505" i="2"/>
  <c r="C506" i="2"/>
  <c r="F506" i="2"/>
  <c r="I506" i="2"/>
  <c r="L506" i="2"/>
  <c r="O506" i="2"/>
  <c r="R506" i="2"/>
  <c r="U506" i="2"/>
  <c r="X506" i="2"/>
  <c r="AA506" i="2"/>
  <c r="AA472" i="2"/>
  <c r="X472" i="2"/>
  <c r="U472" i="2"/>
  <c r="R472" i="2"/>
  <c r="O472" i="2"/>
  <c r="L472" i="2"/>
  <c r="I472" i="2"/>
  <c r="F472" i="2"/>
  <c r="C472" i="2"/>
  <c r="AA473" i="2"/>
  <c r="X473" i="2"/>
  <c r="U473" i="2"/>
  <c r="R473" i="2"/>
  <c r="O473" i="2"/>
  <c r="L473" i="2"/>
  <c r="I473" i="2"/>
  <c r="F473" i="2"/>
  <c r="C473" i="2"/>
  <c r="AA474" i="2"/>
  <c r="X474" i="2"/>
  <c r="U474" i="2"/>
  <c r="R474" i="2"/>
  <c r="O474" i="2"/>
  <c r="L474" i="2"/>
  <c r="I474" i="2"/>
  <c r="F474" i="2"/>
  <c r="C474" i="2"/>
  <c r="AA475" i="2"/>
  <c r="X475" i="2"/>
  <c r="U475" i="2"/>
  <c r="R475" i="2"/>
  <c r="O475" i="2"/>
  <c r="L475" i="2"/>
  <c r="I475" i="2"/>
  <c r="F475" i="2"/>
  <c r="C475" i="2"/>
  <c r="AA476" i="2"/>
  <c r="X476" i="2"/>
  <c r="U476" i="2"/>
  <c r="R476" i="2"/>
  <c r="O476" i="2"/>
  <c r="L476" i="2"/>
  <c r="I476" i="2"/>
  <c r="F476" i="2"/>
  <c r="C476" i="2"/>
  <c r="AA477" i="2"/>
  <c r="X477" i="2"/>
  <c r="U477" i="2"/>
  <c r="R477" i="2"/>
  <c r="O477" i="2"/>
  <c r="L477" i="2"/>
  <c r="I477" i="2"/>
  <c r="F477" i="2"/>
  <c r="C477" i="2"/>
  <c r="AA478" i="2"/>
  <c r="X478" i="2"/>
  <c r="U478" i="2"/>
  <c r="R478" i="2"/>
  <c r="O478" i="2"/>
  <c r="L478" i="2"/>
  <c r="I478" i="2"/>
  <c r="F478" i="2"/>
  <c r="C478" i="2"/>
  <c r="AA479" i="2"/>
  <c r="X479" i="2"/>
  <c r="U479" i="2"/>
  <c r="R479" i="2"/>
  <c r="O479" i="2"/>
  <c r="L479" i="2"/>
  <c r="I479" i="2"/>
  <c r="F479" i="2"/>
  <c r="C479" i="2"/>
  <c r="F480" i="2"/>
  <c r="I480" i="2"/>
  <c r="R480" i="2"/>
  <c r="U480" i="2"/>
  <c r="X480" i="2"/>
  <c r="AA480" i="2"/>
  <c r="C480" i="2"/>
  <c r="L480" i="2"/>
  <c r="O480" i="2"/>
  <c r="AA445" i="2"/>
  <c r="X445" i="2"/>
  <c r="U445" i="2"/>
  <c r="R445" i="2"/>
  <c r="O445" i="2"/>
  <c r="L445" i="2"/>
  <c r="I445" i="2"/>
  <c r="F445" i="2"/>
  <c r="C445" i="2"/>
  <c r="AA446" i="2"/>
  <c r="X446" i="2"/>
  <c r="U446" i="2"/>
  <c r="R446" i="2"/>
  <c r="O446" i="2"/>
  <c r="L446" i="2"/>
  <c r="I446" i="2"/>
  <c r="F446" i="2"/>
  <c r="C446" i="2"/>
  <c r="AA447" i="2"/>
  <c r="X447" i="2"/>
  <c r="U447" i="2"/>
  <c r="R447" i="2"/>
  <c r="O447" i="2"/>
  <c r="L447" i="2"/>
  <c r="I447" i="2"/>
  <c r="F447" i="2"/>
  <c r="C447" i="2"/>
  <c r="AA448" i="2"/>
  <c r="X448" i="2"/>
  <c r="U448" i="2"/>
  <c r="R448" i="2"/>
  <c r="O448" i="2"/>
  <c r="L448" i="2"/>
  <c r="I448" i="2"/>
  <c r="F448" i="2"/>
  <c r="C448" i="2"/>
  <c r="AA449" i="2"/>
  <c r="X449" i="2"/>
  <c r="U449" i="2"/>
  <c r="R449" i="2"/>
  <c r="O449" i="2"/>
  <c r="L449" i="2"/>
  <c r="I449" i="2"/>
  <c r="F449" i="2"/>
  <c r="C449" i="2"/>
  <c r="AA450" i="2"/>
  <c r="X450" i="2"/>
  <c r="U450" i="2"/>
  <c r="R450" i="2"/>
  <c r="O450" i="2"/>
  <c r="L450" i="2"/>
  <c r="I450" i="2"/>
  <c r="F450" i="2"/>
  <c r="C450" i="2"/>
  <c r="AA451" i="2"/>
  <c r="X451" i="2"/>
  <c r="U451" i="2"/>
  <c r="R451" i="2"/>
  <c r="O451" i="2"/>
  <c r="L451" i="2"/>
  <c r="I451" i="2"/>
  <c r="F451" i="2"/>
  <c r="C451" i="2"/>
  <c r="AA452" i="2"/>
  <c r="X452" i="2"/>
  <c r="U452" i="2"/>
  <c r="R452" i="2"/>
  <c r="O452" i="2"/>
  <c r="L452" i="2"/>
  <c r="I452" i="2"/>
  <c r="F452" i="2"/>
  <c r="C452" i="2"/>
  <c r="AA453" i="2"/>
  <c r="X453" i="2"/>
  <c r="U453" i="2"/>
  <c r="R453" i="2"/>
  <c r="O453" i="2"/>
  <c r="L453" i="2"/>
  <c r="I453" i="2"/>
  <c r="F453" i="2"/>
  <c r="C453" i="2"/>
  <c r="C454" i="2"/>
  <c r="F454" i="2"/>
  <c r="I454" i="2"/>
  <c r="L454" i="2"/>
  <c r="O454" i="2"/>
  <c r="R454" i="2"/>
  <c r="U454" i="2"/>
  <c r="X454" i="2"/>
  <c r="AA454" i="2"/>
  <c r="AA401" i="2"/>
  <c r="X401" i="2"/>
  <c r="U401" i="2"/>
  <c r="R401" i="2"/>
  <c r="O401" i="2"/>
  <c r="L401" i="2"/>
  <c r="I401" i="2"/>
  <c r="F401" i="2"/>
  <c r="C401" i="2"/>
  <c r="AA402" i="2"/>
  <c r="X402" i="2"/>
  <c r="U402" i="2"/>
  <c r="R402" i="2"/>
  <c r="O402" i="2"/>
  <c r="L402" i="2"/>
  <c r="I402" i="2"/>
  <c r="F402" i="2"/>
  <c r="C402" i="2"/>
  <c r="AA403" i="2"/>
  <c r="X403" i="2"/>
  <c r="U403" i="2"/>
  <c r="R403" i="2"/>
  <c r="O403" i="2"/>
  <c r="L403" i="2"/>
  <c r="I403" i="2"/>
  <c r="F403" i="2"/>
  <c r="C403" i="2"/>
  <c r="AA404" i="2"/>
  <c r="X404" i="2"/>
  <c r="U404" i="2"/>
  <c r="R404" i="2"/>
  <c r="O404" i="2"/>
  <c r="L404" i="2"/>
  <c r="I404" i="2"/>
  <c r="F404" i="2"/>
  <c r="C404" i="2"/>
  <c r="AA405" i="2"/>
  <c r="X405" i="2"/>
  <c r="U405" i="2"/>
  <c r="R405" i="2"/>
  <c r="O405" i="2"/>
  <c r="L405" i="2"/>
  <c r="I405" i="2"/>
  <c r="F405" i="2"/>
  <c r="C405" i="2"/>
  <c r="AA406" i="2"/>
  <c r="X406" i="2"/>
  <c r="U406" i="2"/>
  <c r="R406" i="2"/>
  <c r="O406" i="2"/>
  <c r="L406" i="2"/>
  <c r="I406" i="2"/>
  <c r="F406" i="2"/>
  <c r="C406" i="2"/>
  <c r="AA407" i="2"/>
  <c r="X407" i="2"/>
  <c r="U407" i="2"/>
  <c r="R407" i="2"/>
  <c r="O407" i="2"/>
  <c r="L407" i="2"/>
  <c r="I407" i="2"/>
  <c r="F407" i="2"/>
  <c r="C407" i="2"/>
  <c r="AA408" i="2"/>
  <c r="X408" i="2"/>
  <c r="U408" i="2"/>
  <c r="R408" i="2"/>
  <c r="O408" i="2"/>
  <c r="L408" i="2"/>
  <c r="I408" i="2"/>
  <c r="F408" i="2"/>
  <c r="C408" i="2"/>
  <c r="AA409" i="2"/>
  <c r="X409" i="2"/>
  <c r="U409" i="2"/>
  <c r="R409" i="2"/>
  <c r="O409" i="2"/>
  <c r="L409" i="2"/>
  <c r="I409" i="2"/>
  <c r="F409" i="2"/>
  <c r="C409" i="2"/>
  <c r="C410" i="2"/>
  <c r="F410" i="2"/>
  <c r="I410" i="2"/>
  <c r="L410" i="2"/>
  <c r="O410" i="2"/>
  <c r="R410" i="2"/>
  <c r="U410" i="2"/>
  <c r="X410" i="2"/>
  <c r="AA410" i="2"/>
  <c r="Z522" i="2"/>
  <c r="W522" i="2"/>
  <c r="T522" i="2"/>
  <c r="Q522" i="2"/>
  <c r="N522" i="2"/>
  <c r="K522" i="2"/>
  <c r="H522" i="2"/>
  <c r="E522" i="2"/>
  <c r="B522" i="2"/>
  <c r="Z523" i="2"/>
  <c r="W523" i="2"/>
  <c r="T523" i="2"/>
  <c r="Q523" i="2"/>
  <c r="N523" i="2"/>
  <c r="K523" i="2"/>
  <c r="H523" i="2"/>
  <c r="E523" i="2"/>
  <c r="B523" i="2"/>
  <c r="Z524" i="2"/>
  <c r="W524" i="2"/>
  <c r="T524" i="2"/>
  <c r="Q524" i="2"/>
  <c r="N524" i="2"/>
  <c r="K524" i="2"/>
  <c r="H524" i="2"/>
  <c r="E524" i="2"/>
  <c r="B524" i="2"/>
  <c r="Z525" i="2"/>
  <c r="W525" i="2"/>
  <c r="T525" i="2"/>
  <c r="Q525" i="2"/>
  <c r="N525" i="2"/>
  <c r="K525" i="2"/>
  <c r="H525" i="2"/>
  <c r="E525" i="2"/>
  <c r="B525" i="2"/>
  <c r="Z526" i="2"/>
  <c r="W526" i="2"/>
  <c r="T526" i="2"/>
  <c r="Q526" i="2"/>
  <c r="N526" i="2"/>
  <c r="K526" i="2"/>
  <c r="H526" i="2"/>
  <c r="E526" i="2"/>
  <c r="B526" i="2"/>
  <c r="Z527" i="2"/>
  <c r="W527" i="2"/>
  <c r="T527" i="2"/>
  <c r="Q527" i="2"/>
  <c r="N527" i="2"/>
  <c r="K527" i="2"/>
  <c r="H527" i="2"/>
  <c r="E527" i="2"/>
  <c r="B527" i="2"/>
  <c r="Z528" i="2"/>
  <c r="W528" i="2"/>
  <c r="T528" i="2"/>
  <c r="Q528" i="2"/>
  <c r="N528" i="2"/>
  <c r="P529" i="2" s="1"/>
  <c r="K528" i="2"/>
  <c r="H528" i="2"/>
  <c r="E528" i="2"/>
  <c r="B528" i="2"/>
  <c r="Z529" i="2"/>
  <c r="W529" i="2"/>
  <c r="T529" i="2"/>
  <c r="Q529" i="2"/>
  <c r="N529" i="2"/>
  <c r="K529" i="2"/>
  <c r="H529" i="2"/>
  <c r="E529" i="2"/>
  <c r="B529" i="2"/>
  <c r="Z530" i="2"/>
  <c r="W530" i="2"/>
  <c r="T530" i="2"/>
  <c r="Q530" i="2"/>
  <c r="N530" i="2"/>
  <c r="K530" i="2"/>
  <c r="H530" i="2"/>
  <c r="E530" i="2"/>
  <c r="G531" i="2" s="1"/>
  <c r="B530" i="2"/>
  <c r="Z531" i="2"/>
  <c r="W531" i="2"/>
  <c r="T531" i="2"/>
  <c r="Q531" i="2"/>
  <c r="N531" i="2"/>
  <c r="K531" i="2"/>
  <c r="H531" i="2"/>
  <c r="B531" i="2"/>
  <c r="Z496" i="2"/>
  <c r="W496" i="2"/>
  <c r="T496" i="2"/>
  <c r="Q496" i="2"/>
  <c r="N496" i="2"/>
  <c r="K496" i="2"/>
  <c r="H496" i="2"/>
  <c r="E496" i="2"/>
  <c r="B496" i="2"/>
  <c r="Z497" i="2"/>
  <c r="W497" i="2"/>
  <c r="T497" i="2"/>
  <c r="Q497" i="2"/>
  <c r="N497" i="2"/>
  <c r="K497" i="2"/>
  <c r="H497" i="2"/>
  <c r="E497" i="2"/>
  <c r="B497" i="2"/>
  <c r="Z498" i="2"/>
  <c r="W498" i="2"/>
  <c r="T498" i="2"/>
  <c r="Q498" i="2"/>
  <c r="N498" i="2"/>
  <c r="K498" i="2"/>
  <c r="H498" i="2"/>
  <c r="E498" i="2"/>
  <c r="B498" i="2"/>
  <c r="Z499" i="2"/>
  <c r="W499" i="2"/>
  <c r="T499" i="2"/>
  <c r="Q499" i="2"/>
  <c r="N499" i="2"/>
  <c r="K499" i="2"/>
  <c r="H499" i="2"/>
  <c r="E499" i="2"/>
  <c r="B499" i="2"/>
  <c r="Z500" i="2"/>
  <c r="W500" i="2"/>
  <c r="T500" i="2"/>
  <c r="Q500" i="2"/>
  <c r="N500" i="2"/>
  <c r="K500" i="2"/>
  <c r="H500" i="2"/>
  <c r="J501" i="2" s="1"/>
  <c r="E500" i="2"/>
  <c r="B500" i="2"/>
  <c r="Z501" i="2"/>
  <c r="W501" i="2"/>
  <c r="T501" i="2"/>
  <c r="Q501" i="2"/>
  <c r="N501" i="2"/>
  <c r="K501" i="2"/>
  <c r="H501" i="2"/>
  <c r="E501" i="2"/>
  <c r="B501" i="2"/>
  <c r="Z502" i="2"/>
  <c r="W502" i="2"/>
  <c r="T502" i="2"/>
  <c r="Q502" i="2"/>
  <c r="N502" i="2"/>
  <c r="K502" i="2"/>
  <c r="H502" i="2"/>
  <c r="E502" i="2"/>
  <c r="B502" i="2"/>
  <c r="Z503" i="2"/>
  <c r="W503" i="2"/>
  <c r="T503" i="2"/>
  <c r="Q503" i="2"/>
  <c r="Q508" i="2" s="1"/>
  <c r="N503" i="2"/>
  <c r="K503" i="2"/>
  <c r="H503" i="2"/>
  <c r="E503" i="2"/>
  <c r="B503" i="2"/>
  <c r="Z504" i="2"/>
  <c r="W504" i="2"/>
  <c r="T504" i="2"/>
  <c r="Q504" i="2"/>
  <c r="N504" i="2"/>
  <c r="K504" i="2"/>
  <c r="H504" i="2"/>
  <c r="E504" i="2"/>
  <c r="B504" i="2"/>
  <c r="Z505" i="2"/>
  <c r="W505" i="2"/>
  <c r="T505" i="2"/>
  <c r="Q505" i="2"/>
  <c r="N505" i="2"/>
  <c r="K505" i="2"/>
  <c r="H505" i="2"/>
  <c r="J506" i="2" s="1"/>
  <c r="E505" i="2"/>
  <c r="B505" i="2"/>
  <c r="Z471" i="2"/>
  <c r="W471" i="2"/>
  <c r="T471" i="2"/>
  <c r="Q471" i="2"/>
  <c r="N471" i="2"/>
  <c r="K471" i="2"/>
  <c r="H471" i="2"/>
  <c r="E471" i="2"/>
  <c r="B471" i="2"/>
  <c r="Z472" i="2"/>
  <c r="W472" i="2"/>
  <c r="T472" i="2"/>
  <c r="Q472" i="2"/>
  <c r="N472" i="2"/>
  <c r="K472" i="2"/>
  <c r="H472" i="2"/>
  <c r="E472" i="2"/>
  <c r="B472" i="2"/>
  <c r="Z473" i="2"/>
  <c r="W473" i="2"/>
  <c r="T473" i="2"/>
  <c r="Q473" i="2"/>
  <c r="N473" i="2"/>
  <c r="K473" i="2"/>
  <c r="H473" i="2"/>
  <c r="E473" i="2"/>
  <c r="B473" i="2"/>
  <c r="Z474" i="2"/>
  <c r="W474" i="2"/>
  <c r="T474" i="2"/>
  <c r="Q474" i="2"/>
  <c r="N474" i="2"/>
  <c r="K474" i="2"/>
  <c r="H474" i="2"/>
  <c r="E474" i="2"/>
  <c r="B474" i="2"/>
  <c r="Z475" i="2"/>
  <c r="W475" i="2"/>
  <c r="T475" i="2"/>
  <c r="Q475" i="2"/>
  <c r="N475" i="2"/>
  <c r="K475" i="2"/>
  <c r="H475" i="2"/>
  <c r="E475" i="2"/>
  <c r="B475" i="2"/>
  <c r="Z476" i="2"/>
  <c r="W476" i="2"/>
  <c r="T476" i="2"/>
  <c r="Q476" i="2"/>
  <c r="N476" i="2"/>
  <c r="K476" i="2"/>
  <c r="H476" i="2"/>
  <c r="E476" i="2"/>
  <c r="B476" i="2"/>
  <c r="Z477" i="2"/>
  <c r="W477" i="2"/>
  <c r="T477" i="2"/>
  <c r="Q477" i="2"/>
  <c r="N477" i="2"/>
  <c r="K477" i="2"/>
  <c r="H477" i="2"/>
  <c r="H482" i="2" s="1"/>
  <c r="E477" i="2"/>
  <c r="B477" i="2"/>
  <c r="Z478" i="2"/>
  <c r="W478" i="2"/>
  <c r="T478" i="2"/>
  <c r="Q478" i="2"/>
  <c r="N478" i="2"/>
  <c r="K478" i="2"/>
  <c r="H478" i="2"/>
  <c r="E478" i="2"/>
  <c r="B478" i="2"/>
  <c r="Z479" i="2"/>
  <c r="W479" i="2"/>
  <c r="T479" i="2"/>
  <c r="Q479" i="2"/>
  <c r="N479" i="2"/>
  <c r="K479" i="2"/>
  <c r="H479" i="2"/>
  <c r="E479" i="2"/>
  <c r="B479" i="2"/>
  <c r="Z444" i="2"/>
  <c r="W444" i="2"/>
  <c r="T444" i="2"/>
  <c r="Q444" i="2"/>
  <c r="N444" i="2"/>
  <c r="K444" i="2"/>
  <c r="H444" i="2"/>
  <c r="E444" i="2"/>
  <c r="B444" i="2"/>
  <c r="Z445" i="2"/>
  <c r="W445" i="2"/>
  <c r="T445" i="2"/>
  <c r="Q445" i="2"/>
  <c r="N445" i="2"/>
  <c r="K445" i="2"/>
  <c r="H445" i="2"/>
  <c r="E445" i="2"/>
  <c r="B445" i="2"/>
  <c r="Z446" i="2"/>
  <c r="W446" i="2"/>
  <c r="T446" i="2"/>
  <c r="Q446" i="2"/>
  <c r="N446" i="2"/>
  <c r="K446" i="2"/>
  <c r="H446" i="2"/>
  <c r="E446" i="2"/>
  <c r="B446" i="2"/>
  <c r="Z447" i="2"/>
  <c r="W447" i="2"/>
  <c r="T447" i="2"/>
  <c r="Q447" i="2"/>
  <c r="N447" i="2"/>
  <c r="K447" i="2"/>
  <c r="H447" i="2"/>
  <c r="E447" i="2"/>
  <c r="B447" i="2"/>
  <c r="Z448" i="2"/>
  <c r="W448" i="2"/>
  <c r="T448" i="2"/>
  <c r="Q448" i="2"/>
  <c r="S449" i="2" s="1"/>
  <c r="N448" i="2"/>
  <c r="K448" i="2"/>
  <c r="H448" i="2"/>
  <c r="E448" i="2"/>
  <c r="B448" i="2"/>
  <c r="Z449" i="2"/>
  <c r="W449" i="2"/>
  <c r="T449" i="2"/>
  <c r="Q449" i="2"/>
  <c r="N449" i="2"/>
  <c r="K449" i="2"/>
  <c r="H449" i="2"/>
  <c r="E449" i="2"/>
  <c r="B449" i="2"/>
  <c r="Z450" i="2"/>
  <c r="W450" i="2"/>
  <c r="T450" i="2"/>
  <c r="Q450" i="2"/>
  <c r="N450" i="2"/>
  <c r="K450" i="2"/>
  <c r="H450" i="2"/>
  <c r="E450" i="2"/>
  <c r="B450" i="2"/>
  <c r="Z451" i="2"/>
  <c r="Z456" i="2" s="1"/>
  <c r="W451" i="2"/>
  <c r="T451" i="2"/>
  <c r="Q451" i="2"/>
  <c r="N451" i="2"/>
  <c r="K451" i="2"/>
  <c r="H451" i="2"/>
  <c r="E451" i="2"/>
  <c r="B451" i="2"/>
  <c r="Z452" i="2"/>
  <c r="W452" i="2"/>
  <c r="T452" i="2"/>
  <c r="Q452" i="2"/>
  <c r="N452" i="2"/>
  <c r="K452" i="2"/>
  <c r="H452" i="2"/>
  <c r="E452" i="2"/>
  <c r="B452" i="2"/>
  <c r="Z453" i="2"/>
  <c r="W453" i="2"/>
  <c r="T453" i="2"/>
  <c r="Q453" i="2"/>
  <c r="N453" i="2"/>
  <c r="K453" i="2"/>
  <c r="H453" i="2"/>
  <c r="E453" i="2"/>
  <c r="B453" i="2"/>
  <c r="Z400" i="2"/>
  <c r="W400" i="2"/>
  <c r="T400" i="2"/>
  <c r="Q400" i="2"/>
  <c r="N400" i="2"/>
  <c r="K400" i="2"/>
  <c r="H400" i="2"/>
  <c r="E400" i="2"/>
  <c r="B400" i="2"/>
  <c r="Z401" i="2"/>
  <c r="W401" i="2"/>
  <c r="T401" i="2"/>
  <c r="Q401" i="2"/>
  <c r="N401" i="2"/>
  <c r="K401" i="2"/>
  <c r="H401" i="2"/>
  <c r="E401" i="2"/>
  <c r="B401" i="2"/>
  <c r="Z402" i="2"/>
  <c r="W402" i="2"/>
  <c r="T402" i="2"/>
  <c r="Q402" i="2"/>
  <c r="N402" i="2"/>
  <c r="K402" i="2"/>
  <c r="H402" i="2"/>
  <c r="E402" i="2"/>
  <c r="B402" i="2"/>
  <c r="Z403" i="2"/>
  <c r="W403" i="2"/>
  <c r="T403" i="2"/>
  <c r="Q403" i="2"/>
  <c r="N403" i="2"/>
  <c r="K403" i="2"/>
  <c r="H403" i="2"/>
  <c r="E403" i="2"/>
  <c r="B403" i="2"/>
  <c r="Z404" i="2"/>
  <c r="W404" i="2"/>
  <c r="T404" i="2"/>
  <c r="Q404" i="2"/>
  <c r="N404" i="2"/>
  <c r="K404" i="2"/>
  <c r="H404" i="2"/>
  <c r="E404" i="2"/>
  <c r="B404" i="2"/>
  <c r="Z405" i="2"/>
  <c r="W405" i="2"/>
  <c r="T405" i="2"/>
  <c r="Q405" i="2"/>
  <c r="N405" i="2"/>
  <c r="K405" i="2"/>
  <c r="H405" i="2"/>
  <c r="E405" i="2"/>
  <c r="B405" i="2"/>
  <c r="Z406" i="2"/>
  <c r="W406" i="2"/>
  <c r="T406" i="2"/>
  <c r="Q406" i="2"/>
  <c r="N406" i="2"/>
  <c r="K406" i="2"/>
  <c r="H406" i="2"/>
  <c r="E406" i="2"/>
  <c r="B406" i="2"/>
  <c r="Z407" i="2"/>
  <c r="W407" i="2"/>
  <c r="T407" i="2"/>
  <c r="Q407" i="2"/>
  <c r="N407" i="2"/>
  <c r="K407" i="2"/>
  <c r="H407" i="2"/>
  <c r="J408" i="2" s="1"/>
  <c r="E407" i="2"/>
  <c r="B407" i="2"/>
  <c r="Z408" i="2"/>
  <c r="W408" i="2"/>
  <c r="T408" i="2"/>
  <c r="Q408" i="2"/>
  <c r="S409" i="2" s="1"/>
  <c r="N408" i="2"/>
  <c r="K408" i="2"/>
  <c r="H408" i="2"/>
  <c r="E408" i="2"/>
  <c r="B408" i="2"/>
  <c r="Z409" i="2"/>
  <c r="AB410" i="2" s="1"/>
  <c r="W409" i="2"/>
  <c r="T409" i="2"/>
  <c r="Q409" i="2"/>
  <c r="N409" i="2"/>
  <c r="K409" i="2"/>
  <c r="H409" i="2"/>
  <c r="E409" i="2"/>
  <c r="B409" i="2"/>
  <c r="K131" i="3"/>
  <c r="J131" i="3"/>
  <c r="I47" i="3"/>
  <c r="H195" i="3" s="1"/>
  <c r="K195" i="3" s="1"/>
  <c r="H47" i="3"/>
  <c r="H194" i="3" s="1"/>
  <c r="K194" i="3" s="1"/>
  <c r="F47" i="3"/>
  <c r="H192" i="3" s="1"/>
  <c r="K192" i="3" s="1"/>
  <c r="I48" i="3"/>
  <c r="H48" i="3"/>
  <c r="F48" i="3"/>
  <c r="E47" i="3"/>
  <c r="H191" i="3" s="1"/>
  <c r="K191" i="3" s="1"/>
  <c r="I49" i="3"/>
  <c r="H49" i="3"/>
  <c r="F49" i="3"/>
  <c r="E48" i="3"/>
  <c r="I50" i="3"/>
  <c r="H50" i="3"/>
  <c r="F50" i="3"/>
  <c r="E49" i="3"/>
  <c r="I51" i="3"/>
  <c r="H51" i="3"/>
  <c r="F51" i="3"/>
  <c r="E50" i="3"/>
  <c r="E51" i="3"/>
  <c r="X20" i="2"/>
  <c r="Z27" i="2"/>
  <c r="S1046" i="2"/>
  <c r="E1158" i="2" s="1"/>
  <c r="O1046" i="2"/>
  <c r="E1157" i="2" s="1"/>
  <c r="S1047" i="2"/>
  <c r="F1158" i="2" s="1"/>
  <c r="T1046" i="2"/>
  <c r="H1158" i="2" s="1"/>
  <c r="P1046" i="2"/>
  <c r="H1157" i="2" s="1"/>
  <c r="T1047" i="2"/>
  <c r="I1158" i="2" s="1"/>
  <c r="Z1048" i="2"/>
  <c r="O55" i="3"/>
  <c r="I56" i="3"/>
  <c r="X23" i="2"/>
  <c r="S1048" i="2"/>
  <c r="O1047" i="2"/>
  <c r="S1049" i="2"/>
  <c r="E1077" i="2" s="1"/>
  <c r="O1048" i="2"/>
  <c r="F57" i="3"/>
  <c r="H57" i="3"/>
  <c r="I57" i="3"/>
  <c r="Z24" i="2"/>
  <c r="F58" i="3"/>
  <c r="H58" i="3"/>
  <c r="I58" i="3"/>
  <c r="O58" i="3"/>
  <c r="C267" i="3" s="1"/>
  <c r="T1048" i="2"/>
  <c r="P1047" i="2"/>
  <c r="H1130" i="2" s="1"/>
  <c r="T1049" i="2"/>
  <c r="I1103" i="2" s="1"/>
  <c r="P1048" i="2"/>
  <c r="H1102" i="2" s="1"/>
  <c r="F59" i="3"/>
  <c r="H59" i="3"/>
  <c r="G91" i="3" s="1"/>
  <c r="I59" i="3"/>
  <c r="J59" i="3"/>
  <c r="R1049" i="2"/>
  <c r="B1077" i="2" s="1"/>
  <c r="N1048" i="2"/>
  <c r="B1102" i="2" s="1"/>
  <c r="R1048" i="2"/>
  <c r="N1047" i="2"/>
  <c r="R1047" i="2"/>
  <c r="C1158" i="2" s="1"/>
  <c r="R1046" i="2"/>
  <c r="B1158" i="2" s="1"/>
  <c r="N1046" i="2"/>
  <c r="S897" i="2"/>
  <c r="E998" i="2" s="1"/>
  <c r="O897" i="2"/>
  <c r="E997" i="2" s="1"/>
  <c r="T897" i="2"/>
  <c r="H998" i="2" s="1"/>
  <c r="P897" i="2"/>
  <c r="H997" i="2" s="1"/>
  <c r="U897" i="2"/>
  <c r="K998" i="2" s="1"/>
  <c r="Q897" i="2"/>
  <c r="K997" i="2" s="1"/>
  <c r="R897" i="2"/>
  <c r="B998" i="2" s="1"/>
  <c r="N897" i="2"/>
  <c r="B997" i="2" s="1"/>
  <c r="J83" i="5"/>
  <c r="J214" i="5" s="1"/>
  <c r="I83" i="5"/>
  <c r="I214" i="5" s="1"/>
  <c r="H83" i="5"/>
  <c r="N334" i="5" s="1"/>
  <c r="D336" i="5"/>
  <c r="G83" i="5"/>
  <c r="N306" i="5" s="1"/>
  <c r="D308" i="5"/>
  <c r="Z901" i="2"/>
  <c r="D596" i="2" s="1"/>
  <c r="R901" i="2"/>
  <c r="C922" i="2" s="1"/>
  <c r="E569" i="2" s="1"/>
  <c r="V901" i="2"/>
  <c r="N900" i="2"/>
  <c r="G221" i="3"/>
  <c r="G52" i="5" s="1"/>
  <c r="G222" i="3"/>
  <c r="G53" i="4" s="1"/>
  <c r="G223" i="3"/>
  <c r="G224" i="3"/>
  <c r="G55" i="5" s="1"/>
  <c r="G225" i="3"/>
  <c r="G56" i="5" s="1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S33" i="3"/>
  <c r="L27" i="3"/>
  <c r="M27" i="3"/>
  <c r="N27" i="3"/>
  <c r="O27" i="3"/>
  <c r="P27" i="3"/>
  <c r="Q27" i="3"/>
  <c r="B27" i="3"/>
  <c r="C27" i="3"/>
  <c r="D27" i="3"/>
  <c r="E27" i="3"/>
  <c r="F27" i="3"/>
  <c r="G27" i="3"/>
  <c r="H27" i="3"/>
  <c r="I27" i="3"/>
  <c r="J27" i="3"/>
  <c r="K27" i="3"/>
  <c r="Q410" i="2"/>
  <c r="N410" i="2"/>
  <c r="O900" i="2"/>
  <c r="E921" i="2" s="1"/>
  <c r="S901" i="2"/>
  <c r="F922" i="2" s="1"/>
  <c r="H569" i="2" s="1"/>
  <c r="W901" i="2"/>
  <c r="G595" i="2" s="1"/>
  <c r="AA901" i="2"/>
  <c r="G596" i="2" s="1"/>
  <c r="P900" i="2"/>
  <c r="H921" i="2" s="1"/>
  <c r="T901" i="2"/>
  <c r="I922" i="2" s="1"/>
  <c r="K569" i="2" s="1"/>
  <c r="X901" i="2"/>
  <c r="I923" i="2" s="1"/>
  <c r="K570" i="2" s="1"/>
  <c r="AB901" i="2"/>
  <c r="I924" i="2" s="1"/>
  <c r="K571" i="2" s="1"/>
  <c r="Q900" i="2"/>
  <c r="L947" i="2" s="1"/>
  <c r="AC901" i="2"/>
  <c r="U901" i="2"/>
  <c r="L922" i="2" s="1"/>
  <c r="Y901" i="2"/>
  <c r="L923" i="2" s="1"/>
  <c r="N570" i="2" s="1"/>
  <c r="R902" i="2"/>
  <c r="E594" i="2" s="1"/>
  <c r="V902" i="2"/>
  <c r="E595" i="2" s="1"/>
  <c r="D620" i="2" s="1"/>
  <c r="Z902" i="2"/>
  <c r="E596" i="2" s="1"/>
  <c r="N901" i="2"/>
  <c r="D593" i="2" s="1"/>
  <c r="AB902" i="2"/>
  <c r="K596" i="2" s="1"/>
  <c r="J621" i="2" s="1"/>
  <c r="T902" i="2"/>
  <c r="K594" i="2" s="1"/>
  <c r="X902" i="2"/>
  <c r="K595" i="2" s="1"/>
  <c r="P901" i="2"/>
  <c r="J593" i="2" s="1"/>
  <c r="U902" i="2"/>
  <c r="N594" i="2" s="1"/>
  <c r="Y902" i="2"/>
  <c r="N595" i="2" s="1"/>
  <c r="M620" i="2" s="1"/>
  <c r="AC902" i="2"/>
  <c r="N596" i="2" s="1"/>
  <c r="M621" i="2" s="1"/>
  <c r="Q901" i="2"/>
  <c r="M593" i="2" s="1"/>
  <c r="S902" i="2"/>
  <c r="H594" i="2" s="1"/>
  <c r="G619" i="2" s="1"/>
  <c r="W902" i="2"/>
  <c r="H595" i="2" s="1"/>
  <c r="AA902" i="2"/>
  <c r="H596" i="2" s="1"/>
  <c r="O901" i="2"/>
  <c r="Z903" i="2"/>
  <c r="E621" i="2" s="1"/>
  <c r="R903" i="2"/>
  <c r="E619" i="2" s="1"/>
  <c r="V903" i="2"/>
  <c r="E620" i="2" s="1"/>
  <c r="N902" i="2"/>
  <c r="E593" i="2" s="1"/>
  <c r="D618" i="2" s="1"/>
  <c r="AA903" i="2"/>
  <c r="H621" i="2" s="1"/>
  <c r="S903" i="2"/>
  <c r="H619" i="2" s="1"/>
  <c r="W903" i="2"/>
  <c r="H620" i="2" s="1"/>
  <c r="O902" i="2"/>
  <c r="H593" i="2" s="1"/>
  <c r="G618" i="2" s="1"/>
  <c r="AB903" i="2"/>
  <c r="K621" i="2" s="1"/>
  <c r="T903" i="2"/>
  <c r="K619" i="2" s="1"/>
  <c r="X903" i="2"/>
  <c r="K620" i="2" s="1"/>
  <c r="P902" i="2"/>
  <c r="K593" i="2" s="1"/>
  <c r="J618" i="2" s="1"/>
  <c r="U903" i="2"/>
  <c r="N619" i="2" s="1"/>
  <c r="Y903" i="2"/>
  <c r="N620" i="2" s="1"/>
  <c r="AC903" i="2"/>
  <c r="N621" i="2" s="1"/>
  <c r="Q902" i="2"/>
  <c r="N593" i="2" s="1"/>
  <c r="M618" i="2" s="1"/>
  <c r="E655" i="2"/>
  <c r="E656" i="2"/>
  <c r="E657" i="2"/>
  <c r="N1049" i="2"/>
  <c r="H657" i="2"/>
  <c r="H655" i="2"/>
  <c r="H656" i="2"/>
  <c r="O1049" i="2"/>
  <c r="E1076" i="2" s="1"/>
  <c r="K657" i="2"/>
  <c r="K655" i="2"/>
  <c r="K656" i="2"/>
  <c r="P1049" i="2"/>
  <c r="J654" i="2" s="1"/>
  <c r="E703" i="2"/>
  <c r="E701" i="2"/>
  <c r="E702" i="2"/>
  <c r="D700" i="2"/>
  <c r="D701" i="2"/>
  <c r="D702" i="2"/>
  <c r="H703" i="2"/>
  <c r="H701" i="2"/>
  <c r="N701" i="2" s="1"/>
  <c r="H702" i="2"/>
  <c r="G700" i="2"/>
  <c r="G701" i="2"/>
  <c r="G702" i="2"/>
  <c r="K703" i="2"/>
  <c r="K701" i="2"/>
  <c r="K702" i="2"/>
  <c r="J700" i="2"/>
  <c r="J701" i="2"/>
  <c r="J702" i="2"/>
  <c r="E726" i="2"/>
  <c r="E724" i="2"/>
  <c r="E725" i="2"/>
  <c r="D723" i="2"/>
  <c r="D724" i="2"/>
  <c r="D725" i="2"/>
  <c r="H726" i="2"/>
  <c r="H724" i="2"/>
  <c r="H725" i="2"/>
  <c r="G723" i="2"/>
  <c r="G724" i="2"/>
  <c r="G725" i="2"/>
  <c r="K726" i="2"/>
  <c r="K724" i="2"/>
  <c r="K725" i="2"/>
  <c r="J723" i="2"/>
  <c r="J724" i="2"/>
  <c r="J725" i="2"/>
  <c r="H680" i="2"/>
  <c r="H678" i="2"/>
  <c r="H679" i="2"/>
  <c r="G677" i="2"/>
  <c r="G678" i="2"/>
  <c r="G679" i="2"/>
  <c r="K678" i="2"/>
  <c r="K679" i="2"/>
  <c r="K680" i="2"/>
  <c r="J677" i="2"/>
  <c r="J678" i="2"/>
  <c r="J679" i="2"/>
  <c r="E678" i="2"/>
  <c r="E679" i="2"/>
  <c r="E680" i="2"/>
  <c r="D677" i="2"/>
  <c r="D678" i="2"/>
  <c r="D679" i="2"/>
  <c r="G220" i="3"/>
  <c r="G51" i="4" s="1"/>
  <c r="C60" i="5"/>
  <c r="K330" i="5"/>
  <c r="G219" i="3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AA468" i="2"/>
  <c r="X468" i="2"/>
  <c r="U468" i="2"/>
  <c r="R468" i="2"/>
  <c r="O468" i="2"/>
  <c r="L468" i="2"/>
  <c r="I468" i="2"/>
  <c r="F468" i="2"/>
  <c r="C468" i="2"/>
  <c r="AA469" i="2"/>
  <c r="X469" i="2"/>
  <c r="U469" i="2"/>
  <c r="R469" i="2"/>
  <c r="O469" i="2"/>
  <c r="L469" i="2"/>
  <c r="I469" i="2"/>
  <c r="F469" i="2"/>
  <c r="C469" i="2"/>
  <c r="C470" i="2"/>
  <c r="F470" i="2"/>
  <c r="I470" i="2"/>
  <c r="L470" i="2"/>
  <c r="U470" i="2"/>
  <c r="X470" i="2"/>
  <c r="AA470" i="2"/>
  <c r="R470" i="2"/>
  <c r="O470" i="2"/>
  <c r="C471" i="2"/>
  <c r="F471" i="2"/>
  <c r="I471" i="2"/>
  <c r="L471" i="2"/>
  <c r="U471" i="2"/>
  <c r="X471" i="2"/>
  <c r="AA471" i="2"/>
  <c r="R471" i="2"/>
  <c r="O471" i="2"/>
  <c r="Z467" i="2"/>
  <c r="W467" i="2"/>
  <c r="T467" i="2"/>
  <c r="Q467" i="2"/>
  <c r="N467" i="2"/>
  <c r="K467" i="2"/>
  <c r="H467" i="2"/>
  <c r="E467" i="2"/>
  <c r="B467" i="2"/>
  <c r="Z468" i="2"/>
  <c r="W468" i="2"/>
  <c r="T468" i="2"/>
  <c r="Q468" i="2"/>
  <c r="N468" i="2"/>
  <c r="K468" i="2"/>
  <c r="H468" i="2"/>
  <c r="E468" i="2"/>
  <c r="B468" i="2"/>
  <c r="Z469" i="2"/>
  <c r="W469" i="2"/>
  <c r="T469" i="2"/>
  <c r="Q469" i="2"/>
  <c r="N469" i="2"/>
  <c r="K469" i="2"/>
  <c r="H469" i="2"/>
  <c r="E469" i="2"/>
  <c r="B469" i="2"/>
  <c r="B470" i="2"/>
  <c r="E470" i="2"/>
  <c r="H470" i="2"/>
  <c r="K470" i="2"/>
  <c r="T470" i="2"/>
  <c r="W470" i="2"/>
  <c r="Y471" i="2" s="1"/>
  <c r="Z470" i="2"/>
  <c r="Q470" i="2"/>
  <c r="S471" i="2" s="1"/>
  <c r="N470" i="2"/>
  <c r="Q480" i="2"/>
  <c r="N480" i="2"/>
  <c r="AA467" i="2"/>
  <c r="X467" i="2"/>
  <c r="U467" i="2"/>
  <c r="R467" i="2"/>
  <c r="O467" i="2"/>
  <c r="L467" i="2"/>
  <c r="I467" i="2"/>
  <c r="F467" i="2"/>
  <c r="C467" i="2"/>
  <c r="Z466" i="2"/>
  <c r="W466" i="2"/>
  <c r="T466" i="2"/>
  <c r="Q466" i="2"/>
  <c r="N466" i="2"/>
  <c r="K466" i="2"/>
  <c r="H466" i="2"/>
  <c r="E466" i="2"/>
  <c r="B466" i="2"/>
  <c r="AA398" i="2"/>
  <c r="X398" i="2"/>
  <c r="U398" i="2"/>
  <c r="R398" i="2"/>
  <c r="O398" i="2"/>
  <c r="L398" i="2"/>
  <c r="I398" i="2"/>
  <c r="F398" i="2"/>
  <c r="C398" i="2"/>
  <c r="AA399" i="2"/>
  <c r="X399" i="2"/>
  <c r="U399" i="2"/>
  <c r="R399" i="2"/>
  <c r="O399" i="2"/>
  <c r="L399" i="2"/>
  <c r="I399" i="2"/>
  <c r="F399" i="2"/>
  <c r="C399" i="2"/>
  <c r="C400" i="2"/>
  <c r="F400" i="2"/>
  <c r="I400" i="2"/>
  <c r="L400" i="2"/>
  <c r="U400" i="2"/>
  <c r="X400" i="2"/>
  <c r="AA400" i="2"/>
  <c r="R400" i="2"/>
  <c r="O400" i="2"/>
  <c r="AA397" i="2"/>
  <c r="X397" i="2"/>
  <c r="U397" i="2"/>
  <c r="R397" i="2"/>
  <c r="O397" i="2"/>
  <c r="L397" i="2"/>
  <c r="I397" i="2"/>
  <c r="F397" i="2"/>
  <c r="C397" i="2"/>
  <c r="Z397" i="2"/>
  <c r="W397" i="2"/>
  <c r="T397" i="2"/>
  <c r="Q397" i="2"/>
  <c r="N397" i="2"/>
  <c r="K397" i="2"/>
  <c r="H397" i="2"/>
  <c r="E397" i="2"/>
  <c r="B397" i="2"/>
  <c r="Z398" i="2"/>
  <c r="W398" i="2"/>
  <c r="Y399" i="2" s="1"/>
  <c r="T398" i="2"/>
  <c r="Q398" i="2"/>
  <c r="N398" i="2"/>
  <c r="K398" i="2"/>
  <c r="H398" i="2"/>
  <c r="E398" i="2"/>
  <c r="B398" i="2"/>
  <c r="Z399" i="2"/>
  <c r="AB400" i="2" s="1"/>
  <c r="W399" i="2"/>
  <c r="T399" i="2"/>
  <c r="Q399" i="2"/>
  <c r="S400" i="2" s="1"/>
  <c r="N399" i="2"/>
  <c r="K399" i="2"/>
  <c r="H399" i="2"/>
  <c r="E399" i="2"/>
  <c r="B399" i="2"/>
  <c r="Z396" i="2"/>
  <c r="W396" i="2"/>
  <c r="T396" i="2"/>
  <c r="Q396" i="2"/>
  <c r="N396" i="2"/>
  <c r="K396" i="2"/>
  <c r="H396" i="2"/>
  <c r="E396" i="2"/>
  <c r="B396" i="2"/>
  <c r="AA442" i="2"/>
  <c r="X442" i="2"/>
  <c r="U442" i="2"/>
  <c r="R442" i="2"/>
  <c r="O442" i="2"/>
  <c r="L442" i="2"/>
  <c r="I442" i="2"/>
  <c r="F442" i="2"/>
  <c r="C442" i="2"/>
  <c r="AA443" i="2"/>
  <c r="X443" i="2"/>
  <c r="U443" i="2"/>
  <c r="R443" i="2"/>
  <c r="O443" i="2"/>
  <c r="L443" i="2"/>
  <c r="I443" i="2"/>
  <c r="F443" i="2"/>
  <c r="C443" i="2"/>
  <c r="C444" i="2"/>
  <c r="F444" i="2"/>
  <c r="I444" i="2"/>
  <c r="L444" i="2"/>
  <c r="U444" i="2"/>
  <c r="X444" i="2"/>
  <c r="AA444" i="2"/>
  <c r="R444" i="2"/>
  <c r="O444" i="2"/>
  <c r="AA441" i="2"/>
  <c r="X441" i="2"/>
  <c r="U441" i="2"/>
  <c r="R441" i="2"/>
  <c r="O441" i="2"/>
  <c r="L441" i="2"/>
  <c r="I441" i="2"/>
  <c r="F441" i="2"/>
  <c r="C441" i="2"/>
  <c r="Z441" i="2"/>
  <c r="W441" i="2"/>
  <c r="T441" i="2"/>
  <c r="Q441" i="2"/>
  <c r="N441" i="2"/>
  <c r="K441" i="2"/>
  <c r="H441" i="2"/>
  <c r="E441" i="2"/>
  <c r="B441" i="2"/>
  <c r="D442" i="2" s="1"/>
  <c r="Z442" i="2"/>
  <c r="W442" i="2"/>
  <c r="T442" i="2"/>
  <c r="Q442" i="2"/>
  <c r="N442" i="2"/>
  <c r="K442" i="2"/>
  <c r="H442" i="2"/>
  <c r="E442" i="2"/>
  <c r="B442" i="2"/>
  <c r="D443" i="2" s="1"/>
  <c r="Z443" i="2"/>
  <c r="W443" i="2"/>
  <c r="T443" i="2"/>
  <c r="Q443" i="2"/>
  <c r="N443" i="2"/>
  <c r="K443" i="2"/>
  <c r="H443" i="2"/>
  <c r="E443" i="2"/>
  <c r="B443" i="2"/>
  <c r="N454" i="2"/>
  <c r="Z440" i="2"/>
  <c r="W440" i="2"/>
  <c r="T440" i="2"/>
  <c r="Q440" i="2"/>
  <c r="N440" i="2"/>
  <c r="K440" i="2"/>
  <c r="H440" i="2"/>
  <c r="E440" i="2"/>
  <c r="B440" i="2"/>
  <c r="H187" i="3"/>
  <c r="K187" i="3" s="1"/>
  <c r="B47" i="3"/>
  <c r="C47" i="3"/>
  <c r="H189" i="3" s="1"/>
  <c r="K189" i="3" s="1"/>
  <c r="D47" i="3"/>
  <c r="H190" i="3" s="1"/>
  <c r="K190" i="3" s="1"/>
  <c r="H186" i="3"/>
  <c r="K186" i="3" s="1"/>
  <c r="D7" i="1"/>
  <c r="D46" i="1" s="1"/>
  <c r="E7" i="1"/>
  <c r="E46" i="1" s="1"/>
  <c r="F7" i="1"/>
  <c r="F21" i="1" s="1"/>
  <c r="F35" i="1" s="1"/>
  <c r="G7" i="1"/>
  <c r="G21" i="1" s="1"/>
  <c r="G35" i="1" s="1"/>
  <c r="H7" i="1"/>
  <c r="H21" i="1" s="1"/>
  <c r="H35" i="1" s="1"/>
  <c r="I7" i="1"/>
  <c r="I46" i="1" s="1"/>
  <c r="J7" i="1"/>
  <c r="J21" i="1" s="1"/>
  <c r="J35" i="1" s="1"/>
  <c r="K7" i="1"/>
  <c r="K21" i="1" s="1"/>
  <c r="K35" i="1" s="1"/>
  <c r="L7" i="1"/>
  <c r="C7" i="1"/>
  <c r="C21" i="1" s="1"/>
  <c r="M128" i="3"/>
  <c r="A50" i="5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C51" i="5"/>
  <c r="C52" i="5"/>
  <c r="C53" i="5"/>
  <c r="C54" i="5"/>
  <c r="C55" i="5"/>
  <c r="C56" i="5"/>
  <c r="C57" i="5"/>
  <c r="C58" i="5"/>
  <c r="C59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50" i="5"/>
  <c r="C50" i="5"/>
  <c r="X522" i="2"/>
  <c r="X521" i="2"/>
  <c r="W521" i="2"/>
  <c r="X520" i="2"/>
  <c r="W520" i="2"/>
  <c r="X519" i="2"/>
  <c r="W519" i="2"/>
  <c r="Y520" i="2" s="1"/>
  <c r="W518" i="2"/>
  <c r="U522" i="2"/>
  <c r="U521" i="2"/>
  <c r="T521" i="2"/>
  <c r="U520" i="2"/>
  <c r="T520" i="2"/>
  <c r="U519" i="2"/>
  <c r="T519" i="2"/>
  <c r="T518" i="2"/>
  <c r="Q532" i="2"/>
  <c r="R522" i="2"/>
  <c r="R521" i="2"/>
  <c r="Q521" i="2"/>
  <c r="R520" i="2"/>
  <c r="Q520" i="2"/>
  <c r="R519" i="2"/>
  <c r="Q519" i="2"/>
  <c r="Q518" i="2"/>
  <c r="N532" i="2"/>
  <c r="O522" i="2"/>
  <c r="O521" i="2"/>
  <c r="N521" i="2"/>
  <c r="O520" i="2"/>
  <c r="N520" i="2"/>
  <c r="P521" i="2" s="1"/>
  <c r="O519" i="2"/>
  <c r="N519" i="2"/>
  <c r="N518" i="2"/>
  <c r="L522" i="2"/>
  <c r="L521" i="2"/>
  <c r="K521" i="2"/>
  <c r="L520" i="2"/>
  <c r="K520" i="2"/>
  <c r="L519" i="2"/>
  <c r="K519" i="2"/>
  <c r="K518" i="2"/>
  <c r="I522" i="2"/>
  <c r="I521" i="2"/>
  <c r="H521" i="2"/>
  <c r="I520" i="2"/>
  <c r="H520" i="2"/>
  <c r="I519" i="2"/>
  <c r="H519" i="2"/>
  <c r="H518" i="2"/>
  <c r="F522" i="2"/>
  <c r="F521" i="2"/>
  <c r="E521" i="2"/>
  <c r="F520" i="2"/>
  <c r="E520" i="2"/>
  <c r="G521" i="2" s="1"/>
  <c r="F519" i="2"/>
  <c r="E519" i="2"/>
  <c r="E518" i="2"/>
  <c r="AA522" i="2"/>
  <c r="AA521" i="2"/>
  <c r="Z521" i="2"/>
  <c r="AA520" i="2"/>
  <c r="Z520" i="2"/>
  <c r="AA519" i="2"/>
  <c r="Z519" i="2"/>
  <c r="Z518" i="2"/>
  <c r="C522" i="2"/>
  <c r="D522" i="2" s="1"/>
  <c r="C521" i="2"/>
  <c r="C520" i="2"/>
  <c r="C519" i="2"/>
  <c r="B521" i="2"/>
  <c r="B520" i="2"/>
  <c r="B519" i="2"/>
  <c r="B518" i="2"/>
  <c r="AA496" i="2"/>
  <c r="AA495" i="2"/>
  <c r="Z495" i="2"/>
  <c r="AA494" i="2"/>
  <c r="Z494" i="2"/>
  <c r="AA493" i="2"/>
  <c r="Z493" i="2"/>
  <c r="Z492" i="2"/>
  <c r="X496" i="2"/>
  <c r="X495" i="2"/>
  <c r="W495" i="2"/>
  <c r="X494" i="2"/>
  <c r="W494" i="2"/>
  <c r="X493" i="2"/>
  <c r="W493" i="2"/>
  <c r="W492" i="2"/>
  <c r="U496" i="2"/>
  <c r="U495" i="2"/>
  <c r="T495" i="2"/>
  <c r="U494" i="2"/>
  <c r="T494" i="2"/>
  <c r="U493" i="2"/>
  <c r="T493" i="2"/>
  <c r="T492" i="2"/>
  <c r="Q506" i="2"/>
  <c r="R496" i="2"/>
  <c r="R495" i="2"/>
  <c r="Q495" i="2"/>
  <c r="R494" i="2"/>
  <c r="Q494" i="2"/>
  <c r="R493" i="2"/>
  <c r="Q493" i="2"/>
  <c r="Q492" i="2"/>
  <c r="N506" i="2"/>
  <c r="O496" i="2"/>
  <c r="O495" i="2"/>
  <c r="N495" i="2"/>
  <c r="O494" i="2"/>
  <c r="N494" i="2"/>
  <c r="O493" i="2"/>
  <c r="N493" i="2"/>
  <c r="N492" i="2"/>
  <c r="L496" i="2"/>
  <c r="L495" i="2"/>
  <c r="K495" i="2"/>
  <c r="L494" i="2"/>
  <c r="K494" i="2"/>
  <c r="L493" i="2"/>
  <c r="K493" i="2"/>
  <c r="K492" i="2"/>
  <c r="I496" i="2"/>
  <c r="I495" i="2"/>
  <c r="H495" i="2"/>
  <c r="I494" i="2"/>
  <c r="H494" i="2"/>
  <c r="I493" i="2"/>
  <c r="H493" i="2"/>
  <c r="H492" i="2"/>
  <c r="F496" i="2"/>
  <c r="F495" i="2"/>
  <c r="E495" i="2"/>
  <c r="F494" i="2"/>
  <c r="E494" i="2"/>
  <c r="F493" i="2"/>
  <c r="E493" i="2"/>
  <c r="E492" i="2"/>
  <c r="O1027" i="2"/>
  <c r="E1150" i="2" s="1"/>
  <c r="S1027" i="2"/>
  <c r="E1151" i="2" s="1"/>
  <c r="AA1027" i="2"/>
  <c r="E1153" i="2" s="1"/>
  <c r="C1046" i="2"/>
  <c r="E1154" i="2" s="1"/>
  <c r="G1046" i="2"/>
  <c r="E1155" i="2" s="1"/>
  <c r="K1046" i="2"/>
  <c r="E1156" i="2" s="1"/>
  <c r="S1028" i="2"/>
  <c r="F1151" i="2" s="1"/>
  <c r="W1028" i="2"/>
  <c r="F1152" i="2" s="1"/>
  <c r="AA1028" i="2"/>
  <c r="F1153" i="2" s="1"/>
  <c r="C1047" i="2"/>
  <c r="G1047" i="2"/>
  <c r="F1155" i="2" s="1"/>
  <c r="K1047" i="2"/>
  <c r="J1046" i="2"/>
  <c r="B1156" i="2" s="1"/>
  <c r="L1046" i="2"/>
  <c r="H1156" i="2" s="1"/>
  <c r="F1046" i="2"/>
  <c r="B1155" i="2" s="1"/>
  <c r="H1046" i="2"/>
  <c r="H1155" i="2" s="1"/>
  <c r="B1046" i="2"/>
  <c r="B1154" i="2" s="1"/>
  <c r="D1046" i="2"/>
  <c r="H1154" i="2" s="1"/>
  <c r="Z1027" i="2"/>
  <c r="AB1027" i="2"/>
  <c r="H1153" i="2" s="1"/>
  <c r="R1027" i="2"/>
  <c r="B1151" i="2" s="1"/>
  <c r="T1027" i="2"/>
  <c r="H1151" i="2" s="1"/>
  <c r="N1027" i="2"/>
  <c r="P1027" i="2"/>
  <c r="H1150" i="2" s="1"/>
  <c r="K1027" i="2"/>
  <c r="O1028" i="2"/>
  <c r="F1150" i="2" s="1"/>
  <c r="J1027" i="2"/>
  <c r="B1149" i="2" s="1"/>
  <c r="L1027" i="2"/>
  <c r="H1149" i="2" s="1"/>
  <c r="G1027" i="2"/>
  <c r="K1028" i="2"/>
  <c r="F1149" i="2" s="1"/>
  <c r="F1027" i="2"/>
  <c r="B1148" i="2" s="1"/>
  <c r="H1027" i="2"/>
  <c r="H1148" i="2" s="1"/>
  <c r="C1027" i="2"/>
  <c r="E1147" i="2" s="1"/>
  <c r="G1028" i="2"/>
  <c r="F1148" i="2" s="1"/>
  <c r="B1027" i="2"/>
  <c r="B1147" i="2" s="1"/>
  <c r="D1027" i="2"/>
  <c r="W1029" i="2"/>
  <c r="F1125" i="2" s="1"/>
  <c r="AA1029" i="2"/>
  <c r="C1048" i="2"/>
  <c r="G1048" i="2"/>
  <c r="E1100" i="2" s="1"/>
  <c r="K1048" i="2"/>
  <c r="F1129" i="2" s="1"/>
  <c r="J1047" i="2"/>
  <c r="B1129" i="2" s="1"/>
  <c r="L1047" i="2"/>
  <c r="F1047" i="2"/>
  <c r="H1047" i="2"/>
  <c r="B1047" i="2"/>
  <c r="B1127" i="2" s="1"/>
  <c r="D1047" i="2"/>
  <c r="Z1028" i="2"/>
  <c r="C1153" i="2" s="1"/>
  <c r="AB1028" i="2"/>
  <c r="H1126" i="2" s="1"/>
  <c r="V1028" i="2"/>
  <c r="B1125" i="2" s="1"/>
  <c r="X1028" i="2"/>
  <c r="H1125" i="2" s="1"/>
  <c r="R1028" i="2"/>
  <c r="T1028" i="2"/>
  <c r="H1124" i="2" s="1"/>
  <c r="N1028" i="2"/>
  <c r="B1123" i="2" s="1"/>
  <c r="P1028" i="2"/>
  <c r="I1150" i="2" s="1"/>
  <c r="O1029" i="2"/>
  <c r="F1123" i="2" s="1"/>
  <c r="J1028" i="2"/>
  <c r="B1122" i="2" s="1"/>
  <c r="L1028" i="2"/>
  <c r="K1029" i="2"/>
  <c r="F1122" i="2" s="1"/>
  <c r="F1028" i="2"/>
  <c r="C1148" i="2" s="1"/>
  <c r="H1028" i="2"/>
  <c r="I1148" i="2" s="1"/>
  <c r="C1028" i="2"/>
  <c r="E1120" i="2" s="1"/>
  <c r="G1029" i="2"/>
  <c r="E1093" i="2" s="1"/>
  <c r="B1028" i="2"/>
  <c r="D1028" i="2"/>
  <c r="H1120" i="2" s="1"/>
  <c r="S1030" i="2"/>
  <c r="G648" i="2" s="1"/>
  <c r="W1030" i="2"/>
  <c r="F1097" i="2" s="1"/>
  <c r="AA1030" i="2"/>
  <c r="C1049" i="2"/>
  <c r="F1099" i="2" s="1"/>
  <c r="G1049" i="2"/>
  <c r="F1100" i="2" s="1"/>
  <c r="K1049" i="2"/>
  <c r="E1075" i="2" s="1"/>
  <c r="J1048" i="2"/>
  <c r="B1101" i="2" s="1"/>
  <c r="L1048" i="2"/>
  <c r="H1101" i="2" s="1"/>
  <c r="F1048" i="2"/>
  <c r="B1100" i="2" s="1"/>
  <c r="H1048" i="2"/>
  <c r="H1100" i="2" s="1"/>
  <c r="B1048" i="2"/>
  <c r="D1048" i="2"/>
  <c r="Z1029" i="2"/>
  <c r="AB1029" i="2"/>
  <c r="H1098" i="2" s="1"/>
  <c r="V1029" i="2"/>
  <c r="B1097" i="2" s="1"/>
  <c r="X1029" i="2"/>
  <c r="H1097" i="2" s="1"/>
  <c r="N1029" i="2"/>
  <c r="B1095" i="2" s="1"/>
  <c r="P1029" i="2"/>
  <c r="J1029" i="2"/>
  <c r="B1094" i="2" s="1"/>
  <c r="L1029" i="2"/>
  <c r="K1030" i="2"/>
  <c r="F1094" i="2" s="1"/>
  <c r="F1029" i="2"/>
  <c r="B1093" i="2" s="1"/>
  <c r="H1029" i="2"/>
  <c r="H1093" i="2" s="1"/>
  <c r="C1029" i="2"/>
  <c r="G1030" i="2"/>
  <c r="B1029" i="2"/>
  <c r="D1029" i="2"/>
  <c r="H1092" i="2" s="1"/>
  <c r="S1031" i="2"/>
  <c r="F1070" i="2" s="1"/>
  <c r="W1031" i="2"/>
  <c r="AA1031" i="2"/>
  <c r="F1072" i="2" s="1"/>
  <c r="C1050" i="2"/>
  <c r="F1073" i="2" s="1"/>
  <c r="G1050" i="2"/>
  <c r="K1050" i="2"/>
  <c r="F1075" i="2" s="1"/>
  <c r="O1050" i="2"/>
  <c r="F1076" i="2" s="1"/>
  <c r="S1050" i="2"/>
  <c r="F1077" i="2" s="1"/>
  <c r="W1050" i="2"/>
  <c r="F1078" i="2" s="1"/>
  <c r="AA1050" i="2"/>
  <c r="J1049" i="2"/>
  <c r="L1049" i="2"/>
  <c r="J653" i="2" s="1"/>
  <c r="F1049" i="2"/>
  <c r="C1100" i="2" s="1"/>
  <c r="H1049" i="2"/>
  <c r="I1100" i="2" s="1"/>
  <c r="B1049" i="2"/>
  <c r="B1073" i="2" s="1"/>
  <c r="D1049" i="2"/>
  <c r="H1073" i="2" s="1"/>
  <c r="Z1030" i="2"/>
  <c r="AB1030" i="2"/>
  <c r="H1072" i="2" s="1"/>
  <c r="V1030" i="2"/>
  <c r="X1030" i="2"/>
  <c r="J649" i="2" s="1"/>
  <c r="R1030" i="2"/>
  <c r="T1030" i="2"/>
  <c r="O1031" i="2"/>
  <c r="J1030" i="2"/>
  <c r="C1094" i="2" s="1"/>
  <c r="L1030" i="2"/>
  <c r="I1094" i="2" s="1"/>
  <c r="K1031" i="2"/>
  <c r="F1068" i="2" s="1"/>
  <c r="F1030" i="2"/>
  <c r="D645" i="2" s="1"/>
  <c r="H1030" i="2"/>
  <c r="J645" i="2" s="1"/>
  <c r="C1030" i="2"/>
  <c r="G1031" i="2"/>
  <c r="B1030" i="2"/>
  <c r="B1066" i="2" s="1"/>
  <c r="D1030" i="2"/>
  <c r="S884" i="2"/>
  <c r="E966" i="2" s="1"/>
  <c r="AA884" i="2"/>
  <c r="E968" i="2" s="1"/>
  <c r="F993" i="2" s="1"/>
  <c r="C898" i="2"/>
  <c r="E969" i="2" s="1"/>
  <c r="F994" i="2" s="1"/>
  <c r="G898" i="2"/>
  <c r="E970" i="2" s="1"/>
  <c r="F995" i="2" s="1"/>
  <c r="K898" i="2"/>
  <c r="E971" i="2" s="1"/>
  <c r="F996" i="2" s="1"/>
  <c r="O883" i="2"/>
  <c r="E990" i="2" s="1"/>
  <c r="S883" i="2"/>
  <c r="E991" i="2" s="1"/>
  <c r="AA883" i="2"/>
  <c r="E993" i="2" s="1"/>
  <c r="C897" i="2"/>
  <c r="E994" i="2" s="1"/>
  <c r="G897" i="2"/>
  <c r="E995" i="2" s="1"/>
  <c r="K897" i="2"/>
  <c r="E996" i="2" s="1"/>
  <c r="J897" i="2"/>
  <c r="B996" i="2" s="1"/>
  <c r="L897" i="2"/>
  <c r="H996" i="2" s="1"/>
  <c r="M897" i="2"/>
  <c r="K996" i="2" s="1"/>
  <c r="F897" i="2"/>
  <c r="B995" i="2" s="1"/>
  <c r="H897" i="2"/>
  <c r="H995" i="2" s="1"/>
  <c r="I897" i="2"/>
  <c r="K995" i="2" s="1"/>
  <c r="E897" i="2"/>
  <c r="K994" i="2" s="1"/>
  <c r="B897" i="2"/>
  <c r="B994" i="2" s="1"/>
  <c r="D897" i="2"/>
  <c r="H994" i="2" s="1"/>
  <c r="Z883" i="2"/>
  <c r="B993" i="2" s="1"/>
  <c r="AB883" i="2"/>
  <c r="H993" i="2" s="1"/>
  <c r="AC883" i="2"/>
  <c r="K993" i="2" s="1"/>
  <c r="R883" i="2"/>
  <c r="B991" i="2" s="1"/>
  <c r="T883" i="2"/>
  <c r="H991" i="2" s="1"/>
  <c r="U883" i="2"/>
  <c r="K991" i="2" s="1"/>
  <c r="N883" i="2"/>
  <c r="B990" i="2" s="1"/>
  <c r="P883" i="2"/>
  <c r="H990" i="2" s="1"/>
  <c r="Q883" i="2"/>
  <c r="K990" i="2" s="1"/>
  <c r="O884" i="2"/>
  <c r="E965" i="2" s="1"/>
  <c r="F990" i="2" s="1"/>
  <c r="K883" i="2"/>
  <c r="E989" i="2" s="1"/>
  <c r="J883" i="2"/>
  <c r="B989" i="2" s="1"/>
  <c r="L883" i="2"/>
  <c r="H989" i="2" s="1"/>
  <c r="M883" i="2"/>
  <c r="K989" i="2" s="1"/>
  <c r="K884" i="2"/>
  <c r="E964" i="2" s="1"/>
  <c r="G883" i="2"/>
  <c r="E988" i="2" s="1"/>
  <c r="F883" i="2"/>
  <c r="B988" i="2" s="1"/>
  <c r="H883" i="2"/>
  <c r="H988" i="2" s="1"/>
  <c r="I883" i="2"/>
  <c r="K988" i="2" s="1"/>
  <c r="G884" i="2"/>
  <c r="E963" i="2" s="1"/>
  <c r="F988" i="2" s="1"/>
  <c r="C883" i="2"/>
  <c r="E987" i="2" s="1"/>
  <c r="E883" i="2"/>
  <c r="K987" i="2" s="1"/>
  <c r="B883" i="2"/>
  <c r="B987" i="2" s="1"/>
  <c r="D883" i="2"/>
  <c r="H987" i="2" s="1"/>
  <c r="S885" i="2"/>
  <c r="AA885" i="2"/>
  <c r="F968" i="2" s="1"/>
  <c r="C899" i="2"/>
  <c r="G899" i="2"/>
  <c r="F970" i="2" s="1"/>
  <c r="K899" i="2"/>
  <c r="F971" i="2" s="1"/>
  <c r="J898" i="2"/>
  <c r="B971" i="2" s="1"/>
  <c r="C996" i="2" s="1"/>
  <c r="L898" i="2"/>
  <c r="H971" i="2" s="1"/>
  <c r="M898" i="2"/>
  <c r="K971" i="2" s="1"/>
  <c r="F898" i="2"/>
  <c r="B970" i="2" s="1"/>
  <c r="H898" i="2"/>
  <c r="H970" i="2" s="1"/>
  <c r="I995" i="2" s="1"/>
  <c r="I898" i="2"/>
  <c r="K970" i="2" s="1"/>
  <c r="L995" i="2" s="1"/>
  <c r="E898" i="2"/>
  <c r="K969" i="2" s="1"/>
  <c r="B898" i="2"/>
  <c r="B969" i="2" s="1"/>
  <c r="C994" i="2" s="1"/>
  <c r="D994" i="2" s="1"/>
  <c r="D898" i="2"/>
  <c r="H969" i="2" s="1"/>
  <c r="E899" i="2"/>
  <c r="L969" i="2" s="1"/>
  <c r="Z884" i="2"/>
  <c r="B968" i="2" s="1"/>
  <c r="AB884" i="2"/>
  <c r="H968" i="2" s="1"/>
  <c r="AC884" i="2"/>
  <c r="K968" i="2" s="1"/>
  <c r="L993" i="2" s="1"/>
  <c r="R884" i="2"/>
  <c r="B966" i="2" s="1"/>
  <c r="T884" i="2"/>
  <c r="H966" i="2" s="1"/>
  <c r="I991" i="2" s="1"/>
  <c r="J991" i="2" s="1"/>
  <c r="U884" i="2"/>
  <c r="K966" i="2" s="1"/>
  <c r="L991" i="2" s="1"/>
  <c r="M991" i="2" s="1"/>
  <c r="N884" i="2"/>
  <c r="B965" i="2" s="1"/>
  <c r="C990" i="2" s="1"/>
  <c r="P884" i="2"/>
  <c r="H965" i="2" s="1"/>
  <c r="Q884" i="2"/>
  <c r="K965" i="2" s="1"/>
  <c r="L990" i="2" s="1"/>
  <c r="O885" i="2"/>
  <c r="F965" i="2" s="1"/>
  <c r="J884" i="2"/>
  <c r="B964" i="2" s="1"/>
  <c r="C989" i="2" s="1"/>
  <c r="L884" i="2"/>
  <c r="H964" i="2" s="1"/>
  <c r="M884" i="2"/>
  <c r="K964" i="2" s="1"/>
  <c r="K885" i="2"/>
  <c r="F964" i="2" s="1"/>
  <c r="F884" i="2"/>
  <c r="B963" i="2" s="1"/>
  <c r="C988" i="2" s="1"/>
  <c r="H884" i="2"/>
  <c r="H963" i="2" s="1"/>
  <c r="I988" i="2" s="1"/>
  <c r="I884" i="2"/>
  <c r="K963" i="2" s="1"/>
  <c r="C884" i="2"/>
  <c r="E962" i="2" s="1"/>
  <c r="G885" i="2"/>
  <c r="F963" i="2" s="1"/>
  <c r="E884" i="2"/>
  <c r="K962" i="2" s="1"/>
  <c r="B884" i="2"/>
  <c r="B962" i="2" s="1"/>
  <c r="D884" i="2"/>
  <c r="H962" i="2" s="1"/>
  <c r="S886" i="2"/>
  <c r="AA886" i="2"/>
  <c r="F943" i="2" s="1"/>
  <c r="C900" i="2"/>
  <c r="F944" i="2" s="1"/>
  <c r="G900" i="2"/>
  <c r="F945" i="2" s="1"/>
  <c r="K900" i="2"/>
  <c r="F946" i="2" s="1"/>
  <c r="J899" i="2"/>
  <c r="C971" i="2" s="1"/>
  <c r="L899" i="2"/>
  <c r="M899" i="2"/>
  <c r="K946" i="2" s="1"/>
  <c r="F899" i="2"/>
  <c r="H899" i="2"/>
  <c r="H945" i="2" s="1"/>
  <c r="I899" i="2"/>
  <c r="B899" i="2"/>
  <c r="D899" i="2"/>
  <c r="H944" i="2" s="1"/>
  <c r="E900" i="2"/>
  <c r="L944" i="2" s="1"/>
  <c r="Z885" i="2"/>
  <c r="AB885" i="2"/>
  <c r="H943" i="2" s="1"/>
  <c r="AC885" i="2"/>
  <c r="K943" i="2" s="1"/>
  <c r="R885" i="2"/>
  <c r="B941" i="2" s="1"/>
  <c r="T885" i="2"/>
  <c r="U885" i="2"/>
  <c r="N885" i="2"/>
  <c r="P885" i="2"/>
  <c r="H940" i="2" s="1"/>
  <c r="Q885" i="2"/>
  <c r="K940" i="2" s="1"/>
  <c r="O886" i="2"/>
  <c r="F940" i="2" s="1"/>
  <c r="J885" i="2"/>
  <c r="B939" i="2" s="1"/>
  <c r="L885" i="2"/>
  <c r="H939" i="2" s="1"/>
  <c r="M885" i="2"/>
  <c r="K939" i="2" s="1"/>
  <c r="K886" i="2"/>
  <c r="F939" i="2" s="1"/>
  <c r="F885" i="2"/>
  <c r="H885" i="2"/>
  <c r="H938" i="2" s="1"/>
  <c r="I885" i="2"/>
  <c r="K938" i="2" s="1"/>
  <c r="C885" i="2"/>
  <c r="E937" i="2" s="1"/>
  <c r="G886" i="2"/>
  <c r="F938" i="2" s="1"/>
  <c r="E885" i="2"/>
  <c r="K937" i="2" s="1"/>
  <c r="B885" i="2"/>
  <c r="B937" i="2" s="1"/>
  <c r="D885" i="2"/>
  <c r="H937" i="2" s="1"/>
  <c r="S887" i="2"/>
  <c r="F915" i="2" s="1"/>
  <c r="W887" i="2"/>
  <c r="F916" i="2" s="1"/>
  <c r="AA887" i="2"/>
  <c r="F917" i="2" s="1"/>
  <c r="C901" i="2"/>
  <c r="F918" i="2" s="1"/>
  <c r="H565" i="2" s="1"/>
  <c r="G901" i="2"/>
  <c r="F919" i="2" s="1"/>
  <c r="H566" i="2" s="1"/>
  <c r="K901" i="2"/>
  <c r="F920" i="2" s="1"/>
  <c r="H567" i="2" s="1"/>
  <c r="J900" i="2"/>
  <c r="B920" i="2" s="1"/>
  <c r="D567" i="2" s="1"/>
  <c r="L900" i="2"/>
  <c r="M900" i="2"/>
  <c r="K920" i="2" s="1"/>
  <c r="M567" i="2" s="1"/>
  <c r="F900" i="2"/>
  <c r="B919" i="2" s="1"/>
  <c r="D566" i="2" s="1"/>
  <c r="H900" i="2"/>
  <c r="H919" i="2" s="1"/>
  <c r="J566" i="2" s="1"/>
  <c r="I900" i="2"/>
  <c r="K919" i="2" s="1"/>
  <c r="M566" i="2" s="1"/>
  <c r="B900" i="2"/>
  <c r="B918" i="2" s="1"/>
  <c r="D900" i="2"/>
  <c r="E901" i="2"/>
  <c r="L918" i="2" s="1"/>
  <c r="Z886" i="2"/>
  <c r="AB886" i="2"/>
  <c r="H917" i="2" s="1"/>
  <c r="AC886" i="2"/>
  <c r="K917" i="2" s="1"/>
  <c r="M564" i="2" s="1"/>
  <c r="R886" i="2"/>
  <c r="B915" i="2" s="1"/>
  <c r="D562" i="2" s="1"/>
  <c r="T886" i="2"/>
  <c r="H915" i="2" s="1"/>
  <c r="J562" i="2" s="1"/>
  <c r="U886" i="2"/>
  <c r="K915" i="2" s="1"/>
  <c r="N886" i="2"/>
  <c r="B914" i="2" s="1"/>
  <c r="P886" i="2"/>
  <c r="H914" i="2" s="1"/>
  <c r="Q886" i="2"/>
  <c r="O887" i="2"/>
  <c r="J886" i="2"/>
  <c r="B913" i="2" s="1"/>
  <c r="D560" i="2" s="1"/>
  <c r="L886" i="2"/>
  <c r="H913" i="2" s="1"/>
  <c r="J560" i="2" s="1"/>
  <c r="M886" i="2"/>
  <c r="K913" i="2" s="1"/>
  <c r="M560" i="2" s="1"/>
  <c r="K887" i="2"/>
  <c r="F886" i="2"/>
  <c r="H886" i="2"/>
  <c r="H912" i="2" s="1"/>
  <c r="J559" i="2" s="1"/>
  <c r="I886" i="2"/>
  <c r="C886" i="2"/>
  <c r="E911" i="2" s="1"/>
  <c r="G887" i="2"/>
  <c r="F912" i="2" s="1"/>
  <c r="H559" i="2" s="1"/>
  <c r="E886" i="2"/>
  <c r="K911" i="2" s="1"/>
  <c r="B886" i="2"/>
  <c r="B911" i="2" s="1"/>
  <c r="D558" i="2" s="1"/>
  <c r="D886" i="2"/>
  <c r="H911" i="2" s="1"/>
  <c r="J558" i="2" s="1"/>
  <c r="E842" i="2"/>
  <c r="Q842" i="2"/>
  <c r="N842" i="2"/>
  <c r="M842" i="2"/>
  <c r="G813" i="2"/>
  <c r="F842" i="2"/>
  <c r="D842" i="2"/>
  <c r="B784" i="2"/>
  <c r="B813" i="2" s="1"/>
  <c r="E717" i="2"/>
  <c r="E718" i="2"/>
  <c r="E719" i="2"/>
  <c r="E720" i="2"/>
  <c r="E721" i="2"/>
  <c r="E722" i="2"/>
  <c r="E723" i="2"/>
  <c r="E694" i="2"/>
  <c r="E695" i="2"/>
  <c r="E696" i="2"/>
  <c r="E697" i="2"/>
  <c r="E698" i="2"/>
  <c r="E699" i="2"/>
  <c r="E700" i="2"/>
  <c r="E671" i="2"/>
  <c r="E672" i="2"/>
  <c r="E673" i="2"/>
  <c r="E674" i="2"/>
  <c r="E675" i="2"/>
  <c r="E676" i="2"/>
  <c r="E677" i="2"/>
  <c r="E648" i="2"/>
  <c r="E649" i="2"/>
  <c r="E650" i="2"/>
  <c r="E651" i="2"/>
  <c r="E652" i="2"/>
  <c r="E653" i="2"/>
  <c r="E654" i="2"/>
  <c r="D716" i="2"/>
  <c r="D717" i="2"/>
  <c r="D718" i="2"/>
  <c r="D719" i="2"/>
  <c r="D720" i="2"/>
  <c r="D721" i="2"/>
  <c r="D722" i="2"/>
  <c r="D693" i="2"/>
  <c r="D694" i="2"/>
  <c r="D695" i="2"/>
  <c r="D696" i="2"/>
  <c r="D697" i="2"/>
  <c r="D698" i="2"/>
  <c r="D699" i="2"/>
  <c r="D670" i="2"/>
  <c r="D671" i="2"/>
  <c r="D672" i="2"/>
  <c r="D673" i="2"/>
  <c r="D674" i="2"/>
  <c r="D675" i="2"/>
  <c r="D676" i="2"/>
  <c r="H723" i="2"/>
  <c r="K723" i="2"/>
  <c r="H722" i="2"/>
  <c r="K722" i="2"/>
  <c r="H721" i="2"/>
  <c r="K721" i="2"/>
  <c r="H720" i="2"/>
  <c r="K720" i="2"/>
  <c r="H719" i="2"/>
  <c r="K719" i="2"/>
  <c r="H718" i="2"/>
  <c r="K718" i="2"/>
  <c r="H717" i="2"/>
  <c r="K717" i="2"/>
  <c r="H716" i="2"/>
  <c r="E716" i="2"/>
  <c r="K716" i="2"/>
  <c r="D715" i="2"/>
  <c r="H715" i="2"/>
  <c r="E715" i="2"/>
  <c r="K715" i="2"/>
  <c r="D714" i="2"/>
  <c r="H714" i="2"/>
  <c r="E714" i="2"/>
  <c r="K714" i="2"/>
  <c r="D713" i="2"/>
  <c r="H700" i="2"/>
  <c r="K700" i="2"/>
  <c r="H699" i="2"/>
  <c r="K699" i="2"/>
  <c r="H698" i="2"/>
  <c r="K698" i="2"/>
  <c r="H697" i="2"/>
  <c r="K697" i="2"/>
  <c r="H696" i="2"/>
  <c r="K696" i="2"/>
  <c r="H695" i="2"/>
  <c r="K695" i="2"/>
  <c r="H694" i="2"/>
  <c r="K694" i="2"/>
  <c r="H693" i="2"/>
  <c r="E693" i="2"/>
  <c r="K693" i="2"/>
  <c r="D692" i="2"/>
  <c r="H692" i="2"/>
  <c r="E692" i="2"/>
  <c r="K692" i="2"/>
  <c r="D691" i="2"/>
  <c r="H691" i="2"/>
  <c r="E691" i="2"/>
  <c r="K691" i="2"/>
  <c r="D690" i="2"/>
  <c r="H677" i="2"/>
  <c r="K677" i="2"/>
  <c r="H676" i="2"/>
  <c r="K676" i="2"/>
  <c r="H675" i="2"/>
  <c r="K675" i="2"/>
  <c r="H674" i="2"/>
  <c r="K674" i="2"/>
  <c r="H673" i="2"/>
  <c r="K673" i="2"/>
  <c r="H672" i="2"/>
  <c r="K672" i="2"/>
  <c r="H671" i="2"/>
  <c r="K671" i="2"/>
  <c r="H670" i="2"/>
  <c r="E670" i="2"/>
  <c r="K670" i="2"/>
  <c r="D669" i="2"/>
  <c r="H669" i="2"/>
  <c r="E669" i="2"/>
  <c r="K669" i="2"/>
  <c r="D668" i="2"/>
  <c r="H668" i="2"/>
  <c r="E668" i="2"/>
  <c r="K668" i="2"/>
  <c r="D667" i="2"/>
  <c r="H654" i="2"/>
  <c r="K654" i="2"/>
  <c r="H653" i="2"/>
  <c r="K653" i="2"/>
  <c r="H652" i="2"/>
  <c r="K652" i="2"/>
  <c r="H651" i="2"/>
  <c r="K651" i="2"/>
  <c r="H650" i="2"/>
  <c r="K650" i="2"/>
  <c r="L650" i="2" s="1"/>
  <c r="H649" i="2"/>
  <c r="K649" i="2"/>
  <c r="H648" i="2"/>
  <c r="K648" i="2"/>
  <c r="H647" i="2"/>
  <c r="E647" i="2"/>
  <c r="K647" i="2"/>
  <c r="H646" i="2"/>
  <c r="E646" i="2"/>
  <c r="K646" i="2"/>
  <c r="H645" i="2"/>
  <c r="E645" i="2"/>
  <c r="K645" i="2"/>
  <c r="R889" i="2"/>
  <c r="E612" i="2" s="1"/>
  <c r="V889" i="2"/>
  <c r="E613" i="2" s="1"/>
  <c r="Z889" i="2"/>
  <c r="E614" i="2" s="1"/>
  <c r="B903" i="2"/>
  <c r="E615" i="2" s="1"/>
  <c r="F903" i="2"/>
  <c r="E616" i="2" s="1"/>
  <c r="J903" i="2"/>
  <c r="E617" i="2" s="1"/>
  <c r="N903" i="2"/>
  <c r="E618" i="2" s="1"/>
  <c r="R888" i="2"/>
  <c r="E587" i="2" s="1"/>
  <c r="V888" i="2"/>
  <c r="E588" i="2" s="1"/>
  <c r="Z888" i="2"/>
  <c r="E589" i="2" s="1"/>
  <c r="B902" i="2"/>
  <c r="E590" i="2" s="1"/>
  <c r="D615" i="2" s="1"/>
  <c r="F902" i="2"/>
  <c r="E591" i="2" s="1"/>
  <c r="D616" i="2" s="1"/>
  <c r="J902" i="2"/>
  <c r="E592" i="2" s="1"/>
  <c r="R887" i="2"/>
  <c r="C915" i="2" s="1"/>
  <c r="E562" i="2" s="1"/>
  <c r="V887" i="2"/>
  <c r="C916" i="2" s="1"/>
  <c r="Z887" i="2"/>
  <c r="C917" i="2" s="1"/>
  <c r="E564" i="2" s="1"/>
  <c r="B901" i="2"/>
  <c r="C918" i="2" s="1"/>
  <c r="E565" i="2" s="1"/>
  <c r="F901" i="2"/>
  <c r="C919" i="2" s="1"/>
  <c r="J901" i="2"/>
  <c r="C920" i="2" s="1"/>
  <c r="N888" i="2"/>
  <c r="E586" i="2" s="1"/>
  <c r="D611" i="2" s="1"/>
  <c r="N887" i="2"/>
  <c r="D586" i="2" s="1"/>
  <c r="E903" i="2"/>
  <c r="N615" i="2" s="1"/>
  <c r="J888" i="2"/>
  <c r="E585" i="2" s="1"/>
  <c r="D610" i="2" s="1"/>
  <c r="N889" i="2"/>
  <c r="E611" i="2" s="1"/>
  <c r="F888" i="2"/>
  <c r="E584" i="2" s="1"/>
  <c r="J889" i="2"/>
  <c r="E610" i="2" s="1"/>
  <c r="B888" i="2"/>
  <c r="D608" i="2" s="1"/>
  <c r="F889" i="2"/>
  <c r="E609" i="2" s="1"/>
  <c r="E888" i="2"/>
  <c r="M608" i="2" s="1"/>
  <c r="L902" i="2"/>
  <c r="K592" i="2" s="1"/>
  <c r="K902" i="2"/>
  <c r="H592" i="2" s="1"/>
  <c r="M902" i="2"/>
  <c r="N592" i="2" s="1"/>
  <c r="M617" i="2" s="1"/>
  <c r="H902" i="2"/>
  <c r="K591" i="2" s="1"/>
  <c r="G902" i="2"/>
  <c r="H591" i="2" s="1"/>
  <c r="G616" i="2" s="1"/>
  <c r="I902" i="2"/>
  <c r="N591" i="2" s="1"/>
  <c r="M616" i="2" s="1"/>
  <c r="E902" i="2"/>
  <c r="N590" i="2" s="1"/>
  <c r="M615" i="2" s="1"/>
  <c r="D902" i="2"/>
  <c r="K590" i="2" s="1"/>
  <c r="C902" i="2"/>
  <c r="H590" i="2" s="1"/>
  <c r="G615" i="2" s="1"/>
  <c r="AB888" i="2"/>
  <c r="K589" i="2" s="1"/>
  <c r="J614" i="2" s="1"/>
  <c r="AA888" i="2"/>
  <c r="H589" i="2" s="1"/>
  <c r="G614" i="2" s="1"/>
  <c r="AC888" i="2"/>
  <c r="N589" i="2" s="1"/>
  <c r="M614" i="2" s="1"/>
  <c r="X888" i="2"/>
  <c r="K588" i="2" s="1"/>
  <c r="W888" i="2"/>
  <c r="H588" i="2" s="1"/>
  <c r="N588" i="2"/>
  <c r="T888" i="2"/>
  <c r="K587" i="2" s="1"/>
  <c r="S888" i="2"/>
  <c r="H587" i="2" s="1"/>
  <c r="G612" i="2" s="1"/>
  <c r="U888" i="2"/>
  <c r="N587" i="2" s="1"/>
  <c r="P888" i="2"/>
  <c r="K586" i="2" s="1"/>
  <c r="O888" i="2"/>
  <c r="H586" i="2" s="1"/>
  <c r="G611" i="2" s="1"/>
  <c r="Q888" i="2"/>
  <c r="N586" i="2" s="1"/>
  <c r="M611" i="2" s="1"/>
  <c r="J887" i="2"/>
  <c r="L888" i="2"/>
  <c r="K585" i="2" s="1"/>
  <c r="K888" i="2"/>
  <c r="H585" i="2" s="1"/>
  <c r="G610" i="2" s="1"/>
  <c r="M888" i="2"/>
  <c r="N585" i="2" s="1"/>
  <c r="F887" i="2"/>
  <c r="D584" i="2" s="1"/>
  <c r="H888" i="2"/>
  <c r="K584" i="2" s="1"/>
  <c r="G888" i="2"/>
  <c r="H584" i="2" s="1"/>
  <c r="I888" i="2"/>
  <c r="N584" i="2" s="1"/>
  <c r="M609" i="2" s="1"/>
  <c r="B887" i="2"/>
  <c r="D583" i="2" s="1"/>
  <c r="E887" i="2"/>
  <c r="M583" i="2" s="1"/>
  <c r="B495" i="2"/>
  <c r="B494" i="2"/>
  <c r="B493" i="2"/>
  <c r="B492" i="2"/>
  <c r="M347" i="3"/>
  <c r="A432" i="2" s="1"/>
  <c r="M317" i="3"/>
  <c r="A431" i="2" s="1"/>
  <c r="A430" i="2"/>
  <c r="E56" i="2"/>
  <c r="E57" i="2"/>
  <c r="E58" i="2"/>
  <c r="E51" i="2"/>
  <c r="E52" i="2"/>
  <c r="E53" i="2"/>
  <c r="E54" i="2"/>
  <c r="A44" i="2"/>
  <c r="F29" i="2"/>
  <c r="F32" i="2" s="1"/>
  <c r="G29" i="2"/>
  <c r="G39" i="2" s="1"/>
  <c r="K29" i="2"/>
  <c r="K37" i="2" s="1"/>
  <c r="L29" i="2"/>
  <c r="L39" i="2" s="1"/>
  <c r="M29" i="2"/>
  <c r="N53" i="2" s="1"/>
  <c r="N29" i="2"/>
  <c r="N39" i="2" s="1"/>
  <c r="O29" i="2"/>
  <c r="O32" i="2" s="1"/>
  <c r="P29" i="2"/>
  <c r="P39" i="2" s="1"/>
  <c r="C496" i="2"/>
  <c r="C495" i="2"/>
  <c r="C494" i="2"/>
  <c r="C493" i="2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C51" i="4"/>
  <c r="C52" i="4"/>
  <c r="C53" i="4"/>
  <c r="C54" i="4"/>
  <c r="C55" i="4"/>
  <c r="C56" i="4"/>
  <c r="C57" i="4"/>
  <c r="C58" i="4"/>
  <c r="C59" i="4"/>
  <c r="E50" i="4"/>
  <c r="C50" i="4"/>
  <c r="A50" i="4"/>
  <c r="F56" i="2"/>
  <c r="F57" i="2"/>
  <c r="F58" i="2"/>
  <c r="G56" i="2"/>
  <c r="G57" i="2"/>
  <c r="G58" i="2"/>
  <c r="H56" i="2"/>
  <c r="H57" i="2"/>
  <c r="H58" i="2"/>
  <c r="I56" i="2"/>
  <c r="I57" i="2"/>
  <c r="I58" i="2"/>
  <c r="J56" i="2"/>
  <c r="J57" i="2"/>
  <c r="J58" i="2"/>
  <c r="K56" i="2"/>
  <c r="K57" i="2"/>
  <c r="K58" i="2"/>
  <c r="L56" i="2"/>
  <c r="L57" i="2"/>
  <c r="L58" i="2"/>
  <c r="Q29" i="2"/>
  <c r="N58" i="2" s="1"/>
  <c r="O45" i="3"/>
  <c r="C83" i="4" s="1"/>
  <c r="C214" i="4" s="1"/>
  <c r="H161" i="3"/>
  <c r="C237" i="5"/>
  <c r="C230" i="5"/>
  <c r="D230" i="4"/>
  <c r="E230" i="4"/>
  <c r="F230" i="4"/>
  <c r="G230" i="4"/>
  <c r="H230" i="4"/>
  <c r="I230" i="4"/>
  <c r="J230" i="4"/>
  <c r="K230" i="4"/>
  <c r="L230" i="4"/>
  <c r="M230" i="4"/>
  <c r="C230" i="4"/>
  <c r="D221" i="4"/>
  <c r="C221" i="4"/>
  <c r="H142" i="4"/>
  <c r="H172" i="4" s="1"/>
  <c r="H202" i="4" s="1"/>
  <c r="K142" i="4"/>
  <c r="B142" i="4"/>
  <c r="B172" i="4" s="1"/>
  <c r="B202" i="4" s="1"/>
  <c r="R142" i="5"/>
  <c r="R172" i="5" s="1"/>
  <c r="R202" i="5" s="1"/>
  <c r="S330" i="5" s="1"/>
  <c r="R341" i="3"/>
  <c r="R371" i="3" s="1"/>
  <c r="B45" i="3"/>
  <c r="F188" i="3" s="1"/>
  <c r="C45" i="3"/>
  <c r="D45" i="3"/>
  <c r="F190" i="3" s="1"/>
  <c r="E45" i="3"/>
  <c r="F191" i="3" s="1"/>
  <c r="F45" i="3"/>
  <c r="E76" i="3" s="1"/>
  <c r="G45" i="3"/>
  <c r="H45" i="3"/>
  <c r="F194" i="3" s="1"/>
  <c r="I45" i="3"/>
  <c r="F195" i="3" s="1"/>
  <c r="J45" i="3"/>
  <c r="F196" i="3" s="1"/>
  <c r="K45" i="3"/>
  <c r="J76" i="3" s="1"/>
  <c r="L45" i="3"/>
  <c r="F198" i="3" s="1"/>
  <c r="C142" i="5"/>
  <c r="C172" i="5" s="1"/>
  <c r="C202" i="5" s="1"/>
  <c r="C330" i="5" s="1"/>
  <c r="D142" i="5"/>
  <c r="D172" i="5" s="1"/>
  <c r="D202" i="5" s="1"/>
  <c r="D330" i="5" s="1"/>
  <c r="F142" i="5"/>
  <c r="F172" i="5" s="1"/>
  <c r="F202" i="5" s="1"/>
  <c r="F330" i="5" s="1"/>
  <c r="G142" i="5"/>
  <c r="Q142" i="5"/>
  <c r="Q172" i="5" s="1"/>
  <c r="Q202" i="5" s="1"/>
  <c r="R330" i="5" s="1"/>
  <c r="B142" i="5"/>
  <c r="B172" i="5" s="1"/>
  <c r="M83" i="5"/>
  <c r="M214" i="5" s="1"/>
  <c r="L83" i="5"/>
  <c r="K68" i="5" s="1"/>
  <c r="K83" i="5"/>
  <c r="K67" i="5" s="1"/>
  <c r="F83" i="5"/>
  <c r="K62" i="5" s="1"/>
  <c r="E83" i="5"/>
  <c r="K61" i="5" s="1"/>
  <c r="D83" i="5"/>
  <c r="K60" i="5" s="1"/>
  <c r="B215" i="5"/>
  <c r="C215" i="5"/>
  <c r="D120" i="5"/>
  <c r="D79" i="5"/>
  <c r="C33" i="1" s="1"/>
  <c r="C216" i="5"/>
  <c r="B216" i="5"/>
  <c r="B83" i="5"/>
  <c r="B214" i="5" s="1"/>
  <c r="A209" i="5"/>
  <c r="D180" i="5"/>
  <c r="D150" i="5"/>
  <c r="I5" i="5"/>
  <c r="A187" i="3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Q311" i="3"/>
  <c r="Q341" i="3" s="1"/>
  <c r="Q371" i="3" s="1"/>
  <c r="C311" i="3"/>
  <c r="C341" i="3" s="1"/>
  <c r="C371" i="3" s="1"/>
  <c r="D311" i="3"/>
  <c r="D341" i="3" s="1"/>
  <c r="D371" i="3" s="1"/>
  <c r="E341" i="3"/>
  <c r="E371" i="3" s="1"/>
  <c r="F311" i="3"/>
  <c r="F341" i="3" s="1"/>
  <c r="F371" i="3" s="1"/>
  <c r="G311" i="3"/>
  <c r="G341" i="3" s="1"/>
  <c r="H311" i="3"/>
  <c r="H341" i="3" s="1"/>
  <c r="H371" i="3" s="1"/>
  <c r="I311" i="3"/>
  <c r="I341" i="3" s="1"/>
  <c r="I371" i="3" s="1"/>
  <c r="J311" i="3"/>
  <c r="J341" i="3" s="1"/>
  <c r="J371" i="3" s="1"/>
  <c r="K311" i="3"/>
  <c r="K341" i="3" s="1"/>
  <c r="K371" i="3" s="1"/>
  <c r="M311" i="3"/>
  <c r="M341" i="3" s="1"/>
  <c r="M371" i="3" s="1"/>
  <c r="N311" i="3"/>
  <c r="N341" i="3" s="1"/>
  <c r="N371" i="3" s="1"/>
  <c r="O371" i="3"/>
  <c r="P371" i="3"/>
  <c r="B311" i="3"/>
  <c r="B341" i="3" s="1"/>
  <c r="B371" i="3" s="1"/>
  <c r="K238" i="3"/>
  <c r="K237" i="3"/>
  <c r="K236" i="3"/>
  <c r="K235" i="3"/>
  <c r="K234" i="3"/>
  <c r="K233" i="3"/>
  <c r="K232" i="3"/>
  <c r="K231" i="3"/>
  <c r="K230" i="3"/>
  <c r="K229" i="3"/>
  <c r="K132" i="3"/>
  <c r="M136" i="3" s="1"/>
  <c r="H175" i="3"/>
  <c r="I176" i="3" s="1"/>
  <c r="K161" i="3"/>
  <c r="M383" i="3"/>
  <c r="L383" i="3"/>
  <c r="K383" i="3"/>
  <c r="J383" i="3"/>
  <c r="I383" i="3"/>
  <c r="H383" i="3"/>
  <c r="G383" i="3"/>
  <c r="F383" i="3"/>
  <c r="E383" i="3"/>
  <c r="D383" i="3"/>
  <c r="K247" i="3"/>
  <c r="I247" i="3"/>
  <c r="I5" i="3"/>
  <c r="D248" i="3"/>
  <c r="D289" i="3" s="1"/>
  <c r="B252" i="3"/>
  <c r="B383" i="3" s="1"/>
  <c r="B385" i="3"/>
  <c r="C385" i="3"/>
  <c r="B48" i="3"/>
  <c r="B49" i="3"/>
  <c r="B50" i="3"/>
  <c r="B51" i="3"/>
  <c r="B52" i="3"/>
  <c r="C48" i="3"/>
  <c r="C49" i="3"/>
  <c r="C50" i="3"/>
  <c r="C51" i="3"/>
  <c r="C52" i="3"/>
  <c r="C56" i="3"/>
  <c r="C57" i="3"/>
  <c r="C58" i="3"/>
  <c r="C59" i="3"/>
  <c r="C53" i="3"/>
  <c r="C54" i="3"/>
  <c r="C55" i="3"/>
  <c r="B53" i="3"/>
  <c r="B54" i="3"/>
  <c r="B55" i="3"/>
  <c r="B56" i="3"/>
  <c r="B57" i="3"/>
  <c r="B58" i="3"/>
  <c r="B59" i="3"/>
  <c r="B62" i="3"/>
  <c r="L62" i="3"/>
  <c r="M62" i="3"/>
  <c r="K62" i="3"/>
  <c r="J62" i="3"/>
  <c r="I62" i="3"/>
  <c r="H62" i="3"/>
  <c r="G62" i="3"/>
  <c r="F62" i="3"/>
  <c r="E59" i="3"/>
  <c r="E62" i="3"/>
  <c r="D53" i="3"/>
  <c r="D54" i="3"/>
  <c r="D55" i="3"/>
  <c r="D48" i="3"/>
  <c r="C80" i="3" s="1"/>
  <c r="D49" i="3"/>
  <c r="D50" i="3"/>
  <c r="D83" i="3" s="1"/>
  <c r="D51" i="3"/>
  <c r="D52" i="3"/>
  <c r="D85" i="3" s="1"/>
  <c r="D56" i="3"/>
  <c r="D89" i="3" s="1"/>
  <c r="D57" i="3"/>
  <c r="D58" i="3"/>
  <c r="D59" i="3"/>
  <c r="D62" i="3"/>
  <c r="C62" i="3"/>
  <c r="M83" i="4"/>
  <c r="M214" i="4" s="1"/>
  <c r="L83" i="4"/>
  <c r="K68" i="4" s="1"/>
  <c r="K83" i="4"/>
  <c r="K67" i="4" s="1"/>
  <c r="J83" i="4"/>
  <c r="K66" i="4" s="1"/>
  <c r="I83" i="4"/>
  <c r="K65" i="4" s="1"/>
  <c r="H83" i="4"/>
  <c r="G83" i="4"/>
  <c r="G214" i="4" s="1"/>
  <c r="F83" i="4"/>
  <c r="K62" i="4" s="1"/>
  <c r="E83" i="4"/>
  <c r="K61" i="4" s="1"/>
  <c r="D83" i="4"/>
  <c r="K60" i="4" s="1"/>
  <c r="A172" i="4"/>
  <c r="B83" i="4"/>
  <c r="B214" i="4"/>
  <c r="D79" i="4"/>
  <c r="D120" i="4" s="1"/>
  <c r="A209" i="4"/>
  <c r="D180" i="4"/>
  <c r="D150" i="4"/>
  <c r="I5" i="4"/>
  <c r="B216" i="4"/>
  <c r="A410" i="2"/>
  <c r="A1079" i="2" s="1"/>
  <c r="A407" i="2"/>
  <c r="C677" i="2" s="1"/>
  <c r="A406" i="2"/>
  <c r="A996" i="2" s="1"/>
  <c r="A405" i="2"/>
  <c r="A970" i="2" s="1"/>
  <c r="A404" i="2"/>
  <c r="A1073" i="2" s="1"/>
  <c r="A403" i="2"/>
  <c r="A402" i="2"/>
  <c r="A401" i="2"/>
  <c r="A915" i="2" s="1"/>
  <c r="A400" i="2"/>
  <c r="A990" i="2" s="1"/>
  <c r="A399" i="2"/>
  <c r="A1068" i="2" s="1"/>
  <c r="A398" i="2"/>
  <c r="A397" i="2"/>
  <c r="A962" i="2" s="1"/>
  <c r="O842" i="2"/>
  <c r="P842" i="2"/>
  <c r="O813" i="2"/>
  <c r="P813" i="2"/>
  <c r="J716" i="2"/>
  <c r="J717" i="2"/>
  <c r="J718" i="2"/>
  <c r="J719" i="2"/>
  <c r="J720" i="2"/>
  <c r="J721" i="2"/>
  <c r="J722" i="2"/>
  <c r="J693" i="2"/>
  <c r="J694" i="2"/>
  <c r="J695" i="2"/>
  <c r="J696" i="2"/>
  <c r="J697" i="2"/>
  <c r="J698" i="2"/>
  <c r="J699" i="2"/>
  <c r="J670" i="2"/>
  <c r="J671" i="2"/>
  <c r="J672" i="2"/>
  <c r="J673" i="2"/>
  <c r="J674" i="2"/>
  <c r="J675" i="2"/>
  <c r="J676" i="2"/>
  <c r="G721" i="2"/>
  <c r="G722" i="2"/>
  <c r="G698" i="2"/>
  <c r="G699" i="2"/>
  <c r="G675" i="2"/>
  <c r="G676" i="2"/>
  <c r="G716" i="2"/>
  <c r="G717" i="2"/>
  <c r="I718" i="2" s="1"/>
  <c r="G718" i="2"/>
  <c r="G719" i="2"/>
  <c r="G720" i="2"/>
  <c r="G693" i="2"/>
  <c r="G694" i="2"/>
  <c r="G695" i="2"/>
  <c r="G696" i="2"/>
  <c r="G697" i="2"/>
  <c r="I698" i="2" s="1"/>
  <c r="G670" i="2"/>
  <c r="G671" i="2"/>
  <c r="G672" i="2"/>
  <c r="G673" i="2"/>
  <c r="I674" i="2" s="1"/>
  <c r="G674" i="2"/>
  <c r="G713" i="2"/>
  <c r="J713" i="2"/>
  <c r="L714" i="2" s="1"/>
  <c r="G714" i="2"/>
  <c r="J714" i="2"/>
  <c r="G715" i="2"/>
  <c r="J715" i="2"/>
  <c r="J692" i="2"/>
  <c r="J691" i="2"/>
  <c r="L692" i="2" s="1"/>
  <c r="J690" i="2"/>
  <c r="G692" i="2"/>
  <c r="G691" i="2"/>
  <c r="G690" i="2"/>
  <c r="G667" i="2"/>
  <c r="J667" i="2"/>
  <c r="G668" i="2"/>
  <c r="J668" i="2"/>
  <c r="G669" i="2"/>
  <c r="J669" i="2"/>
  <c r="U889" i="2"/>
  <c r="N612" i="2" s="1"/>
  <c r="Y889" i="2"/>
  <c r="N613" i="2" s="1"/>
  <c r="AC889" i="2"/>
  <c r="N614" i="2" s="1"/>
  <c r="I903" i="2"/>
  <c r="N616" i="2" s="1"/>
  <c r="M903" i="2"/>
  <c r="N617" i="2" s="1"/>
  <c r="Q903" i="2"/>
  <c r="N618" i="2" s="1"/>
  <c r="U887" i="2"/>
  <c r="L915" i="2" s="1"/>
  <c r="N562" i="2" s="1"/>
  <c r="Y887" i="2"/>
  <c r="L916" i="2" s="1"/>
  <c r="N563" i="2" s="1"/>
  <c r="AC887" i="2"/>
  <c r="L917" i="2" s="1"/>
  <c r="N564" i="2" s="1"/>
  <c r="I901" i="2"/>
  <c r="L919" i="2" s="1"/>
  <c r="N566" i="2" s="1"/>
  <c r="M901" i="2"/>
  <c r="L920" i="2" s="1"/>
  <c r="N567" i="2" s="1"/>
  <c r="O567" i="2" s="1"/>
  <c r="Q887" i="2"/>
  <c r="Y888" i="2"/>
  <c r="M588" i="2" s="1"/>
  <c r="T889" i="2"/>
  <c r="K612" i="2" s="1"/>
  <c r="S889" i="2"/>
  <c r="H612" i="2" s="1"/>
  <c r="X889" i="2"/>
  <c r="K613" i="2" s="1"/>
  <c r="W889" i="2"/>
  <c r="H613" i="2" s="1"/>
  <c r="AB889" i="2"/>
  <c r="K614" i="2" s="1"/>
  <c r="AA889" i="2"/>
  <c r="H614" i="2" s="1"/>
  <c r="D903" i="2"/>
  <c r="K615" i="2" s="1"/>
  <c r="C903" i="2"/>
  <c r="H615" i="2" s="1"/>
  <c r="H903" i="2"/>
  <c r="K616" i="2" s="1"/>
  <c r="G903" i="2"/>
  <c r="H616" i="2" s="1"/>
  <c r="L903" i="2"/>
  <c r="K617" i="2" s="1"/>
  <c r="K903" i="2"/>
  <c r="H617" i="2" s="1"/>
  <c r="P903" i="2"/>
  <c r="K618" i="2" s="1"/>
  <c r="O903" i="2"/>
  <c r="H618" i="2" s="1"/>
  <c r="T887" i="2"/>
  <c r="X887" i="2"/>
  <c r="I916" i="2" s="1"/>
  <c r="AB887" i="2"/>
  <c r="I917" i="2" s="1"/>
  <c r="K564" i="2" s="1"/>
  <c r="D901" i="2"/>
  <c r="I918" i="2" s="1"/>
  <c r="K565" i="2" s="1"/>
  <c r="H901" i="2"/>
  <c r="I919" i="2" s="1"/>
  <c r="L901" i="2"/>
  <c r="P887" i="2"/>
  <c r="J586" i="2" s="1"/>
  <c r="Q889" i="2"/>
  <c r="N611" i="2" s="1"/>
  <c r="P889" i="2"/>
  <c r="K611" i="2" s="1"/>
  <c r="O889" i="2"/>
  <c r="H611" i="2" s="1"/>
  <c r="M889" i="2"/>
  <c r="N610" i="2" s="1"/>
  <c r="L889" i="2"/>
  <c r="K610" i="2" s="1"/>
  <c r="K889" i="2"/>
  <c r="H610" i="2" s="1"/>
  <c r="I889" i="2"/>
  <c r="N609" i="2" s="1"/>
  <c r="H889" i="2"/>
  <c r="K609" i="2" s="1"/>
  <c r="G889" i="2"/>
  <c r="H609" i="2" s="1"/>
  <c r="D888" i="2"/>
  <c r="J608" i="2" s="1"/>
  <c r="C888" i="2"/>
  <c r="G608" i="2" s="1"/>
  <c r="I887" i="2"/>
  <c r="M584" i="2" s="1"/>
  <c r="M887" i="2"/>
  <c r="L913" i="2" s="1"/>
  <c r="N560" i="2" s="1"/>
  <c r="D887" i="2"/>
  <c r="J583" i="2" s="1"/>
  <c r="H887" i="2"/>
  <c r="L887" i="2"/>
  <c r="J585" i="2" s="1"/>
  <c r="C887" i="2"/>
  <c r="G583" i="2" s="1"/>
  <c r="Z1050" i="2"/>
  <c r="B1177" i="2" s="1"/>
  <c r="AB1050" i="2"/>
  <c r="D1177" i="2" s="1"/>
  <c r="I1097" i="2"/>
  <c r="R1031" i="2"/>
  <c r="T1031" i="2"/>
  <c r="I1070" i="2" s="1"/>
  <c r="V1031" i="2"/>
  <c r="C1071" i="2" s="1"/>
  <c r="X1031" i="2"/>
  <c r="I1071" i="2" s="1"/>
  <c r="Z1031" i="2"/>
  <c r="C1072" i="2" s="1"/>
  <c r="AB1031" i="2"/>
  <c r="I1072" i="2" s="1"/>
  <c r="B1050" i="2"/>
  <c r="C1073" i="2" s="1"/>
  <c r="D1050" i="2"/>
  <c r="I1073" i="2" s="1"/>
  <c r="F1050" i="2"/>
  <c r="C1074" i="2" s="1"/>
  <c r="H1050" i="2"/>
  <c r="I1074" i="2" s="1"/>
  <c r="J1050" i="2"/>
  <c r="C1075" i="2" s="1"/>
  <c r="L1050" i="2"/>
  <c r="I1075" i="2" s="1"/>
  <c r="N1050" i="2"/>
  <c r="C1076" i="2" s="1"/>
  <c r="P1050" i="2"/>
  <c r="I1076" i="2" s="1"/>
  <c r="R1050" i="2"/>
  <c r="C1077" i="2" s="1"/>
  <c r="T1050" i="2"/>
  <c r="I1077" i="2" s="1"/>
  <c r="V1050" i="2"/>
  <c r="X1050" i="2"/>
  <c r="I1078" i="2" s="1"/>
  <c r="H1031" i="2"/>
  <c r="I1067" i="2" s="1"/>
  <c r="L1031" i="2"/>
  <c r="P1031" i="2"/>
  <c r="I1069" i="2" s="1"/>
  <c r="F1031" i="2"/>
  <c r="C1067" i="2" s="1"/>
  <c r="D1067" i="2" s="1"/>
  <c r="J1031" i="2"/>
  <c r="C1068" i="2" s="1"/>
  <c r="N1031" i="2"/>
  <c r="C1069" i="2" s="1"/>
  <c r="Z1051" i="2"/>
  <c r="AA1051" i="2"/>
  <c r="AB1051" i="2"/>
  <c r="Z1052" i="2"/>
  <c r="AA1052" i="2"/>
  <c r="AB1052" i="2"/>
  <c r="Z1053" i="2"/>
  <c r="AA1053" i="2"/>
  <c r="AB1053" i="2"/>
  <c r="Z1054" i="2"/>
  <c r="AA1054" i="2"/>
  <c r="AB1054" i="2"/>
  <c r="V1051" i="2"/>
  <c r="W1051" i="2"/>
  <c r="X1051" i="2"/>
  <c r="V1052" i="2"/>
  <c r="W1052" i="2"/>
  <c r="X1052" i="2"/>
  <c r="V1053" i="2"/>
  <c r="W1053" i="2"/>
  <c r="X1053" i="2"/>
  <c r="V1054" i="2"/>
  <c r="W1054" i="2"/>
  <c r="X1054" i="2"/>
  <c r="R1051" i="2"/>
  <c r="S1051" i="2"/>
  <c r="T1051" i="2"/>
  <c r="R1052" i="2"/>
  <c r="S1052" i="2"/>
  <c r="T1052" i="2"/>
  <c r="R1053" i="2"/>
  <c r="S1053" i="2"/>
  <c r="T1053" i="2"/>
  <c r="R1054" i="2"/>
  <c r="S1054" i="2"/>
  <c r="T1054" i="2"/>
  <c r="R1042" i="2"/>
  <c r="S1042" i="2"/>
  <c r="T1042" i="2"/>
  <c r="R1043" i="2"/>
  <c r="S1043" i="2"/>
  <c r="T1043" i="2"/>
  <c r="R1044" i="2"/>
  <c r="S1044" i="2"/>
  <c r="T1044" i="2"/>
  <c r="R1045" i="2"/>
  <c r="S1045" i="2"/>
  <c r="T1045" i="2"/>
  <c r="T1041" i="2"/>
  <c r="S1041" i="2"/>
  <c r="R1041" i="2"/>
  <c r="N1051" i="2"/>
  <c r="O1051" i="2"/>
  <c r="P1051" i="2"/>
  <c r="N1052" i="2"/>
  <c r="O1052" i="2"/>
  <c r="P1052" i="2"/>
  <c r="N1053" i="2"/>
  <c r="O1053" i="2"/>
  <c r="P1053" i="2"/>
  <c r="N1054" i="2"/>
  <c r="O1054" i="2"/>
  <c r="P1054" i="2"/>
  <c r="N1042" i="2"/>
  <c r="O1042" i="2"/>
  <c r="P1042" i="2"/>
  <c r="N1043" i="2"/>
  <c r="O1043" i="2"/>
  <c r="P1043" i="2"/>
  <c r="N1044" i="2"/>
  <c r="O1044" i="2"/>
  <c r="P1044" i="2"/>
  <c r="N1045" i="2"/>
  <c r="O1045" i="2"/>
  <c r="P1045" i="2"/>
  <c r="P1041" i="2"/>
  <c r="O1041" i="2"/>
  <c r="N1041" i="2"/>
  <c r="J1051" i="2"/>
  <c r="K1051" i="2"/>
  <c r="L1051" i="2"/>
  <c r="J1052" i="2"/>
  <c r="K1052" i="2"/>
  <c r="L1052" i="2"/>
  <c r="J1053" i="2"/>
  <c r="K1053" i="2"/>
  <c r="L1053" i="2"/>
  <c r="J1054" i="2"/>
  <c r="K1054" i="2"/>
  <c r="L1054" i="2"/>
  <c r="J1042" i="2"/>
  <c r="K1042" i="2"/>
  <c r="L1042" i="2"/>
  <c r="J1043" i="2"/>
  <c r="K1043" i="2"/>
  <c r="L1043" i="2"/>
  <c r="J1044" i="2"/>
  <c r="K1044" i="2"/>
  <c r="L1044" i="2"/>
  <c r="J1045" i="2"/>
  <c r="K1045" i="2"/>
  <c r="L1045" i="2"/>
  <c r="L1041" i="2"/>
  <c r="K1041" i="2"/>
  <c r="J1041" i="2"/>
  <c r="F1051" i="2"/>
  <c r="G1051" i="2"/>
  <c r="H1051" i="2"/>
  <c r="F1052" i="2"/>
  <c r="G1052" i="2"/>
  <c r="H1052" i="2"/>
  <c r="F1053" i="2"/>
  <c r="G1053" i="2"/>
  <c r="H1053" i="2"/>
  <c r="F1054" i="2"/>
  <c r="G1054" i="2"/>
  <c r="H1054" i="2"/>
  <c r="F1042" i="2"/>
  <c r="G1042" i="2"/>
  <c r="H1042" i="2"/>
  <c r="F1043" i="2"/>
  <c r="G1043" i="2"/>
  <c r="H1043" i="2"/>
  <c r="F1044" i="2"/>
  <c r="G1044" i="2"/>
  <c r="H1044" i="2"/>
  <c r="F1045" i="2"/>
  <c r="G1045" i="2"/>
  <c r="H1045" i="2"/>
  <c r="F1041" i="2"/>
  <c r="H1041" i="2"/>
  <c r="G1041" i="2"/>
  <c r="B1051" i="2"/>
  <c r="C1051" i="2"/>
  <c r="D1051" i="2"/>
  <c r="B1052" i="2"/>
  <c r="C1052" i="2"/>
  <c r="D1052" i="2"/>
  <c r="B1053" i="2"/>
  <c r="C1053" i="2"/>
  <c r="D1053" i="2"/>
  <c r="B1054" i="2"/>
  <c r="C1054" i="2"/>
  <c r="D1054" i="2"/>
  <c r="B1042" i="2"/>
  <c r="C1042" i="2"/>
  <c r="D1042" i="2"/>
  <c r="B1043" i="2"/>
  <c r="C1043" i="2"/>
  <c r="D1043" i="2"/>
  <c r="B1044" i="2"/>
  <c r="C1044" i="2"/>
  <c r="D1044" i="2"/>
  <c r="B1045" i="2"/>
  <c r="C1045" i="2"/>
  <c r="D1045" i="2"/>
  <c r="D1041" i="2"/>
  <c r="C1041" i="2"/>
  <c r="B1041" i="2"/>
  <c r="Z1032" i="2"/>
  <c r="AA1032" i="2"/>
  <c r="AB1032" i="2"/>
  <c r="Z1033" i="2"/>
  <c r="AA1033" i="2"/>
  <c r="AB1033" i="2"/>
  <c r="Z1034" i="2"/>
  <c r="AA1034" i="2"/>
  <c r="AB1034" i="2"/>
  <c r="Z1035" i="2"/>
  <c r="AA1035" i="2"/>
  <c r="AB1035" i="2"/>
  <c r="Z1023" i="2"/>
  <c r="AA1023" i="2"/>
  <c r="AB1023" i="2"/>
  <c r="Z1024" i="2"/>
  <c r="AA1024" i="2"/>
  <c r="AB1024" i="2"/>
  <c r="Z1025" i="2"/>
  <c r="AA1025" i="2"/>
  <c r="AC1025" i="2" s="1"/>
  <c r="AB1025" i="2"/>
  <c r="Z1026" i="2"/>
  <c r="AA1026" i="2"/>
  <c r="AB1026" i="2"/>
  <c r="AB1022" i="2"/>
  <c r="AA1022" i="2"/>
  <c r="Z1022" i="2"/>
  <c r="V1032" i="2"/>
  <c r="W1032" i="2"/>
  <c r="X1032" i="2"/>
  <c r="V1033" i="2"/>
  <c r="W1033" i="2"/>
  <c r="Y1033" i="2" s="1"/>
  <c r="X1033" i="2"/>
  <c r="V1034" i="2"/>
  <c r="W1034" i="2"/>
  <c r="X1034" i="2"/>
  <c r="V1035" i="2"/>
  <c r="W1035" i="2"/>
  <c r="X1035" i="2"/>
  <c r="R1032" i="2"/>
  <c r="S1032" i="2"/>
  <c r="T1032" i="2"/>
  <c r="R1033" i="2"/>
  <c r="S1033" i="2"/>
  <c r="U1033" i="2" s="1"/>
  <c r="T1033" i="2"/>
  <c r="R1034" i="2"/>
  <c r="S1034" i="2"/>
  <c r="T1034" i="2"/>
  <c r="R1035" i="2"/>
  <c r="S1035" i="2"/>
  <c r="T1035" i="2"/>
  <c r="R1023" i="2"/>
  <c r="S1023" i="2"/>
  <c r="T1023" i="2"/>
  <c r="R1024" i="2"/>
  <c r="S1024" i="2"/>
  <c r="T1024" i="2"/>
  <c r="R1025" i="2"/>
  <c r="S1025" i="2"/>
  <c r="T1025" i="2"/>
  <c r="R1026" i="2"/>
  <c r="S1026" i="2"/>
  <c r="T1026" i="2"/>
  <c r="T1022" i="2"/>
  <c r="S1022" i="2"/>
  <c r="R1022" i="2"/>
  <c r="N1035" i="2"/>
  <c r="O1035" i="2"/>
  <c r="Q1035" i="2" s="1"/>
  <c r="P1035" i="2"/>
  <c r="N1032" i="2"/>
  <c r="O1032" i="2"/>
  <c r="P1032" i="2"/>
  <c r="N1033" i="2"/>
  <c r="O1033" i="2"/>
  <c r="P1033" i="2"/>
  <c r="N1034" i="2"/>
  <c r="O1034" i="2"/>
  <c r="P1034" i="2"/>
  <c r="N1023" i="2"/>
  <c r="O1023" i="2"/>
  <c r="P1023" i="2"/>
  <c r="N1024" i="2"/>
  <c r="O1024" i="2"/>
  <c r="P1024" i="2"/>
  <c r="N1025" i="2"/>
  <c r="O1025" i="2"/>
  <c r="P1025" i="2"/>
  <c r="N1026" i="2"/>
  <c r="O1026" i="2"/>
  <c r="P1026" i="2"/>
  <c r="P1022" i="2"/>
  <c r="O1022" i="2"/>
  <c r="N1022" i="2"/>
  <c r="J1032" i="2"/>
  <c r="K1032" i="2"/>
  <c r="L1032" i="2"/>
  <c r="J1033" i="2"/>
  <c r="K1033" i="2"/>
  <c r="L1033" i="2"/>
  <c r="J1034" i="2"/>
  <c r="K1034" i="2"/>
  <c r="L1034" i="2"/>
  <c r="J1035" i="2"/>
  <c r="K1035" i="2"/>
  <c r="L1035" i="2"/>
  <c r="J1023" i="2"/>
  <c r="K1023" i="2"/>
  <c r="L1023" i="2"/>
  <c r="J1024" i="2"/>
  <c r="K1024" i="2"/>
  <c r="L1024" i="2"/>
  <c r="J1025" i="2"/>
  <c r="K1025" i="2"/>
  <c r="L1025" i="2"/>
  <c r="J1026" i="2"/>
  <c r="K1026" i="2"/>
  <c r="M1026" i="2" s="1"/>
  <c r="L1026" i="2"/>
  <c r="L1022" i="2"/>
  <c r="K1022" i="2"/>
  <c r="J1022" i="2"/>
  <c r="F1032" i="2"/>
  <c r="G1032" i="2"/>
  <c r="H1032" i="2"/>
  <c r="F1033" i="2"/>
  <c r="G1033" i="2"/>
  <c r="H1033" i="2"/>
  <c r="F1034" i="2"/>
  <c r="G1034" i="2"/>
  <c r="I1034" i="2" s="1"/>
  <c r="H1034" i="2"/>
  <c r="F1035" i="2"/>
  <c r="G1035" i="2"/>
  <c r="H1035" i="2"/>
  <c r="F1023" i="2"/>
  <c r="G1023" i="2"/>
  <c r="H1023" i="2"/>
  <c r="F1024" i="2"/>
  <c r="G1024" i="2"/>
  <c r="H1024" i="2"/>
  <c r="F1025" i="2"/>
  <c r="G1025" i="2"/>
  <c r="I1025" i="2" s="1"/>
  <c r="H1025" i="2"/>
  <c r="F1026" i="2"/>
  <c r="G1026" i="2"/>
  <c r="H1026" i="2"/>
  <c r="H1022" i="2"/>
  <c r="G1022" i="2"/>
  <c r="F1022" i="2"/>
  <c r="B1035" i="2"/>
  <c r="C1035" i="2"/>
  <c r="D1035" i="2"/>
  <c r="B1032" i="2"/>
  <c r="C1032" i="2"/>
  <c r="E1032" i="2" s="1"/>
  <c r="D1032" i="2"/>
  <c r="B1033" i="2"/>
  <c r="C1033" i="2"/>
  <c r="D1033" i="2"/>
  <c r="B1034" i="2"/>
  <c r="C1034" i="2"/>
  <c r="D1034" i="2"/>
  <c r="B1031" i="2"/>
  <c r="C1031" i="2"/>
  <c r="D1031" i="2"/>
  <c r="B1023" i="2"/>
  <c r="C1023" i="2"/>
  <c r="D1023" i="2"/>
  <c r="B1024" i="2"/>
  <c r="C1024" i="2"/>
  <c r="D1024" i="2"/>
  <c r="B1025" i="2"/>
  <c r="C1025" i="2"/>
  <c r="D1025" i="2"/>
  <c r="B1026" i="2"/>
  <c r="C1026" i="2"/>
  <c r="D1026" i="2"/>
  <c r="B1022" i="2"/>
  <c r="C1022" i="2"/>
  <c r="E1022" i="2" s="1"/>
  <c r="D1022" i="2"/>
  <c r="B889" i="2"/>
  <c r="C889" i="2"/>
  <c r="D889" i="2"/>
  <c r="E889" i="2"/>
  <c r="F882" i="2"/>
  <c r="G882" i="2"/>
  <c r="H882" i="2"/>
  <c r="I882" i="2"/>
  <c r="B882" i="2"/>
  <c r="C882" i="2"/>
  <c r="D882" i="2"/>
  <c r="E882" i="2"/>
  <c r="I881" i="2"/>
  <c r="H881" i="2"/>
  <c r="G881" i="2"/>
  <c r="F881" i="2"/>
  <c r="E881" i="2"/>
  <c r="D881" i="2"/>
  <c r="C881" i="2"/>
  <c r="B881" i="2"/>
  <c r="B878" i="2"/>
  <c r="F878" i="2"/>
  <c r="R896" i="2"/>
  <c r="S896" i="2"/>
  <c r="T896" i="2"/>
  <c r="U896" i="2"/>
  <c r="U895" i="2"/>
  <c r="T895" i="2"/>
  <c r="S895" i="2"/>
  <c r="R895" i="2"/>
  <c r="Z892" i="2"/>
  <c r="J892" i="2"/>
  <c r="F892" i="2"/>
  <c r="B892" i="2"/>
  <c r="Z878" i="2"/>
  <c r="V878" i="2"/>
  <c r="R878" i="2"/>
  <c r="N878" i="2"/>
  <c r="J878" i="2"/>
  <c r="N892" i="2"/>
  <c r="N896" i="2"/>
  <c r="O896" i="2"/>
  <c r="P896" i="2"/>
  <c r="Q896" i="2"/>
  <c r="Q895" i="2"/>
  <c r="P895" i="2"/>
  <c r="O895" i="2"/>
  <c r="N895" i="2"/>
  <c r="J896" i="2"/>
  <c r="K896" i="2"/>
  <c r="L896" i="2"/>
  <c r="M896" i="2"/>
  <c r="M895" i="2"/>
  <c r="L895" i="2"/>
  <c r="K895" i="2"/>
  <c r="J895" i="2"/>
  <c r="F896" i="2"/>
  <c r="G896" i="2"/>
  <c r="H896" i="2"/>
  <c r="I896" i="2"/>
  <c r="I895" i="2"/>
  <c r="H895" i="2"/>
  <c r="G895" i="2"/>
  <c r="F895" i="2"/>
  <c r="B896" i="2"/>
  <c r="C896" i="2"/>
  <c r="D896" i="2"/>
  <c r="E896" i="2"/>
  <c r="E895" i="2"/>
  <c r="D895" i="2"/>
  <c r="C895" i="2"/>
  <c r="B895" i="2"/>
  <c r="Z882" i="2"/>
  <c r="AA882" i="2"/>
  <c r="AB882" i="2"/>
  <c r="AC882" i="2"/>
  <c r="AC881" i="2"/>
  <c r="AB881" i="2"/>
  <c r="AA881" i="2"/>
  <c r="Z881" i="2"/>
  <c r="R882" i="2"/>
  <c r="S882" i="2"/>
  <c r="T882" i="2"/>
  <c r="U882" i="2"/>
  <c r="U881" i="2"/>
  <c r="T881" i="2"/>
  <c r="S881" i="2"/>
  <c r="R881" i="2"/>
  <c r="N882" i="2"/>
  <c r="O882" i="2"/>
  <c r="P882" i="2"/>
  <c r="Q882" i="2"/>
  <c r="Q881" i="2"/>
  <c r="P881" i="2"/>
  <c r="O881" i="2"/>
  <c r="N881" i="2"/>
  <c r="M882" i="2"/>
  <c r="M881" i="2"/>
  <c r="L882" i="2"/>
  <c r="L881" i="2"/>
  <c r="K882" i="2"/>
  <c r="K881" i="2"/>
  <c r="J882" i="2"/>
  <c r="J881" i="2"/>
  <c r="L51" i="2"/>
  <c r="K51" i="2"/>
  <c r="J51" i="2"/>
  <c r="I51" i="2"/>
  <c r="H51" i="2"/>
  <c r="G51" i="2"/>
  <c r="F51" i="2"/>
  <c r="L54" i="2"/>
  <c r="L53" i="2"/>
  <c r="K54" i="2"/>
  <c r="K53" i="2"/>
  <c r="J54" i="2"/>
  <c r="J53" i="2"/>
  <c r="I54" i="2"/>
  <c r="I53" i="2"/>
  <c r="F52" i="2"/>
  <c r="F53" i="2"/>
  <c r="F54" i="2"/>
  <c r="G52" i="2"/>
  <c r="G53" i="2"/>
  <c r="G54" i="2"/>
  <c r="H52" i="2"/>
  <c r="H53" i="2"/>
  <c r="H54" i="2"/>
  <c r="I52" i="2"/>
  <c r="J52" i="2"/>
  <c r="K52" i="2"/>
  <c r="L52" i="2"/>
  <c r="A58" i="2"/>
  <c r="A57" i="2"/>
  <c r="A56" i="2"/>
  <c r="A54" i="2"/>
  <c r="A53" i="2"/>
  <c r="A51" i="2"/>
  <c r="A49" i="2"/>
  <c r="A46" i="2"/>
  <c r="G726" i="2"/>
  <c r="D726" i="2"/>
  <c r="J726" i="2"/>
  <c r="G703" i="2"/>
  <c r="D703" i="2"/>
  <c r="J703" i="2"/>
  <c r="G680" i="2"/>
  <c r="D680" i="2"/>
  <c r="J680" i="2"/>
  <c r="A396" i="2"/>
  <c r="A1119" i="2" s="1"/>
  <c r="E40" i="2"/>
  <c r="F40" i="2"/>
  <c r="G40" i="2"/>
  <c r="H40" i="2"/>
  <c r="I40" i="2"/>
  <c r="J40" i="2"/>
  <c r="K40" i="2"/>
  <c r="N40" i="2"/>
  <c r="A41" i="2"/>
  <c r="Y29" i="2"/>
  <c r="AA29" i="2"/>
  <c r="W29" i="2"/>
  <c r="U29" i="2"/>
  <c r="A1158" i="2"/>
  <c r="A973" i="2"/>
  <c r="C701" i="2"/>
  <c r="C569" i="2"/>
  <c r="A478" i="2"/>
  <c r="Q454" i="2"/>
  <c r="A42" i="2"/>
  <c r="A43" i="2"/>
  <c r="A45" i="2"/>
  <c r="A47" i="2"/>
  <c r="A48" i="2"/>
  <c r="A52" i="2"/>
  <c r="L42" i="1"/>
  <c r="L28" i="1"/>
  <c r="L14" i="1"/>
  <c r="C19" i="1"/>
  <c r="Z15" i="2"/>
  <c r="AA1044" i="2"/>
  <c r="AB18" i="2"/>
  <c r="Z19" i="2"/>
  <c r="AB895" i="2"/>
  <c r="E410" i="2"/>
  <c r="Z410" i="2"/>
  <c r="W410" i="2"/>
  <c r="T410" i="2"/>
  <c r="K410" i="2"/>
  <c r="H410" i="2"/>
  <c r="B410" i="2"/>
  <c r="Z480" i="2"/>
  <c r="W480" i="2"/>
  <c r="T480" i="2"/>
  <c r="K480" i="2"/>
  <c r="H480" i="2"/>
  <c r="E480" i="2"/>
  <c r="B480" i="2"/>
  <c r="B454" i="2"/>
  <c r="H454" i="2"/>
  <c r="Z454" i="2"/>
  <c r="W454" i="2"/>
  <c r="T454" i="2"/>
  <c r="K454" i="2"/>
  <c r="E454" i="2"/>
  <c r="W532" i="2"/>
  <c r="T532" i="2"/>
  <c r="K532" i="2"/>
  <c r="H532" i="2"/>
  <c r="E532" i="2"/>
  <c r="B532" i="2"/>
  <c r="W506" i="2"/>
  <c r="T506" i="2"/>
  <c r="K506" i="2"/>
  <c r="H506" i="2"/>
  <c r="E506" i="2"/>
  <c r="Z532" i="2"/>
  <c r="B506" i="2"/>
  <c r="Z506" i="2"/>
  <c r="E29" i="2"/>
  <c r="C29" i="2"/>
  <c r="C32" i="2" s="1"/>
  <c r="D29" i="2"/>
  <c r="D37" i="2" s="1"/>
  <c r="H29" i="2"/>
  <c r="H37" i="2" s="1"/>
  <c r="J29" i="2"/>
  <c r="J35" i="2" s="1"/>
  <c r="B37" i="2"/>
  <c r="G48" i="3"/>
  <c r="G49" i="3"/>
  <c r="F81" i="3" s="1"/>
  <c r="G50" i="3"/>
  <c r="G51" i="3"/>
  <c r="W1027" i="2"/>
  <c r="E1152" i="2" s="1"/>
  <c r="G1153" i="2" s="1"/>
  <c r="W883" i="2"/>
  <c r="E992" i="2" s="1"/>
  <c r="W884" i="2"/>
  <c r="E967" i="2" s="1"/>
  <c r="W885" i="2"/>
  <c r="F967" i="2" s="1"/>
  <c r="W886" i="2"/>
  <c r="F942" i="2" s="1"/>
  <c r="V886" i="2"/>
  <c r="G47" i="3"/>
  <c r="H193" i="3" s="1"/>
  <c r="K193" i="3" s="1"/>
  <c r="V883" i="2"/>
  <c r="B992" i="2" s="1"/>
  <c r="X883" i="2"/>
  <c r="H992" i="2" s="1"/>
  <c r="Y883" i="2"/>
  <c r="K992" i="2" s="1"/>
  <c r="M993" i="2" s="1"/>
  <c r="V884" i="2"/>
  <c r="B967" i="2" s="1"/>
  <c r="C992" i="2" s="1"/>
  <c r="X884" i="2"/>
  <c r="H967" i="2" s="1"/>
  <c r="I992" i="2" s="1"/>
  <c r="Y884" i="2"/>
  <c r="K967" i="2" s="1"/>
  <c r="L992" i="2" s="1"/>
  <c r="X886" i="2"/>
  <c r="H916" i="2" s="1"/>
  <c r="J563" i="2" s="1"/>
  <c r="Y886" i="2"/>
  <c r="K916" i="2" s="1"/>
  <c r="M563" i="2" s="1"/>
  <c r="V1027" i="2"/>
  <c r="B1152" i="2" s="1"/>
  <c r="X1027" i="2"/>
  <c r="W1023" i="2"/>
  <c r="X1023" i="2"/>
  <c r="W1024" i="2"/>
  <c r="X1024" i="2"/>
  <c r="W1025" i="2"/>
  <c r="X1025" i="2"/>
  <c r="W1026" i="2"/>
  <c r="X1026" i="2"/>
  <c r="V1023" i="2"/>
  <c r="V1024" i="2"/>
  <c r="V1025" i="2"/>
  <c r="V1026" i="2"/>
  <c r="X1022" i="2"/>
  <c r="W1022" i="2"/>
  <c r="V1022" i="2"/>
  <c r="V885" i="2"/>
  <c r="X885" i="2"/>
  <c r="I967" i="2" s="1"/>
  <c r="Y885" i="2"/>
  <c r="L967" i="2" s="1"/>
  <c r="V882" i="2"/>
  <c r="W882" i="2"/>
  <c r="X882" i="2"/>
  <c r="Y882" i="2"/>
  <c r="Y881" i="2"/>
  <c r="X881" i="2"/>
  <c r="W881" i="2"/>
  <c r="V881" i="2"/>
  <c r="G55" i="3"/>
  <c r="H56" i="3"/>
  <c r="G56" i="3"/>
  <c r="K948" i="2"/>
  <c r="C61" i="4"/>
  <c r="G230" i="3"/>
  <c r="G61" i="4" s="1"/>
  <c r="C61" i="5"/>
  <c r="J4" i="1"/>
  <c r="L4" i="1"/>
  <c r="E948" i="2"/>
  <c r="A452" i="2"/>
  <c r="C594" i="2"/>
  <c r="C678" i="2"/>
  <c r="A948" i="2"/>
  <c r="A1131" i="2"/>
  <c r="A998" i="2"/>
  <c r="AB501" i="2"/>
  <c r="A504" i="2"/>
  <c r="C619" i="2"/>
  <c r="C724" i="2"/>
  <c r="A1077" i="2"/>
  <c r="R1038" i="2"/>
  <c r="A422" i="2"/>
  <c r="A530" i="2"/>
  <c r="C655" i="2"/>
  <c r="A922" i="2"/>
  <c r="I972" i="2"/>
  <c r="S407" i="2"/>
  <c r="AB1048" i="2"/>
  <c r="H1105" i="2" s="1"/>
  <c r="D468" i="2"/>
  <c r="P398" i="2"/>
  <c r="I1126" i="2"/>
  <c r="C592" i="2"/>
  <c r="J590" i="2"/>
  <c r="C921" i="2"/>
  <c r="E568" i="2" s="1"/>
  <c r="D592" i="2"/>
  <c r="E1095" i="2"/>
  <c r="D644" i="2"/>
  <c r="F972" i="2"/>
  <c r="I940" i="2"/>
  <c r="K88" i="3"/>
  <c r="E1124" i="2"/>
  <c r="AB15" i="2"/>
  <c r="A526" i="2"/>
  <c r="N54" i="2"/>
  <c r="C615" i="2"/>
  <c r="D813" i="2"/>
  <c r="G590" i="2"/>
  <c r="N813" i="2"/>
  <c r="J400" i="2"/>
  <c r="G399" i="2"/>
  <c r="D398" i="2"/>
  <c r="G649" i="2"/>
  <c r="V471" i="2"/>
  <c r="C939" i="2"/>
  <c r="L32" i="2"/>
  <c r="C940" i="2"/>
  <c r="D940" i="2" s="1"/>
  <c r="C668" i="2"/>
  <c r="G842" i="2"/>
  <c r="A938" i="2"/>
  <c r="L965" i="2"/>
  <c r="M965" i="2" s="1"/>
  <c r="AB495" i="2"/>
  <c r="M521" i="2"/>
  <c r="C609" i="2"/>
  <c r="A1067" i="2"/>
  <c r="A442" i="2"/>
  <c r="C714" i="2"/>
  <c r="E1128" i="2"/>
  <c r="I1130" i="2"/>
  <c r="I1121" i="2"/>
  <c r="J1121" i="2" s="1"/>
  <c r="Z896" i="2"/>
  <c r="I1151" i="2"/>
  <c r="J1151" i="2" s="1"/>
  <c r="L921" i="2"/>
  <c r="N568" i="2" s="1"/>
  <c r="AB496" i="2"/>
  <c r="AB522" i="2"/>
  <c r="C842" i="2"/>
  <c r="C813" i="2"/>
  <c r="B1070" i="2"/>
  <c r="D648" i="2"/>
  <c r="C1096" i="2"/>
  <c r="D652" i="2"/>
  <c r="Y469" i="2"/>
  <c r="N54" i="3"/>
  <c r="W1048" i="2"/>
  <c r="F1132" i="2" s="1"/>
  <c r="X1048" i="2"/>
  <c r="I1104" i="2" s="1"/>
  <c r="V1048" i="2"/>
  <c r="C1132" i="2" s="1"/>
  <c r="A913" i="2"/>
  <c r="A972" i="2"/>
  <c r="A921" i="2"/>
  <c r="Y442" i="2"/>
  <c r="E1092" i="2"/>
  <c r="G652" i="2"/>
  <c r="H1123" i="2"/>
  <c r="I1152" i="2"/>
  <c r="H1129" i="2"/>
  <c r="I1156" i="2"/>
  <c r="J1156" i="2" s="1"/>
  <c r="F1127" i="2"/>
  <c r="E1099" i="2"/>
  <c r="C1103" i="2"/>
  <c r="D655" i="2"/>
  <c r="F656" i="2" s="1"/>
  <c r="Y397" i="2"/>
  <c r="G1155" i="2"/>
  <c r="I969" i="2"/>
  <c r="L945" i="2"/>
  <c r="J997" i="2"/>
  <c r="S531" i="2"/>
  <c r="V895" i="2"/>
  <c r="X1041" i="2"/>
  <c r="Y895" i="2"/>
  <c r="W899" i="2"/>
  <c r="F974" i="2" s="1"/>
  <c r="F534" i="2"/>
  <c r="V1045" i="2"/>
  <c r="X1042" i="2"/>
  <c r="X15" i="2"/>
  <c r="AA896" i="2"/>
  <c r="AA1042" i="2"/>
  <c r="B39" i="2"/>
  <c r="A51" i="4"/>
  <c r="J480" i="2"/>
  <c r="N41" i="2"/>
  <c r="Y896" i="2"/>
  <c r="V896" i="2"/>
  <c r="W896" i="2"/>
  <c r="W1042" i="2"/>
  <c r="N48" i="3"/>
  <c r="V1042" i="2"/>
  <c r="C595" i="2"/>
  <c r="A1078" i="2"/>
  <c r="M76" i="3"/>
  <c r="A447" i="2"/>
  <c r="A1126" i="2"/>
  <c r="A451" i="2"/>
  <c r="A1130" i="2"/>
  <c r="A1076" i="2"/>
  <c r="A477" i="2"/>
  <c r="C568" i="2"/>
  <c r="C593" i="2"/>
  <c r="M590" i="2"/>
  <c r="Z1047" i="2"/>
  <c r="N47" i="3"/>
  <c r="W895" i="2"/>
  <c r="B842" i="2"/>
  <c r="Q813" i="2"/>
  <c r="M813" i="2"/>
  <c r="F813" i="2"/>
  <c r="K63" i="5"/>
  <c r="X895" i="2"/>
  <c r="L912" i="2"/>
  <c r="D649" i="2"/>
  <c r="AB469" i="2"/>
  <c r="AB471" i="2"/>
  <c r="S468" i="2"/>
  <c r="B1019" i="2"/>
  <c r="R1019" i="2"/>
  <c r="A993" i="2"/>
  <c r="Z1019" i="2"/>
  <c r="A997" i="2"/>
  <c r="N1038" i="2"/>
  <c r="M701" i="2"/>
  <c r="B921" i="2"/>
  <c r="C947" i="2"/>
  <c r="C923" i="2"/>
  <c r="E570" i="2" s="1"/>
  <c r="D595" i="2"/>
  <c r="B1157" i="2"/>
  <c r="B1130" i="2"/>
  <c r="C1157" i="2"/>
  <c r="B1103" i="2"/>
  <c r="E1102" i="2"/>
  <c r="O54" i="3"/>
  <c r="C94" i="5" s="1"/>
  <c r="AB21" i="2"/>
  <c r="X21" i="2"/>
  <c r="P453" i="2"/>
  <c r="V504" i="2"/>
  <c r="L997" i="2"/>
  <c r="S480" i="2"/>
  <c r="AA1048" i="2"/>
  <c r="C1175" i="2" s="1"/>
  <c r="AB896" i="2"/>
  <c r="O48" i="3"/>
  <c r="C88" i="5" s="1"/>
  <c r="B32" i="2"/>
  <c r="AC896" i="2"/>
  <c r="Z1042" i="2"/>
  <c r="AB1042" i="2"/>
  <c r="V15" i="2"/>
  <c r="C700" i="2"/>
  <c r="C654" i="2"/>
  <c r="A503" i="2"/>
  <c r="A499" i="2"/>
  <c r="A421" i="2"/>
  <c r="A943" i="2"/>
  <c r="A1102" i="2"/>
  <c r="A1149" i="2"/>
  <c r="A1153" i="2"/>
  <c r="A1157" i="2"/>
  <c r="D528" i="2"/>
  <c r="I725" i="2"/>
  <c r="C1070" i="2"/>
  <c r="V21" i="2"/>
  <c r="Z21" i="2"/>
  <c r="D585" i="2"/>
  <c r="C913" i="2"/>
  <c r="L971" i="2"/>
  <c r="F941" i="2"/>
  <c r="E915" i="2"/>
  <c r="G562" i="2" s="1"/>
  <c r="H1066" i="2"/>
  <c r="J644" i="2"/>
  <c r="E1030" i="2"/>
  <c r="F1067" i="2"/>
  <c r="H1070" i="2"/>
  <c r="J1071" i="2" s="1"/>
  <c r="J648" i="2"/>
  <c r="I1096" i="2"/>
  <c r="H1071" i="2"/>
  <c r="Y1030" i="2"/>
  <c r="H1074" i="2"/>
  <c r="F1079" i="2"/>
  <c r="F1081" i="2" s="1"/>
  <c r="C1177" i="2"/>
  <c r="F1093" i="2"/>
  <c r="B1098" i="2"/>
  <c r="C1126" i="2"/>
  <c r="B1099" i="2"/>
  <c r="C1127" i="2"/>
  <c r="E1048" i="2"/>
  <c r="B1124" i="2"/>
  <c r="C1151" i="2"/>
  <c r="B1126" i="2"/>
  <c r="B1128" i="2"/>
  <c r="C1155" i="2"/>
  <c r="F1130" i="2"/>
  <c r="V470" i="2"/>
  <c r="D654" i="2"/>
  <c r="B1076" i="2"/>
  <c r="W1049" i="2"/>
  <c r="G656" i="2" s="1"/>
  <c r="I657" i="2" s="1"/>
  <c r="E80" i="3"/>
  <c r="F989" i="2"/>
  <c r="G1078" i="2"/>
  <c r="C997" i="2"/>
  <c r="D997" i="2" s="1"/>
  <c r="D588" i="2"/>
  <c r="K918" i="2"/>
  <c r="E918" i="2"/>
  <c r="E913" i="2"/>
  <c r="E1071" i="2"/>
  <c r="G1072" i="2" s="1"/>
  <c r="E1094" i="2"/>
  <c r="D998" i="2"/>
  <c r="Q1053" i="2"/>
  <c r="I717" i="2"/>
  <c r="N717" i="2"/>
  <c r="E917" i="2"/>
  <c r="K944" i="2"/>
  <c r="E945" i="2"/>
  <c r="E943" i="2"/>
  <c r="E940" i="2"/>
  <c r="E1070" i="2"/>
  <c r="G594" i="2"/>
  <c r="L81" i="3"/>
  <c r="J613" i="2"/>
  <c r="D617" i="2"/>
  <c r="D613" i="2"/>
  <c r="G613" i="2"/>
  <c r="D612" i="2"/>
  <c r="F613" i="2" s="1"/>
  <c r="M591" i="2"/>
  <c r="D591" i="2"/>
  <c r="N718" i="2"/>
  <c r="E813" i="2"/>
  <c r="M969" i="2"/>
  <c r="E1101" i="2"/>
  <c r="M595" i="2"/>
  <c r="C1131" i="2"/>
  <c r="B948" i="2"/>
  <c r="G609" i="2"/>
  <c r="M558" i="2"/>
  <c r="L989" i="2"/>
  <c r="J615" i="2"/>
  <c r="J617" i="2"/>
  <c r="E567" i="2"/>
  <c r="F567" i="2" s="1"/>
  <c r="C993" i="2"/>
  <c r="I994" i="2"/>
  <c r="J994" i="2" s="1"/>
  <c r="O1030" i="2"/>
  <c r="G647" i="2" s="1"/>
  <c r="N1030" i="2"/>
  <c r="P1030" i="2"/>
  <c r="I1095" i="2" s="1"/>
  <c r="E55" i="3"/>
  <c r="F54" i="3"/>
  <c r="S1029" i="2"/>
  <c r="E1096" i="2" s="1"/>
  <c r="G1097" i="2" s="1"/>
  <c r="R1029" i="2"/>
  <c r="C1124" i="2" s="1"/>
  <c r="D1124" i="2" s="1"/>
  <c r="T1029" i="2"/>
  <c r="E914" i="2"/>
  <c r="G561" i="2" s="1"/>
  <c r="E1122" i="2"/>
  <c r="E1125" i="2"/>
  <c r="E83" i="3"/>
  <c r="I723" i="2" l="1"/>
  <c r="E705" i="2"/>
  <c r="J647" i="2"/>
  <c r="L648" i="2" s="1"/>
  <c r="J591" i="2"/>
  <c r="L592" i="2" s="1"/>
  <c r="I695" i="2"/>
  <c r="H1104" i="2"/>
  <c r="F55" i="2"/>
  <c r="E1024" i="2"/>
  <c r="E1033" i="2"/>
  <c r="I1026" i="2"/>
  <c r="I1035" i="2"/>
  <c r="M1022" i="2"/>
  <c r="M1023" i="2"/>
  <c r="M1032" i="2"/>
  <c r="Q1024" i="2"/>
  <c r="Q1032" i="2"/>
  <c r="U1025" i="2"/>
  <c r="U1034" i="2"/>
  <c r="Y1034" i="2"/>
  <c r="AC1026" i="2"/>
  <c r="AC1035" i="2"/>
  <c r="E1041" i="2"/>
  <c r="E1042" i="2"/>
  <c r="E1051" i="2"/>
  <c r="I1043" i="2"/>
  <c r="I1052" i="2"/>
  <c r="M1044" i="2"/>
  <c r="M1053" i="2"/>
  <c r="Q1045" i="2"/>
  <c r="Q1054" i="2"/>
  <c r="L695" i="2"/>
  <c r="AB454" i="2"/>
  <c r="G938" i="2"/>
  <c r="G995" i="2"/>
  <c r="A519" i="2"/>
  <c r="N37" i="2"/>
  <c r="N32" i="2"/>
  <c r="N35" i="2"/>
  <c r="I1132" i="2"/>
  <c r="S506" i="2"/>
  <c r="U1041" i="2"/>
  <c r="U1042" i="2"/>
  <c r="I609" i="2"/>
  <c r="J441" i="2"/>
  <c r="P409" i="2"/>
  <c r="Y408" i="2"/>
  <c r="G406" i="2"/>
  <c r="P405" i="2"/>
  <c r="Y404" i="2"/>
  <c r="G402" i="2"/>
  <c r="P401" i="2"/>
  <c r="P451" i="2"/>
  <c r="Y446" i="2"/>
  <c r="P479" i="2"/>
  <c r="Y478" i="2"/>
  <c r="G476" i="2"/>
  <c r="Y505" i="2"/>
  <c r="P498" i="2"/>
  <c r="M178" i="4"/>
  <c r="F214" i="4"/>
  <c r="S19" i="4"/>
  <c r="H76" i="3"/>
  <c r="K63" i="4"/>
  <c r="E90" i="3"/>
  <c r="F86" i="3"/>
  <c r="D214" i="4"/>
  <c r="K167" i="3"/>
  <c r="A947" i="2"/>
  <c r="C618" i="2"/>
  <c r="A441" i="2"/>
  <c r="Q1022" i="2"/>
  <c r="F617" i="2"/>
  <c r="N677" i="2"/>
  <c r="O677" i="2" s="1"/>
  <c r="N699" i="2"/>
  <c r="Y496" i="2"/>
  <c r="M522" i="2"/>
  <c r="S519" i="2"/>
  <c r="J84" i="3"/>
  <c r="S21" i="4"/>
  <c r="S23" i="4"/>
  <c r="S20" i="4"/>
  <c r="F698" i="2"/>
  <c r="G397" i="2"/>
  <c r="M678" i="2"/>
  <c r="N656" i="2"/>
  <c r="L616" i="2"/>
  <c r="I914" i="2"/>
  <c r="K561" i="2" s="1"/>
  <c r="C690" i="2"/>
  <c r="A529" i="2"/>
  <c r="F587" i="2"/>
  <c r="B1121" i="2"/>
  <c r="G1151" i="2"/>
  <c r="N725" i="2"/>
  <c r="K83" i="3"/>
  <c r="Q616" i="2"/>
  <c r="D91" i="3"/>
  <c r="P442" i="2"/>
  <c r="U1051" i="2"/>
  <c r="K59" i="2"/>
  <c r="H90" i="3"/>
  <c r="Z483" i="2"/>
  <c r="B534" i="2"/>
  <c r="D402" i="2"/>
  <c r="L458" i="2"/>
  <c r="M502" i="2"/>
  <c r="D499" i="2"/>
  <c r="D532" i="2"/>
  <c r="G997" i="2"/>
  <c r="O612" i="2"/>
  <c r="F676" i="2"/>
  <c r="F694" i="2"/>
  <c r="D405" i="2"/>
  <c r="D475" i="2"/>
  <c r="T508" i="2"/>
  <c r="G526" i="2"/>
  <c r="P525" i="2"/>
  <c r="L942" i="2"/>
  <c r="A1092" i="2"/>
  <c r="C723" i="2"/>
  <c r="A467" i="2"/>
  <c r="F59" i="2"/>
  <c r="G60" i="4"/>
  <c r="G231" i="3"/>
  <c r="G232" i="3" s="1"/>
  <c r="M135" i="3"/>
  <c r="M137" i="3"/>
  <c r="C286" i="3" s="1"/>
  <c r="J46" i="1"/>
  <c r="G55" i="4"/>
  <c r="G57" i="5"/>
  <c r="G52" i="4"/>
  <c r="G60" i="5"/>
  <c r="G51" i="5"/>
  <c r="S22" i="4"/>
  <c r="S15" i="4"/>
  <c r="S14" i="4"/>
  <c r="S13" i="4"/>
  <c r="V13" i="4" s="1"/>
  <c r="S12" i="4"/>
  <c r="V12" i="4" s="1"/>
  <c r="S11" i="4"/>
  <c r="S16" i="4"/>
  <c r="S18" i="4"/>
  <c r="S17" i="4"/>
  <c r="V496" i="2"/>
  <c r="J522" i="2"/>
  <c r="V444" i="2"/>
  <c r="M468" i="2"/>
  <c r="L725" i="2"/>
  <c r="I702" i="2"/>
  <c r="D523" i="2"/>
  <c r="L1072" i="2"/>
  <c r="M715" i="2"/>
  <c r="N647" i="2"/>
  <c r="L943" i="2"/>
  <c r="A476" i="2"/>
  <c r="M672" i="2"/>
  <c r="N937" i="2"/>
  <c r="J995" i="2"/>
  <c r="M677" i="2"/>
  <c r="J530" i="2"/>
  <c r="S529" i="2"/>
  <c r="AB528" i="2"/>
  <c r="J526" i="2"/>
  <c r="AB524" i="2"/>
  <c r="D471" i="2"/>
  <c r="I970" i="2"/>
  <c r="V899" i="2"/>
  <c r="C974" i="2" s="1"/>
  <c r="D974" i="2" s="1"/>
  <c r="A518" i="2"/>
  <c r="C676" i="2"/>
  <c r="S496" i="2"/>
  <c r="J442" i="2"/>
  <c r="P470" i="2"/>
  <c r="K728" i="2"/>
  <c r="F724" i="2"/>
  <c r="B1131" i="2"/>
  <c r="M409" i="2"/>
  <c r="D406" i="2"/>
  <c r="M405" i="2"/>
  <c r="V404" i="2"/>
  <c r="D448" i="2"/>
  <c r="M447" i="2"/>
  <c r="D476" i="2"/>
  <c r="M475" i="2"/>
  <c r="D472" i="2"/>
  <c r="V505" i="2"/>
  <c r="D503" i="2"/>
  <c r="V501" i="2"/>
  <c r="M498" i="2"/>
  <c r="V497" i="2"/>
  <c r="G407" i="2"/>
  <c r="P406" i="2"/>
  <c r="Y405" i="2"/>
  <c r="G403" i="2"/>
  <c r="P402" i="2"/>
  <c r="G445" i="2"/>
  <c r="Y475" i="2"/>
  <c r="Y502" i="2"/>
  <c r="V530" i="2"/>
  <c r="D524" i="2"/>
  <c r="G90" i="3"/>
  <c r="K81" i="3"/>
  <c r="L83" i="3"/>
  <c r="J1072" i="2"/>
  <c r="X899" i="2"/>
  <c r="D590" i="2"/>
  <c r="F591" i="2" s="1"/>
  <c r="A961" i="2"/>
  <c r="E1074" i="2"/>
  <c r="A420" i="2"/>
  <c r="L675" i="2"/>
  <c r="I693" i="2"/>
  <c r="L716" i="2"/>
  <c r="F700" i="2"/>
  <c r="F718" i="2"/>
  <c r="D996" i="2"/>
  <c r="I1047" i="2"/>
  <c r="J496" i="2"/>
  <c r="G443" i="2"/>
  <c r="S470" i="2"/>
  <c r="Y468" i="2"/>
  <c r="H659" i="2"/>
  <c r="U1048" i="2"/>
  <c r="X534" i="2"/>
  <c r="M973" i="2"/>
  <c r="M945" i="2"/>
  <c r="I965" i="2"/>
  <c r="J965" i="2" s="1"/>
  <c r="Y899" i="2"/>
  <c r="L974" i="2" s="1"/>
  <c r="M974" i="2" s="1"/>
  <c r="A1146" i="2"/>
  <c r="A502" i="2"/>
  <c r="E1023" i="2"/>
  <c r="Q1023" i="2"/>
  <c r="U1024" i="2"/>
  <c r="I1041" i="2"/>
  <c r="Q1044" i="2"/>
  <c r="F616" i="2"/>
  <c r="F691" i="2"/>
  <c r="D705" i="2"/>
  <c r="A440" i="2"/>
  <c r="M1035" i="2"/>
  <c r="AC1034" i="2"/>
  <c r="E1045" i="2"/>
  <c r="E1054" i="2"/>
  <c r="I1042" i="2"/>
  <c r="I1051" i="2"/>
  <c r="M1043" i="2"/>
  <c r="M1052" i="2"/>
  <c r="U1045" i="2"/>
  <c r="U1054" i="2"/>
  <c r="AC1054" i="2"/>
  <c r="O609" i="2"/>
  <c r="D32" i="2"/>
  <c r="M585" i="2"/>
  <c r="O586" i="2" s="1"/>
  <c r="A466" i="2"/>
  <c r="I941" i="2"/>
  <c r="J941" i="2" s="1"/>
  <c r="I947" i="2"/>
  <c r="W1045" i="2"/>
  <c r="Y1045" i="2" s="1"/>
  <c r="I648" i="2"/>
  <c r="D589" i="2"/>
  <c r="A1091" i="2"/>
  <c r="M671" i="2"/>
  <c r="N702" i="2"/>
  <c r="O702" i="2" s="1"/>
  <c r="E942" i="2"/>
  <c r="G943" i="2" s="1"/>
  <c r="C1123" i="2"/>
  <c r="D1123" i="2" s="1"/>
  <c r="U1046" i="2"/>
  <c r="L946" i="2"/>
  <c r="A492" i="2"/>
  <c r="I676" i="2"/>
  <c r="N652" i="2"/>
  <c r="F692" i="2"/>
  <c r="N714" i="2"/>
  <c r="P532" i="2"/>
  <c r="Y531" i="2"/>
  <c r="D530" i="2"/>
  <c r="M529" i="2"/>
  <c r="V528" i="2"/>
  <c r="D526" i="2"/>
  <c r="V524" i="2"/>
  <c r="E916" i="2"/>
  <c r="G563" i="2" s="1"/>
  <c r="X1045" i="2"/>
  <c r="M920" i="2"/>
  <c r="A1065" i="2"/>
  <c r="A936" i="2"/>
  <c r="O589" i="2"/>
  <c r="Y400" i="2"/>
  <c r="F678" i="2"/>
  <c r="G505" i="2"/>
  <c r="M80" i="3"/>
  <c r="E91" i="3"/>
  <c r="F192" i="3"/>
  <c r="A205" i="3" s="1"/>
  <c r="B90" i="3"/>
  <c r="I86" i="3"/>
  <c r="A989" i="2"/>
  <c r="M724" i="2"/>
  <c r="K482" i="2"/>
  <c r="I942" i="2"/>
  <c r="C1125" i="2"/>
  <c r="A443" i="2"/>
  <c r="B1074" i="2"/>
  <c r="M720" i="2"/>
  <c r="D495" i="2"/>
  <c r="N654" i="2"/>
  <c r="N698" i="2"/>
  <c r="H842" i="2"/>
  <c r="D1153" i="2"/>
  <c r="M397" i="2"/>
  <c r="V467" i="2"/>
  <c r="G469" i="2"/>
  <c r="P468" i="2"/>
  <c r="M723" i="2"/>
  <c r="I701" i="2"/>
  <c r="I83" i="3"/>
  <c r="L82" i="3"/>
  <c r="A495" i="2"/>
  <c r="A1122" i="2"/>
  <c r="AB399" i="2"/>
  <c r="K412" i="2"/>
  <c r="Y532" i="2"/>
  <c r="B1096" i="2"/>
  <c r="C715" i="2"/>
  <c r="L699" i="2"/>
  <c r="L721" i="2"/>
  <c r="N723" i="2"/>
  <c r="G996" i="2"/>
  <c r="E1078" i="2"/>
  <c r="N55" i="3"/>
  <c r="M87" i="3" s="1"/>
  <c r="A1094" i="2"/>
  <c r="X1049" i="2"/>
  <c r="H1078" i="2" s="1"/>
  <c r="J646" i="2"/>
  <c r="L647" i="2" s="1"/>
  <c r="J87" i="3"/>
  <c r="N650" i="2"/>
  <c r="N672" i="2"/>
  <c r="O672" i="2" s="1"/>
  <c r="N694" i="2"/>
  <c r="F720" i="2"/>
  <c r="M531" i="2"/>
  <c r="I59" i="2"/>
  <c r="F1104" i="2"/>
  <c r="C669" i="2"/>
  <c r="C610" i="2"/>
  <c r="H1068" i="2"/>
  <c r="J1069" i="2" s="1"/>
  <c r="C1149" i="2"/>
  <c r="D1149" i="2" s="1"/>
  <c r="I55" i="2"/>
  <c r="M676" i="2"/>
  <c r="C81" i="3"/>
  <c r="G971" i="2"/>
  <c r="Y530" i="2"/>
  <c r="G528" i="2"/>
  <c r="P527" i="2"/>
  <c r="Y526" i="2"/>
  <c r="G524" i="2"/>
  <c r="I1079" i="2"/>
  <c r="C585" i="2"/>
  <c r="I943" i="2"/>
  <c r="J55" i="2"/>
  <c r="Q612" i="2"/>
  <c r="I671" i="2"/>
  <c r="P495" i="2"/>
  <c r="Y451" i="2"/>
  <c r="G449" i="2"/>
  <c r="P476" i="2"/>
  <c r="G473" i="2"/>
  <c r="P472" i="2"/>
  <c r="G504" i="2"/>
  <c r="P503" i="2"/>
  <c r="P499" i="2"/>
  <c r="Y498" i="2"/>
  <c r="A964" i="2"/>
  <c r="O584" i="2"/>
  <c r="C560" i="2"/>
  <c r="E1126" i="2"/>
  <c r="K1126" i="2" s="1"/>
  <c r="M699" i="2"/>
  <c r="M698" i="2"/>
  <c r="F669" i="2"/>
  <c r="F677" i="2"/>
  <c r="F695" i="2"/>
  <c r="S406" i="2"/>
  <c r="J403" i="2"/>
  <c r="S402" i="2"/>
  <c r="J449" i="2"/>
  <c r="AB447" i="2"/>
  <c r="J477" i="2"/>
  <c r="S476" i="2"/>
  <c r="AB502" i="2"/>
  <c r="J500" i="2"/>
  <c r="J998" i="2"/>
  <c r="D399" i="2"/>
  <c r="G973" i="2"/>
  <c r="A939" i="2"/>
  <c r="J1019" i="2"/>
  <c r="A521" i="2"/>
  <c r="C1014" i="2"/>
  <c r="F923" i="2"/>
  <c r="T412" i="2"/>
  <c r="T413" i="2"/>
  <c r="B456" i="2"/>
  <c r="K457" i="2"/>
  <c r="B457" i="2"/>
  <c r="V448" i="2"/>
  <c r="D501" i="2"/>
  <c r="G451" i="2"/>
  <c r="E949" i="2"/>
  <c r="E952" i="2" s="1"/>
  <c r="C972" i="2"/>
  <c r="D972" i="2" s="1"/>
  <c r="C646" i="2"/>
  <c r="A469" i="2"/>
  <c r="C966" i="2"/>
  <c r="D966" i="2" s="1"/>
  <c r="F924" i="2"/>
  <c r="A470" i="2"/>
  <c r="L55" i="2"/>
  <c r="C85" i="3"/>
  <c r="G965" i="2"/>
  <c r="V443" i="2"/>
  <c r="G470" i="2"/>
  <c r="W412" i="2"/>
  <c r="S532" i="2"/>
  <c r="Z534" i="2"/>
  <c r="AB407" i="2"/>
  <c r="M454" i="2"/>
  <c r="R482" i="2"/>
  <c r="V506" i="2"/>
  <c r="F535" i="2"/>
  <c r="E912" i="2"/>
  <c r="G559" i="2" s="1"/>
  <c r="C692" i="2"/>
  <c r="N653" i="2"/>
  <c r="S444" i="2"/>
  <c r="G467" i="2"/>
  <c r="L88" i="3"/>
  <c r="J214" i="4"/>
  <c r="G58" i="5"/>
  <c r="G405" i="3"/>
  <c r="G236" i="5" s="1"/>
  <c r="N178" i="5"/>
  <c r="E88" i="3"/>
  <c r="F214" i="5"/>
  <c r="I76" i="3"/>
  <c r="G87" i="3"/>
  <c r="F201" i="3"/>
  <c r="C203" i="3" s="1"/>
  <c r="C204" i="3" s="1"/>
  <c r="C205" i="3" s="1"/>
  <c r="K214" i="5"/>
  <c r="F89" i="3"/>
  <c r="J88" i="3"/>
  <c r="L90" i="3"/>
  <c r="B81" i="3"/>
  <c r="K165" i="3"/>
  <c r="I87" i="3"/>
  <c r="K214" i="4"/>
  <c r="D82" i="3"/>
  <c r="F68" i="3"/>
  <c r="F84" i="3"/>
  <c r="I214" i="4"/>
  <c r="S33" i="5"/>
  <c r="K813" i="2"/>
  <c r="G371" i="3"/>
  <c r="C389" i="3" s="1"/>
  <c r="S341" i="3"/>
  <c r="K64" i="4"/>
  <c r="H214" i="4"/>
  <c r="E87" i="3"/>
  <c r="I69" i="3"/>
  <c r="L80" i="3"/>
  <c r="D90" i="3"/>
  <c r="A378" i="3"/>
  <c r="F83" i="3"/>
  <c r="L89" i="3"/>
  <c r="H85" i="3"/>
  <c r="J81" i="3"/>
  <c r="E82" i="3"/>
  <c r="G214" i="5"/>
  <c r="F46" i="1"/>
  <c r="F88" i="3"/>
  <c r="F70" i="3"/>
  <c r="I90" i="3"/>
  <c r="K86" i="3"/>
  <c r="M69" i="3"/>
  <c r="J80" i="3"/>
  <c r="K168" i="3"/>
  <c r="S311" i="3"/>
  <c r="K405" i="3"/>
  <c r="C405" i="3"/>
  <c r="C236" i="4" s="1"/>
  <c r="B86" i="3"/>
  <c r="B84" i="3"/>
  <c r="I405" i="3"/>
  <c r="I236" i="4" s="1"/>
  <c r="J82" i="3"/>
  <c r="I21" i="1"/>
  <c r="I35" i="1" s="1"/>
  <c r="J142" i="5"/>
  <c r="J172" i="5" s="1"/>
  <c r="J202" i="5" s="1"/>
  <c r="J330" i="5" s="1"/>
  <c r="A941" i="2"/>
  <c r="G532" i="2"/>
  <c r="C694" i="2"/>
  <c r="L68" i="3"/>
  <c r="C612" i="2"/>
  <c r="M70" i="3"/>
  <c r="C534" i="2"/>
  <c r="C670" i="2"/>
  <c r="H55" i="2"/>
  <c r="F668" i="2"/>
  <c r="F716" i="2"/>
  <c r="P467" i="2"/>
  <c r="AC1028" i="2"/>
  <c r="G706" i="2"/>
  <c r="C648" i="2"/>
  <c r="E938" i="2"/>
  <c r="G939" i="2" s="1"/>
  <c r="C671" i="2"/>
  <c r="C587" i="2"/>
  <c r="M592" i="2"/>
  <c r="O593" i="2" s="1"/>
  <c r="C84" i="3"/>
  <c r="D1096" i="2"/>
  <c r="L649" i="2"/>
  <c r="F80" i="3"/>
  <c r="E1131" i="2"/>
  <c r="G1132" i="2" s="1"/>
  <c r="N76" i="3"/>
  <c r="C562" i="2"/>
  <c r="I1153" i="2"/>
  <c r="C586" i="2"/>
  <c r="F593" i="2"/>
  <c r="L813" i="2"/>
  <c r="C69" i="3"/>
  <c r="G1158" i="2"/>
  <c r="G409" i="2"/>
  <c r="N413" i="2"/>
  <c r="Y407" i="2"/>
  <c r="G405" i="2"/>
  <c r="P404" i="2"/>
  <c r="Y403" i="2"/>
  <c r="G401" i="2"/>
  <c r="Y453" i="2"/>
  <c r="P450" i="2"/>
  <c r="Y449" i="2"/>
  <c r="G447" i="2"/>
  <c r="P446" i="2"/>
  <c r="Y445" i="2"/>
  <c r="Y477" i="2"/>
  <c r="P474" i="2"/>
  <c r="Y473" i="2"/>
  <c r="G502" i="2"/>
  <c r="Y500" i="2"/>
  <c r="G498" i="2"/>
  <c r="P497" i="2"/>
  <c r="F725" i="2"/>
  <c r="E59" i="2"/>
  <c r="AB494" i="2"/>
  <c r="G520" i="2"/>
  <c r="P520" i="2"/>
  <c r="S467" i="2"/>
  <c r="M469" i="2"/>
  <c r="V468" i="2"/>
  <c r="L679" i="2"/>
  <c r="C1122" i="2"/>
  <c r="D1122" i="2" s="1"/>
  <c r="A1151" i="2"/>
  <c r="C252" i="3"/>
  <c r="D139" i="3" s="1"/>
  <c r="G140" i="3" s="1"/>
  <c r="D651" i="2"/>
  <c r="A523" i="2"/>
  <c r="O564" i="2"/>
  <c r="L677" i="2"/>
  <c r="C87" i="3"/>
  <c r="J470" i="2"/>
  <c r="S408" i="2"/>
  <c r="J405" i="2"/>
  <c r="AB403" i="2"/>
  <c r="J401" i="2"/>
  <c r="J451" i="2"/>
  <c r="AB449" i="2"/>
  <c r="S446" i="2"/>
  <c r="S478" i="2"/>
  <c r="AB477" i="2"/>
  <c r="S474" i="2"/>
  <c r="AB473" i="2"/>
  <c r="AB504" i="2"/>
  <c r="J502" i="2"/>
  <c r="S501" i="2"/>
  <c r="J498" i="2"/>
  <c r="M530" i="2"/>
  <c r="V529" i="2"/>
  <c r="D527" i="2"/>
  <c r="M526" i="2"/>
  <c r="V525" i="2"/>
  <c r="R412" i="2"/>
  <c r="L456" i="2"/>
  <c r="AD502" i="2"/>
  <c r="K76" i="3"/>
  <c r="K82" i="3"/>
  <c r="A471" i="2"/>
  <c r="I699" i="2"/>
  <c r="A1123" i="2"/>
  <c r="A966" i="2"/>
  <c r="L668" i="2"/>
  <c r="N674" i="2"/>
  <c r="B482" i="2"/>
  <c r="O412" i="2"/>
  <c r="N668" i="2"/>
  <c r="N722" i="2"/>
  <c r="L1148" i="2"/>
  <c r="E729" i="2"/>
  <c r="E1069" i="2"/>
  <c r="G1070" i="2" s="1"/>
  <c r="J594" i="2"/>
  <c r="L595" i="2" s="1"/>
  <c r="M1048" i="2"/>
  <c r="A497" i="2"/>
  <c r="F1095" i="2"/>
  <c r="G1095" i="2" s="1"/>
  <c r="C1129" i="2"/>
  <c r="D1129" i="2" s="1"/>
  <c r="A1070" i="2"/>
  <c r="G592" i="2"/>
  <c r="I593" i="2" s="1"/>
  <c r="A1095" i="2"/>
  <c r="C946" i="2"/>
  <c r="I720" i="2"/>
  <c r="F609" i="2"/>
  <c r="G448" i="2"/>
  <c r="P447" i="2"/>
  <c r="Y501" i="2"/>
  <c r="J972" i="2"/>
  <c r="N693" i="2"/>
  <c r="L645" i="2"/>
  <c r="A1096" i="2"/>
  <c r="P35" i="2"/>
  <c r="A1124" i="2"/>
  <c r="K89" i="3"/>
  <c r="E84" i="3"/>
  <c r="AD530" i="2"/>
  <c r="F85" i="3"/>
  <c r="I85" i="3"/>
  <c r="A991" i="2"/>
  <c r="F69" i="3"/>
  <c r="F197" i="3"/>
  <c r="A204" i="3" s="1"/>
  <c r="D1127" i="2"/>
  <c r="AC1031" i="2"/>
  <c r="P32" i="2"/>
  <c r="K69" i="3"/>
  <c r="M700" i="2"/>
  <c r="O701" i="2" s="1"/>
  <c r="A445" i="2"/>
  <c r="C941" i="2"/>
  <c r="Y1024" i="2"/>
  <c r="M691" i="2"/>
  <c r="D916" i="2"/>
  <c r="N715" i="2"/>
  <c r="F674" i="2"/>
  <c r="F722" i="2"/>
  <c r="K1093" i="2"/>
  <c r="F413" i="2"/>
  <c r="J91" i="3"/>
  <c r="L87" i="3"/>
  <c r="N716" i="2"/>
  <c r="J495" i="2"/>
  <c r="I1049" i="2"/>
  <c r="C83" i="5"/>
  <c r="C214" i="5" s="1"/>
  <c r="K456" i="2"/>
  <c r="C717" i="2"/>
  <c r="A914" i="2"/>
  <c r="I938" i="2"/>
  <c r="J938" i="2" s="1"/>
  <c r="Q613" i="2"/>
  <c r="J59" i="2"/>
  <c r="E55" i="2"/>
  <c r="N670" i="2"/>
  <c r="N676" i="2"/>
  <c r="Y443" i="2"/>
  <c r="H87" i="3"/>
  <c r="J652" i="2"/>
  <c r="L653" i="2" s="1"/>
  <c r="L963" i="2"/>
  <c r="F568" i="2"/>
  <c r="I677" i="2"/>
  <c r="AB443" i="2"/>
  <c r="K921" i="2"/>
  <c r="M568" i="2" s="1"/>
  <c r="H84" i="3"/>
  <c r="N52" i="2"/>
  <c r="L37" i="2"/>
  <c r="L35" i="2"/>
  <c r="I456" i="2"/>
  <c r="I996" i="2"/>
  <c r="J996" i="2" s="1"/>
  <c r="C675" i="2"/>
  <c r="Y1022" i="2"/>
  <c r="Y1051" i="2"/>
  <c r="D683" i="2"/>
  <c r="G729" i="2"/>
  <c r="S505" i="2"/>
  <c r="M989" i="2"/>
  <c r="C914" i="2"/>
  <c r="E561" i="2" s="1"/>
  <c r="F561" i="2" s="1"/>
  <c r="Y1054" i="2"/>
  <c r="D69" i="3"/>
  <c r="C90" i="3"/>
  <c r="I611" i="2"/>
  <c r="L718" i="2"/>
  <c r="N651" i="2"/>
  <c r="F699" i="2"/>
  <c r="F717" i="2"/>
  <c r="L968" i="2"/>
  <c r="M968" i="2" s="1"/>
  <c r="M718" i="2"/>
  <c r="C91" i="3"/>
  <c r="B70" i="3"/>
  <c r="B88" i="3"/>
  <c r="G59" i="2"/>
  <c r="D493" i="2"/>
  <c r="G495" i="2"/>
  <c r="Y494" i="2"/>
  <c r="M520" i="2"/>
  <c r="Y521" i="2"/>
  <c r="G948" i="2"/>
  <c r="M61" i="3"/>
  <c r="M64" i="3" s="1"/>
  <c r="E89" i="3"/>
  <c r="B85" i="3"/>
  <c r="G496" i="2"/>
  <c r="Y522" i="2"/>
  <c r="J444" i="2"/>
  <c r="AB408" i="2"/>
  <c r="S405" i="2"/>
  <c r="J402" i="2"/>
  <c r="S401" i="2"/>
  <c r="S451" i="2"/>
  <c r="J448" i="2"/>
  <c r="S447" i="2"/>
  <c r="AB478" i="2"/>
  <c r="AB474" i="2"/>
  <c r="J472" i="2"/>
  <c r="P530" i="2"/>
  <c r="Y529" i="2"/>
  <c r="G527" i="2"/>
  <c r="P526" i="2"/>
  <c r="G523" i="2"/>
  <c r="I89" i="3"/>
  <c r="L70" i="3"/>
  <c r="M90" i="3"/>
  <c r="E85" i="3"/>
  <c r="K80" i="3"/>
  <c r="N972" i="2"/>
  <c r="I672" i="2"/>
  <c r="U1027" i="2"/>
  <c r="G76" i="3"/>
  <c r="J1103" i="2"/>
  <c r="E68" i="3"/>
  <c r="V409" i="2"/>
  <c r="M406" i="2"/>
  <c r="V405" i="2"/>
  <c r="D403" i="2"/>
  <c r="V451" i="2"/>
  <c r="S530" i="2"/>
  <c r="J527" i="2"/>
  <c r="S526" i="2"/>
  <c r="F90" i="3"/>
  <c r="I88" i="3"/>
  <c r="J85" i="3"/>
  <c r="I615" i="2"/>
  <c r="G970" i="2"/>
  <c r="H705" i="2"/>
  <c r="A527" i="2"/>
  <c r="J595" i="2"/>
  <c r="L596" i="2" s="1"/>
  <c r="B69" i="3"/>
  <c r="C83" i="3"/>
  <c r="I612" i="2"/>
  <c r="Y444" i="2"/>
  <c r="D397" i="2"/>
  <c r="V399" i="2"/>
  <c r="M467" i="2"/>
  <c r="G468" i="2"/>
  <c r="N655" i="2"/>
  <c r="D1158" i="2"/>
  <c r="F508" i="2"/>
  <c r="L1070" i="2"/>
  <c r="U1044" i="2"/>
  <c r="J1067" i="2"/>
  <c r="D988" i="2"/>
  <c r="F646" i="2"/>
  <c r="J1074" i="2"/>
  <c r="K1125" i="2"/>
  <c r="M441" i="2"/>
  <c r="G441" i="2"/>
  <c r="V400" i="2"/>
  <c r="D470" i="2"/>
  <c r="J682" i="2"/>
  <c r="J728" i="2"/>
  <c r="M998" i="2"/>
  <c r="M917" i="2"/>
  <c r="K1158" i="2"/>
  <c r="K55" i="2"/>
  <c r="Y1052" i="2"/>
  <c r="N990" i="2"/>
  <c r="M496" i="2"/>
  <c r="S493" i="2"/>
  <c r="AC493" i="2"/>
  <c r="V522" i="2"/>
  <c r="D408" i="2"/>
  <c r="V452" i="2"/>
  <c r="M449" i="2"/>
  <c r="D478" i="2"/>
  <c r="V476" i="2"/>
  <c r="D474" i="2"/>
  <c r="M473" i="2"/>
  <c r="V472" i="2"/>
  <c r="M504" i="2"/>
  <c r="M500" i="2"/>
  <c r="V499" i="2"/>
  <c r="D497" i="2"/>
  <c r="AD527" i="2"/>
  <c r="AD526" i="2"/>
  <c r="K87" i="3"/>
  <c r="O25" i="4"/>
  <c r="O35" i="4" s="1"/>
  <c r="J494" i="2"/>
  <c r="J521" i="2"/>
  <c r="D921" i="2"/>
  <c r="N720" i="2"/>
  <c r="Y1025" i="2"/>
  <c r="L1077" i="2"/>
  <c r="F645" i="2"/>
  <c r="N700" i="2"/>
  <c r="M716" i="2"/>
  <c r="O717" i="2" s="1"/>
  <c r="F673" i="2"/>
  <c r="N721" i="2"/>
  <c r="P397" i="2"/>
  <c r="G398" i="2"/>
  <c r="Y467" i="2"/>
  <c r="P528" i="2"/>
  <c r="M589" i="2"/>
  <c r="O590" i="2" s="1"/>
  <c r="H59" i="2"/>
  <c r="G728" i="2"/>
  <c r="Y410" i="2"/>
  <c r="D682" i="2"/>
  <c r="F680" i="2"/>
  <c r="V410" i="2"/>
  <c r="D454" i="2"/>
  <c r="H412" i="2"/>
  <c r="AB453" i="2"/>
  <c r="J479" i="2"/>
  <c r="AB480" i="2"/>
  <c r="U510" i="2"/>
  <c r="M86" i="3"/>
  <c r="I726" i="2"/>
  <c r="F703" i="2"/>
  <c r="Y480" i="2"/>
  <c r="N52" i="3"/>
  <c r="M84" i="3" s="1"/>
  <c r="X1046" i="2"/>
  <c r="H1159" i="2" s="1"/>
  <c r="H1162" i="2" s="1"/>
  <c r="M725" i="2"/>
  <c r="M410" i="2"/>
  <c r="V480" i="2"/>
  <c r="B1104" i="2"/>
  <c r="B1107" i="2" s="1"/>
  <c r="Y1042" i="2"/>
  <c r="D706" i="2"/>
  <c r="N456" i="2"/>
  <c r="Q534" i="2"/>
  <c r="P614" i="2"/>
  <c r="N645" i="2"/>
  <c r="C88" i="3"/>
  <c r="B946" i="2"/>
  <c r="D947" i="2" s="1"/>
  <c r="C667" i="2"/>
  <c r="A493" i="2"/>
  <c r="M594" i="2"/>
  <c r="O595" i="2" s="1"/>
  <c r="G84" i="3"/>
  <c r="C583" i="2"/>
  <c r="E1049" i="2"/>
  <c r="D594" i="2"/>
  <c r="D599" i="2" s="1"/>
  <c r="L939" i="2"/>
  <c r="M939" i="2" s="1"/>
  <c r="G589" i="2"/>
  <c r="I590" i="2" s="1"/>
  <c r="L700" i="2"/>
  <c r="B91" i="3"/>
  <c r="B82" i="3"/>
  <c r="Q588" i="2"/>
  <c r="M995" i="2"/>
  <c r="J1073" i="2"/>
  <c r="S520" i="2"/>
  <c r="M648" i="2"/>
  <c r="C1093" i="2"/>
  <c r="Q590" i="2"/>
  <c r="H1069" i="2"/>
  <c r="D707" i="2"/>
  <c r="F618" i="2"/>
  <c r="L561" i="2"/>
  <c r="F655" i="2"/>
  <c r="F586" i="2"/>
  <c r="C644" i="2"/>
  <c r="N412" i="2"/>
  <c r="L85" i="3"/>
  <c r="C558" i="2"/>
  <c r="H942" i="2"/>
  <c r="A1069" i="2"/>
  <c r="A965" i="2"/>
  <c r="N1019" i="2"/>
  <c r="C1130" i="2"/>
  <c r="D1130" i="2" s="1"/>
  <c r="Q614" i="2"/>
  <c r="O618" i="2"/>
  <c r="I668" i="2"/>
  <c r="L694" i="2"/>
  <c r="N994" i="2"/>
  <c r="B1067" i="2"/>
  <c r="D1068" i="2" s="1"/>
  <c r="G1094" i="2"/>
  <c r="I678" i="2"/>
  <c r="L701" i="2"/>
  <c r="F701" i="2"/>
  <c r="Y524" i="2"/>
  <c r="I1024" i="2"/>
  <c r="Q1026" i="2"/>
  <c r="U1022" i="2"/>
  <c r="U1032" i="2"/>
  <c r="AC1033" i="2"/>
  <c r="I1045" i="2"/>
  <c r="M1042" i="2"/>
  <c r="U1053" i="2"/>
  <c r="P441" i="2"/>
  <c r="E1031" i="2"/>
  <c r="M1025" i="2"/>
  <c r="U1023" i="2"/>
  <c r="AC1024" i="2"/>
  <c r="E1053" i="2"/>
  <c r="I1054" i="2"/>
  <c r="M1051" i="2"/>
  <c r="L84" i="3"/>
  <c r="K1070" i="2"/>
  <c r="M717" i="2"/>
  <c r="O718" i="2" s="1"/>
  <c r="C1154" i="2"/>
  <c r="G1093" i="2"/>
  <c r="B1068" i="2"/>
  <c r="D1069" i="2" s="1"/>
  <c r="N414" i="2"/>
  <c r="Q1046" i="2"/>
  <c r="A987" i="2"/>
  <c r="B89" i="3"/>
  <c r="A1066" i="2"/>
  <c r="C716" i="2"/>
  <c r="A940" i="2"/>
  <c r="A496" i="2"/>
  <c r="C611" i="2"/>
  <c r="G55" i="2"/>
  <c r="AC1032" i="2"/>
  <c r="F714" i="2"/>
  <c r="G946" i="2"/>
  <c r="J988" i="2"/>
  <c r="G493" i="2"/>
  <c r="G519" i="2"/>
  <c r="Q1047" i="2"/>
  <c r="V408" i="2"/>
  <c r="T457" i="2"/>
  <c r="D452" i="2"/>
  <c r="M451" i="2"/>
  <c r="V450" i="2"/>
  <c r="V478" i="2"/>
  <c r="V474" i="2"/>
  <c r="Y409" i="2"/>
  <c r="P408" i="2"/>
  <c r="G591" i="2"/>
  <c r="I592" i="2" s="1"/>
  <c r="E1026" i="2"/>
  <c r="E1035" i="2"/>
  <c r="I1033" i="2"/>
  <c r="M1034" i="2"/>
  <c r="Q1034" i="2"/>
  <c r="Y1032" i="2"/>
  <c r="E1044" i="2"/>
  <c r="M1041" i="2"/>
  <c r="Q1043" i="2"/>
  <c r="Q1052" i="2"/>
  <c r="I613" i="2"/>
  <c r="K942" i="2"/>
  <c r="G655" i="2"/>
  <c r="E1123" i="2"/>
  <c r="K1123" i="2" s="1"/>
  <c r="U1031" i="2"/>
  <c r="M452" i="2"/>
  <c r="G89" i="3"/>
  <c r="L674" i="2"/>
  <c r="A1120" i="2"/>
  <c r="U457" i="2"/>
  <c r="G69" i="3"/>
  <c r="L672" i="2"/>
  <c r="N646" i="2"/>
  <c r="E414" i="2"/>
  <c r="P583" i="2"/>
  <c r="F1103" i="2"/>
  <c r="G1103" i="2" s="1"/>
  <c r="I1129" i="2"/>
  <c r="O592" i="2"/>
  <c r="I913" i="2"/>
  <c r="K560" i="2" s="1"/>
  <c r="L560" i="2" s="1"/>
  <c r="F721" i="2"/>
  <c r="E1121" i="2"/>
  <c r="G1122" i="2" s="1"/>
  <c r="Q412" i="2"/>
  <c r="L964" i="2"/>
  <c r="M964" i="2" s="1"/>
  <c r="M68" i="3"/>
  <c r="Q1048" i="2"/>
  <c r="D80" i="3"/>
  <c r="C713" i="2"/>
  <c r="C1099" i="2"/>
  <c r="D1099" i="2" s="1"/>
  <c r="A911" i="2"/>
  <c r="Y1023" i="2"/>
  <c r="S441" i="2"/>
  <c r="V475" i="2"/>
  <c r="M472" i="2"/>
  <c r="D504" i="2"/>
  <c r="M503" i="2"/>
  <c r="V502" i="2"/>
  <c r="Y406" i="2"/>
  <c r="G404" i="2"/>
  <c r="Y402" i="2"/>
  <c r="G450" i="2"/>
  <c r="I482" i="2"/>
  <c r="J482" i="2" s="1"/>
  <c r="D749" i="2" s="1"/>
  <c r="D770" i="2" s="1"/>
  <c r="D858" i="2" s="1"/>
  <c r="G478" i="2"/>
  <c r="P477" i="2"/>
  <c r="Y476" i="2"/>
  <c r="P473" i="2"/>
  <c r="P504" i="2"/>
  <c r="Y503" i="2"/>
  <c r="G501" i="2"/>
  <c r="P500" i="2"/>
  <c r="Y499" i="2"/>
  <c r="G497" i="2"/>
  <c r="O536" i="2"/>
  <c r="AD529" i="2"/>
  <c r="V523" i="2"/>
  <c r="L50" i="2"/>
  <c r="AD498" i="2"/>
  <c r="C89" i="3"/>
  <c r="U1050" i="2"/>
  <c r="M670" i="2"/>
  <c r="A937" i="2"/>
  <c r="E922" i="2"/>
  <c r="G569" i="2" s="1"/>
  <c r="K1102" i="2"/>
  <c r="T536" i="2"/>
  <c r="X535" i="2"/>
  <c r="C944" i="2"/>
  <c r="I1125" i="2"/>
  <c r="J1125" i="2" s="1"/>
  <c r="I1099" i="2"/>
  <c r="J1099" i="2" s="1"/>
  <c r="I939" i="2"/>
  <c r="J939" i="2" s="1"/>
  <c r="Y1026" i="2"/>
  <c r="M714" i="2"/>
  <c r="L719" i="2"/>
  <c r="M674" i="2"/>
  <c r="F723" i="2"/>
  <c r="N649" i="2"/>
  <c r="D915" i="2"/>
  <c r="G1123" i="2"/>
  <c r="Y493" i="2"/>
  <c r="M519" i="2"/>
  <c r="N678" i="2"/>
  <c r="O678" i="2" s="1"/>
  <c r="H706" i="2"/>
  <c r="AB530" i="2"/>
  <c r="J528" i="2"/>
  <c r="S527" i="2"/>
  <c r="AB526" i="2"/>
  <c r="J524" i="2"/>
  <c r="S523" i="2"/>
  <c r="AB406" i="2"/>
  <c r="J404" i="2"/>
  <c r="AB452" i="2"/>
  <c r="AB448" i="2"/>
  <c r="S445" i="2"/>
  <c r="AB476" i="2"/>
  <c r="S473" i="2"/>
  <c r="AB472" i="2"/>
  <c r="AD503" i="2"/>
  <c r="AB499" i="2"/>
  <c r="J497" i="2"/>
  <c r="K91" i="3"/>
  <c r="L69" i="3"/>
  <c r="O922" i="2"/>
  <c r="M992" i="2"/>
  <c r="E1097" i="2"/>
  <c r="K1097" i="2" s="1"/>
  <c r="D86" i="3"/>
  <c r="Y1028" i="2"/>
  <c r="U1049" i="2"/>
  <c r="H1077" i="2"/>
  <c r="K1077" i="2" s="1"/>
  <c r="D922" i="2"/>
  <c r="R534" i="2"/>
  <c r="Y1029" i="2"/>
  <c r="C693" i="2"/>
  <c r="I650" i="2"/>
  <c r="J651" i="2"/>
  <c r="L652" i="2" s="1"/>
  <c r="A522" i="2"/>
  <c r="C561" i="2"/>
  <c r="L972" i="2"/>
  <c r="M972" i="2" s="1"/>
  <c r="L670" i="2"/>
  <c r="I675" i="2"/>
  <c r="I692" i="2"/>
  <c r="I719" i="2"/>
  <c r="N648" i="2"/>
  <c r="AC1029" i="2"/>
  <c r="AB470" i="2"/>
  <c r="N997" i="2"/>
  <c r="I91" i="3"/>
  <c r="L1158" i="2"/>
  <c r="H457" i="2"/>
  <c r="Q457" i="2"/>
  <c r="Z457" i="2"/>
  <c r="K536" i="2"/>
  <c r="D409" i="2"/>
  <c r="V407" i="2"/>
  <c r="M404" i="2"/>
  <c r="V403" i="2"/>
  <c r="D401" i="2"/>
  <c r="D451" i="2"/>
  <c r="D447" i="2"/>
  <c r="D479" i="2"/>
  <c r="M478" i="2"/>
  <c r="D498" i="2"/>
  <c r="J529" i="2"/>
  <c r="AB527" i="2"/>
  <c r="L91" i="3"/>
  <c r="D1157" i="2"/>
  <c r="E81" i="3"/>
  <c r="K1101" i="2"/>
  <c r="G918" i="2"/>
  <c r="E946" i="2"/>
  <c r="C1152" i="2"/>
  <c r="D1152" i="2" s="1"/>
  <c r="I963" i="2"/>
  <c r="J963" i="2" s="1"/>
  <c r="J655" i="2"/>
  <c r="L656" i="2" s="1"/>
  <c r="C76" i="3"/>
  <c r="D70" i="3"/>
  <c r="E939" i="2"/>
  <c r="N939" i="2" s="1"/>
  <c r="J1152" i="2"/>
  <c r="J1130" i="2"/>
  <c r="I1102" i="2"/>
  <c r="J1102" i="2" s="1"/>
  <c r="G651" i="2"/>
  <c r="I652" i="2" s="1"/>
  <c r="A444" i="2"/>
  <c r="D646" i="2"/>
  <c r="F647" i="2" s="1"/>
  <c r="M692" i="2"/>
  <c r="K1156" i="2"/>
  <c r="M493" i="2"/>
  <c r="V493" i="2"/>
  <c r="AB441" i="2"/>
  <c r="S442" i="2"/>
  <c r="J399" i="2"/>
  <c r="S398" i="2"/>
  <c r="M470" i="2"/>
  <c r="Y470" i="2"/>
  <c r="V469" i="2"/>
  <c r="H91" i="3"/>
  <c r="I70" i="3"/>
  <c r="I84" i="3"/>
  <c r="H80" i="3"/>
  <c r="V406" i="2"/>
  <c r="D450" i="2"/>
  <c r="A1147" i="2"/>
  <c r="E1073" i="2"/>
  <c r="C608" i="2"/>
  <c r="C647" i="2"/>
  <c r="H1076" i="2"/>
  <c r="J1077" i="2" s="1"/>
  <c r="A1150" i="2"/>
  <c r="I1157" i="2"/>
  <c r="J1157" i="2" s="1"/>
  <c r="L696" i="2"/>
  <c r="C86" i="3"/>
  <c r="M613" i="2"/>
  <c r="O614" i="2" s="1"/>
  <c r="K1154" i="2"/>
  <c r="K1155" i="2"/>
  <c r="D520" i="2"/>
  <c r="AC519" i="2"/>
  <c r="AC520" i="2"/>
  <c r="D441" i="2"/>
  <c r="AC442" i="2"/>
  <c r="V442" i="2"/>
  <c r="P400" i="2"/>
  <c r="M399" i="2"/>
  <c r="D467" i="2"/>
  <c r="K166" i="3"/>
  <c r="L214" i="5"/>
  <c r="J118" i="4"/>
  <c r="I78" i="4"/>
  <c r="K66" i="5"/>
  <c r="D214" i="5"/>
  <c r="H46" i="1"/>
  <c r="M148" i="4"/>
  <c r="G46" i="1"/>
  <c r="E214" i="4"/>
  <c r="U18" i="3"/>
  <c r="G59" i="4"/>
  <c r="AC1051" i="2"/>
  <c r="H728" i="2"/>
  <c r="N726" i="2"/>
  <c r="M726" i="2"/>
  <c r="H707" i="2"/>
  <c r="E707" i="2"/>
  <c r="J25" i="5"/>
  <c r="J35" i="5" s="1"/>
  <c r="I39" i="2"/>
  <c r="G25" i="4"/>
  <c r="G35" i="4" s="1"/>
  <c r="F25" i="5"/>
  <c r="F35" i="5" s="1"/>
  <c r="P410" i="2"/>
  <c r="L414" i="2"/>
  <c r="F509" i="2"/>
  <c r="E728" i="2"/>
  <c r="O37" i="2"/>
  <c r="AA484" i="2"/>
  <c r="M25" i="4"/>
  <c r="M29" i="4" s="1"/>
  <c r="O35" i="2"/>
  <c r="N57" i="2"/>
  <c r="P37" i="2"/>
  <c r="N56" i="2"/>
  <c r="D1014" i="2"/>
  <c r="F1082" i="2"/>
  <c r="N657" i="2"/>
  <c r="O39" i="2"/>
  <c r="AA535" i="2"/>
  <c r="G454" i="2"/>
  <c r="N43" i="2"/>
  <c r="D35" i="2"/>
  <c r="D39" i="2"/>
  <c r="J596" i="2"/>
  <c r="AC1053" i="2"/>
  <c r="C456" i="2"/>
  <c r="E683" i="2"/>
  <c r="F683" i="2" s="1"/>
  <c r="N680" i="2"/>
  <c r="Y454" i="2"/>
  <c r="G480" i="2"/>
  <c r="F456" i="2"/>
  <c r="L534" i="2"/>
  <c r="L25" i="4"/>
  <c r="L31" i="4" s="1"/>
  <c r="I25" i="5"/>
  <c r="I35" i="5" s="1"/>
  <c r="E25" i="5"/>
  <c r="E31" i="5" s="1"/>
  <c r="I703" i="2"/>
  <c r="D25" i="5"/>
  <c r="D35" i="5" s="1"/>
  <c r="C1079" i="2"/>
  <c r="L1079" i="2" s="1"/>
  <c r="K32" i="2"/>
  <c r="AC1050" i="2"/>
  <c r="A1105" i="2"/>
  <c r="A924" i="2"/>
  <c r="C703" i="2"/>
  <c r="Z1038" i="2"/>
  <c r="C621" i="2"/>
  <c r="A480" i="2"/>
  <c r="C726" i="2"/>
  <c r="F457" i="2"/>
  <c r="E412" i="2"/>
  <c r="D728" i="2"/>
  <c r="F726" i="2"/>
  <c r="C458" i="2"/>
  <c r="U413" i="2"/>
  <c r="E482" i="2"/>
  <c r="L726" i="2"/>
  <c r="W414" i="2"/>
  <c r="G453" i="2"/>
  <c r="V479" i="2"/>
  <c r="B483" i="2"/>
  <c r="B484" i="2"/>
  <c r="N535" i="2"/>
  <c r="N536" i="2"/>
  <c r="F412" i="2"/>
  <c r="O413" i="2"/>
  <c r="O414" i="2"/>
  <c r="F458" i="2"/>
  <c r="F484" i="2"/>
  <c r="X484" i="2"/>
  <c r="L535" i="2"/>
  <c r="L536" i="2"/>
  <c r="Y1048" i="2"/>
  <c r="Y479" i="2"/>
  <c r="E483" i="2"/>
  <c r="R413" i="2"/>
  <c r="R414" i="2"/>
  <c r="I457" i="2"/>
  <c r="I458" i="2"/>
  <c r="I483" i="2"/>
  <c r="I484" i="2"/>
  <c r="R508" i="2"/>
  <c r="S508" i="2" s="1"/>
  <c r="G750" i="2" s="1"/>
  <c r="G771" i="2" s="1"/>
  <c r="R510" i="2"/>
  <c r="F536" i="2"/>
  <c r="B413" i="2"/>
  <c r="K413" i="2"/>
  <c r="K414" i="2"/>
  <c r="E1104" i="2"/>
  <c r="E413" i="2"/>
  <c r="V454" i="2"/>
  <c r="T456" i="2"/>
  <c r="C457" i="2"/>
  <c r="M506" i="2"/>
  <c r="G617" i="2"/>
  <c r="P617" i="2" s="1"/>
  <c r="Q592" i="2"/>
  <c r="N992" i="2"/>
  <c r="N968" i="2"/>
  <c r="I993" i="2"/>
  <c r="J993" i="2" s="1"/>
  <c r="G1077" i="2"/>
  <c r="E1081" i="2"/>
  <c r="G1081" i="2" s="1"/>
  <c r="M587" i="2"/>
  <c r="O588" i="2" s="1"/>
  <c r="C1156" i="2"/>
  <c r="D1156" i="2" s="1"/>
  <c r="G408" i="2"/>
  <c r="D920" i="2"/>
  <c r="L564" i="2"/>
  <c r="D1131" i="2"/>
  <c r="G1076" i="2"/>
  <c r="N719" i="2"/>
  <c r="U1028" i="2"/>
  <c r="D1126" i="2"/>
  <c r="C964" i="2"/>
  <c r="AC525" i="2"/>
  <c r="C912" i="2"/>
  <c r="K85" i="3"/>
  <c r="C721" i="2"/>
  <c r="F483" i="2"/>
  <c r="F482" i="2"/>
  <c r="I1029" i="2"/>
  <c r="G1129" i="2"/>
  <c r="A1075" i="2"/>
  <c r="AC469" i="2"/>
  <c r="I1128" i="2"/>
  <c r="I968" i="2"/>
  <c r="Y401" i="2"/>
  <c r="H661" i="2"/>
  <c r="N695" i="2"/>
  <c r="F653" i="2"/>
  <c r="F719" i="2"/>
  <c r="I1028" i="2"/>
  <c r="G444" i="2"/>
  <c r="G442" i="2"/>
  <c r="V401" i="2"/>
  <c r="D453" i="2"/>
  <c r="V447" i="2"/>
  <c r="J523" i="2"/>
  <c r="J917" i="2"/>
  <c r="H1131" i="2"/>
  <c r="D568" i="2"/>
  <c r="F569" i="2" s="1"/>
  <c r="J589" i="2"/>
  <c r="L590" i="2" s="1"/>
  <c r="I584" i="2"/>
  <c r="J967" i="2"/>
  <c r="B68" i="3"/>
  <c r="F670" i="2"/>
  <c r="N692" i="2"/>
  <c r="C61" i="3"/>
  <c r="C64" i="3" s="1"/>
  <c r="D729" i="2"/>
  <c r="AC495" i="2"/>
  <c r="A501" i="2"/>
  <c r="I61" i="3"/>
  <c r="I64" i="3" s="1"/>
  <c r="F947" i="2"/>
  <c r="C616" i="2"/>
  <c r="F715" i="2"/>
  <c r="R509" i="2"/>
  <c r="F1121" i="2"/>
  <c r="G1121" i="2" s="1"/>
  <c r="F1102" i="2"/>
  <c r="G1102" i="2" s="1"/>
  <c r="F696" i="2"/>
  <c r="G963" i="2"/>
  <c r="N989" i="2"/>
  <c r="D400" i="2"/>
  <c r="AB467" i="2"/>
  <c r="G705" i="2"/>
  <c r="V526" i="2"/>
  <c r="M523" i="2"/>
  <c r="J69" i="3"/>
  <c r="A1100" i="2"/>
  <c r="D993" i="2"/>
  <c r="E1082" i="2"/>
  <c r="C70" i="3"/>
  <c r="N987" i="2"/>
  <c r="W534" i="2"/>
  <c r="F614" i="2"/>
  <c r="N675" i="2"/>
  <c r="N697" i="2"/>
  <c r="E920" i="2"/>
  <c r="G567" i="2" s="1"/>
  <c r="E536" i="2"/>
  <c r="W482" i="2"/>
  <c r="C591" i="2"/>
  <c r="I1046" i="2"/>
  <c r="A971" i="2"/>
  <c r="J1038" i="2"/>
  <c r="G588" i="2"/>
  <c r="I589" i="2" s="1"/>
  <c r="AC452" i="2"/>
  <c r="S500" i="2"/>
  <c r="S504" i="2"/>
  <c r="L715" i="2"/>
  <c r="L697" i="2"/>
  <c r="O616" i="2"/>
  <c r="I649" i="2"/>
  <c r="G494" i="2"/>
  <c r="I1093" i="2"/>
  <c r="J1093" i="2" s="1"/>
  <c r="AC529" i="2"/>
  <c r="L678" i="2"/>
  <c r="T482" i="2"/>
  <c r="G564" i="2"/>
  <c r="I565" i="2" s="1"/>
  <c r="M1028" i="2"/>
  <c r="M1030" i="2"/>
  <c r="C652" i="2"/>
  <c r="I697" i="2"/>
  <c r="C566" i="2"/>
  <c r="G477" i="2"/>
  <c r="D1071" i="2"/>
  <c r="A920" i="2"/>
  <c r="A946" i="2"/>
  <c r="I721" i="2"/>
  <c r="I1048" i="2"/>
  <c r="I591" i="2"/>
  <c r="J474" i="2"/>
  <c r="J478" i="2"/>
  <c r="L654" i="2"/>
  <c r="J1094" i="2"/>
  <c r="P496" i="2"/>
  <c r="Y495" i="2"/>
  <c r="AD496" i="2"/>
  <c r="AB521" i="2"/>
  <c r="G522" i="2"/>
  <c r="V520" i="2"/>
  <c r="B80" i="3"/>
  <c r="J443" i="2"/>
  <c r="G654" i="2"/>
  <c r="J70" i="3"/>
  <c r="E919" i="2"/>
  <c r="N696" i="2"/>
  <c r="F675" i="2"/>
  <c r="H1067" i="2"/>
  <c r="M971" i="2"/>
  <c r="P407" i="2"/>
  <c r="Q1050" i="2"/>
  <c r="D61" i="3"/>
  <c r="D64" i="3" s="1"/>
  <c r="G86" i="3"/>
  <c r="T483" i="2"/>
  <c r="A1074" i="2"/>
  <c r="G587" i="2"/>
  <c r="I588" i="2" s="1"/>
  <c r="C567" i="2"/>
  <c r="C699" i="2"/>
  <c r="C1121" i="2"/>
  <c r="A919" i="2"/>
  <c r="P523" i="2"/>
  <c r="AB503" i="2"/>
  <c r="E1025" i="2"/>
  <c r="E1034" i="2"/>
  <c r="I1022" i="2"/>
  <c r="I1023" i="2"/>
  <c r="I1032" i="2"/>
  <c r="M1024" i="2"/>
  <c r="M1033" i="2"/>
  <c r="Q1025" i="2"/>
  <c r="Q1033" i="2"/>
  <c r="U1026" i="2"/>
  <c r="U1035" i="2"/>
  <c r="Y1035" i="2"/>
  <c r="AC1022" i="2"/>
  <c r="AC1023" i="2"/>
  <c r="E1043" i="2"/>
  <c r="E1052" i="2"/>
  <c r="I1044" i="2"/>
  <c r="I1053" i="2"/>
  <c r="M1045" i="2"/>
  <c r="M1054" i="2"/>
  <c r="Q1041" i="2"/>
  <c r="Q1042" i="2"/>
  <c r="Q1051" i="2"/>
  <c r="U1043" i="2"/>
  <c r="U1052" i="2"/>
  <c r="L59" i="2"/>
  <c r="L693" i="2"/>
  <c r="D730" i="2"/>
  <c r="P403" i="2"/>
  <c r="AC471" i="2"/>
  <c r="M528" i="2"/>
  <c r="AC526" i="2"/>
  <c r="AC523" i="2"/>
  <c r="AC522" i="2"/>
  <c r="AD497" i="2"/>
  <c r="AD525" i="2"/>
  <c r="M443" i="2"/>
  <c r="P471" i="2"/>
  <c r="L618" i="2"/>
  <c r="AD500" i="2"/>
  <c r="M673" i="2"/>
  <c r="M694" i="2"/>
  <c r="C1128" i="2"/>
  <c r="D1128" i="2" s="1"/>
  <c r="I1098" i="2"/>
  <c r="J1098" i="2" s="1"/>
  <c r="I1031" i="2"/>
  <c r="M947" i="2"/>
  <c r="A419" i="2"/>
  <c r="H88" i="3"/>
  <c r="M1050" i="2"/>
  <c r="L61" i="3"/>
  <c r="L64" i="3" s="1"/>
  <c r="A1128" i="2"/>
  <c r="I81" i="3"/>
  <c r="I964" i="2"/>
  <c r="J964" i="2" s="1"/>
  <c r="I921" i="2"/>
  <c r="K568" i="2" s="1"/>
  <c r="C722" i="2"/>
  <c r="M667" i="2"/>
  <c r="I945" i="2"/>
  <c r="J945" i="2" s="1"/>
  <c r="D81" i="3"/>
  <c r="F611" i="2"/>
  <c r="AB444" i="2"/>
  <c r="S443" i="2"/>
  <c r="H414" i="2"/>
  <c r="N457" i="2"/>
  <c r="G525" i="2"/>
  <c r="Y523" i="2"/>
  <c r="AD499" i="2"/>
  <c r="D587" i="2"/>
  <c r="F588" i="2" s="1"/>
  <c r="L614" i="2"/>
  <c r="E1046" i="2"/>
  <c r="G646" i="2"/>
  <c r="J650" i="2"/>
  <c r="L651" i="2" s="1"/>
  <c r="M722" i="2"/>
  <c r="N534" i="2"/>
  <c r="W483" i="2"/>
  <c r="E1050" i="2"/>
  <c r="L76" i="3"/>
  <c r="A449" i="2"/>
  <c r="P531" i="2"/>
  <c r="J450" i="2"/>
  <c r="C617" i="2"/>
  <c r="J493" i="2"/>
  <c r="M495" i="2"/>
  <c r="S494" i="2"/>
  <c r="V494" i="2"/>
  <c r="D519" i="2"/>
  <c r="J520" i="2"/>
  <c r="S521" i="2"/>
  <c r="V521" i="2"/>
  <c r="I679" i="2"/>
  <c r="F702" i="2"/>
  <c r="T414" i="2"/>
  <c r="E1068" i="2"/>
  <c r="B1108" i="2"/>
  <c r="E563" i="2"/>
  <c r="F563" i="2" s="1"/>
  <c r="D684" i="2"/>
  <c r="F1038" i="2"/>
  <c r="W457" i="2"/>
  <c r="J453" i="2"/>
  <c r="Q536" i="2"/>
  <c r="A995" i="2"/>
  <c r="Q1028" i="2"/>
  <c r="C653" i="2"/>
  <c r="C945" i="2"/>
  <c r="A1156" i="2"/>
  <c r="M719" i="2"/>
  <c r="W413" i="2"/>
  <c r="S477" i="2"/>
  <c r="J86" i="3"/>
  <c r="M1046" i="2"/>
  <c r="M921" i="2"/>
  <c r="F693" i="2"/>
  <c r="I1030" i="2"/>
  <c r="AA457" i="2"/>
  <c r="D1100" i="2"/>
  <c r="L941" i="2"/>
  <c r="M941" i="2" s="1"/>
  <c r="A450" i="2"/>
  <c r="A1101" i="2"/>
  <c r="G993" i="2"/>
  <c r="D1094" i="2"/>
  <c r="P519" i="2"/>
  <c r="C698" i="2"/>
  <c r="A475" i="2"/>
  <c r="Q593" i="2"/>
  <c r="A1155" i="2"/>
  <c r="A945" i="2"/>
  <c r="U1047" i="2"/>
  <c r="A1129" i="2"/>
  <c r="C1150" i="2"/>
  <c r="D1150" i="2" s="1"/>
  <c r="G584" i="2"/>
  <c r="I585" i="2" s="1"/>
  <c r="A528" i="2"/>
  <c r="D496" i="2"/>
  <c r="L673" i="2"/>
  <c r="I700" i="2"/>
  <c r="I716" i="2"/>
  <c r="F672" i="2"/>
  <c r="J471" i="2"/>
  <c r="Q535" i="2"/>
  <c r="S475" i="2"/>
  <c r="J503" i="2"/>
  <c r="J499" i="2"/>
  <c r="AB497" i="2"/>
  <c r="F91" i="3"/>
  <c r="E398" i="3"/>
  <c r="G398" i="3"/>
  <c r="I398" i="3"/>
  <c r="K398" i="3"/>
  <c r="M398" i="3"/>
  <c r="C398" i="3"/>
  <c r="D398" i="3"/>
  <c r="F398" i="3"/>
  <c r="H398" i="3"/>
  <c r="J398" i="3"/>
  <c r="L398" i="3"/>
  <c r="F1124" i="2"/>
  <c r="I1068" i="2"/>
  <c r="L1068" i="2" s="1"/>
  <c r="M1031" i="2"/>
  <c r="I669" i="2"/>
  <c r="M668" i="2"/>
  <c r="I694" i="2"/>
  <c r="M693" i="2"/>
  <c r="A994" i="2"/>
  <c r="A944" i="2"/>
  <c r="A969" i="2"/>
  <c r="C590" i="2"/>
  <c r="C565" i="2"/>
  <c r="A1099" i="2"/>
  <c r="A1154" i="2"/>
  <c r="C697" i="2"/>
  <c r="A474" i="2"/>
  <c r="B1038" i="2"/>
  <c r="C674" i="2"/>
  <c r="A1127" i="2"/>
  <c r="A500" i="2"/>
  <c r="C720" i="2"/>
  <c r="A918" i="2"/>
  <c r="C651" i="2"/>
  <c r="A418" i="2"/>
  <c r="A448" i="2"/>
  <c r="K914" i="2"/>
  <c r="N914" i="2" s="1"/>
  <c r="L940" i="2"/>
  <c r="M940" i="2" s="1"/>
  <c r="F966" i="2"/>
  <c r="G966" i="2" s="1"/>
  <c r="E941" i="2"/>
  <c r="G942" i="2" s="1"/>
  <c r="E1067" i="2"/>
  <c r="G1068" i="2" s="1"/>
  <c r="G645" i="2"/>
  <c r="F592" i="2"/>
  <c r="H562" i="2"/>
  <c r="I562" i="2" s="1"/>
  <c r="G915" i="2"/>
  <c r="F82" i="3"/>
  <c r="G68" i="3"/>
  <c r="G61" i="3"/>
  <c r="G64" i="3" s="1"/>
  <c r="AB16" i="2"/>
  <c r="AA897" i="2"/>
  <c r="C1010" i="2" s="1"/>
  <c r="K69" i="4"/>
  <c r="K78" i="4"/>
  <c r="J612" i="2"/>
  <c r="L613" i="2" s="1"/>
  <c r="L587" i="2"/>
  <c r="G172" i="5"/>
  <c r="G202" i="5" s="1"/>
  <c r="G330" i="5" s="1"/>
  <c r="AB401" i="2"/>
  <c r="AC400" i="2"/>
  <c r="S452" i="2"/>
  <c r="Q456" i="2"/>
  <c r="S448" i="2"/>
  <c r="Q458" i="2"/>
  <c r="J68" i="3"/>
  <c r="J61" i="3"/>
  <c r="J64" i="3" s="1"/>
  <c r="X1043" i="2"/>
  <c r="V1043" i="2"/>
  <c r="W897" i="2"/>
  <c r="E999" i="2" s="1"/>
  <c r="E1004" i="2" s="1"/>
  <c r="N49" i="3"/>
  <c r="M81" i="3" s="1"/>
  <c r="W1043" i="2"/>
  <c r="Y897" i="2"/>
  <c r="K999" i="2" s="1"/>
  <c r="K1002" i="2" s="1"/>
  <c r="X897" i="2"/>
  <c r="H999" i="2" s="1"/>
  <c r="H1004" i="2" s="1"/>
  <c r="J918" i="2"/>
  <c r="J564" i="2"/>
  <c r="L565" i="2" s="1"/>
  <c r="H1152" i="2"/>
  <c r="K1152" i="2" s="1"/>
  <c r="Y1027" i="2"/>
  <c r="I842" i="2"/>
  <c r="S784" i="2"/>
  <c r="I813" i="2"/>
  <c r="L1094" i="2"/>
  <c r="E560" i="2"/>
  <c r="J588" i="2"/>
  <c r="F921" i="2"/>
  <c r="G593" i="2"/>
  <c r="B458" i="2"/>
  <c r="D446" i="2"/>
  <c r="M445" i="2"/>
  <c r="K458" i="2"/>
  <c r="M458" i="2" s="1"/>
  <c r="Z482" i="2"/>
  <c r="AB479" i="2"/>
  <c r="T535" i="2"/>
  <c r="T534" i="2"/>
  <c r="AC530" i="2"/>
  <c r="AC524" i="2"/>
  <c r="D525" i="2"/>
  <c r="L412" i="2"/>
  <c r="L413" i="2"/>
  <c r="M408" i="2"/>
  <c r="V453" i="2"/>
  <c r="U456" i="2"/>
  <c r="M450" i="2"/>
  <c r="L457" i="2"/>
  <c r="AD449" i="2"/>
  <c r="V449" i="2"/>
  <c r="AD446" i="2"/>
  <c r="M446" i="2"/>
  <c r="V445" i="2"/>
  <c r="U458" i="2"/>
  <c r="AD474" i="2"/>
  <c r="M474" i="2"/>
  <c r="L508" i="2"/>
  <c r="L509" i="2"/>
  <c r="U509" i="2"/>
  <c r="U508" i="2"/>
  <c r="V508" i="2" s="1"/>
  <c r="H750" i="2" s="1"/>
  <c r="H771" i="2" s="1"/>
  <c r="H859" i="2" s="1"/>
  <c r="AD504" i="2"/>
  <c r="L510" i="2"/>
  <c r="M501" i="2"/>
  <c r="AD501" i="2"/>
  <c r="R535" i="2"/>
  <c r="S528" i="2"/>
  <c r="AD528" i="2"/>
  <c r="S524" i="2"/>
  <c r="R536" i="2"/>
  <c r="AD524" i="2"/>
  <c r="AB523" i="2"/>
  <c r="AD523" i="2"/>
  <c r="G85" i="3"/>
  <c r="H86" i="3"/>
  <c r="H69" i="3"/>
  <c r="J89" i="3"/>
  <c r="K70" i="3"/>
  <c r="K61" i="3"/>
  <c r="K64" i="3" s="1"/>
  <c r="J83" i="3"/>
  <c r="K84" i="3"/>
  <c r="C1102" i="2"/>
  <c r="D1102" i="2" s="1"/>
  <c r="Q1049" i="2"/>
  <c r="W456" i="2"/>
  <c r="Y452" i="2"/>
  <c r="Y448" i="2"/>
  <c r="W458" i="2"/>
  <c r="J916" i="2"/>
  <c r="K563" i="2"/>
  <c r="L563" i="2" s="1"/>
  <c r="J609" i="2"/>
  <c r="L584" i="2"/>
  <c r="I25" i="3"/>
  <c r="I35" i="3" s="1"/>
  <c r="F25" i="4"/>
  <c r="F35" i="4" s="1"/>
  <c r="J842" i="2"/>
  <c r="J813" i="2"/>
  <c r="M389" i="3"/>
  <c r="H25" i="3"/>
  <c r="K25" i="3"/>
  <c r="K35" i="3" s="1"/>
  <c r="E25" i="4"/>
  <c r="E35" i="4" s="1"/>
  <c r="G1148" i="2"/>
  <c r="M649" i="2"/>
  <c r="F650" i="2"/>
  <c r="G1079" i="2"/>
  <c r="F652" i="2"/>
  <c r="D76" i="3"/>
  <c r="E1149" i="2"/>
  <c r="G1150" i="2" s="1"/>
  <c r="M1027" i="2"/>
  <c r="I724" i="2"/>
  <c r="H730" i="2"/>
  <c r="N724" i="2"/>
  <c r="H729" i="2"/>
  <c r="O25" i="5"/>
  <c r="O31" i="5" s="1"/>
  <c r="B87" i="3"/>
  <c r="B61" i="3"/>
  <c r="B64" i="3" s="1"/>
  <c r="B66" i="3" s="1"/>
  <c r="C82" i="3"/>
  <c r="C68" i="3"/>
  <c r="H1147" i="2"/>
  <c r="K1147" i="2" s="1"/>
  <c r="M1148" i="2" s="1"/>
  <c r="E1027" i="2"/>
  <c r="F1156" i="2"/>
  <c r="G1156" i="2" s="1"/>
  <c r="M1047" i="2"/>
  <c r="E1129" i="2"/>
  <c r="P493" i="2"/>
  <c r="AC492" i="2"/>
  <c r="S495" i="2"/>
  <c r="AC494" i="2"/>
  <c r="AD495" i="2"/>
  <c r="V495" i="2"/>
  <c r="AC521" i="2"/>
  <c r="S522" i="2"/>
  <c r="Y519" i="2"/>
  <c r="AC518" i="2"/>
  <c r="J468" i="2"/>
  <c r="F193" i="3"/>
  <c r="F76" i="3"/>
  <c r="I610" i="2"/>
  <c r="I926" i="2"/>
  <c r="G560" i="2"/>
  <c r="P560" i="2" s="1"/>
  <c r="N913" i="2"/>
  <c r="L609" i="2"/>
  <c r="P608" i="2"/>
  <c r="D68" i="3"/>
  <c r="D84" i="3"/>
  <c r="B202" i="5"/>
  <c r="E566" i="2"/>
  <c r="O919" i="2"/>
  <c r="L669" i="2"/>
  <c r="N669" i="2"/>
  <c r="I673" i="2"/>
  <c r="N673" i="2"/>
  <c r="N691" i="2"/>
  <c r="I691" i="2"/>
  <c r="L717" i="2"/>
  <c r="K730" i="2"/>
  <c r="L723" i="2"/>
  <c r="K729" i="2"/>
  <c r="M696" i="2"/>
  <c r="F697" i="2"/>
  <c r="N671" i="2"/>
  <c r="F671" i="2"/>
  <c r="H941" i="2"/>
  <c r="I966" i="2"/>
  <c r="J966" i="2" s="1"/>
  <c r="B945" i="2"/>
  <c r="C970" i="2"/>
  <c r="D970" i="2" s="1"/>
  <c r="F991" i="2"/>
  <c r="G991" i="2" s="1"/>
  <c r="G967" i="2"/>
  <c r="F1069" i="2"/>
  <c r="Q1031" i="2"/>
  <c r="B1075" i="2"/>
  <c r="D1076" i="2" s="1"/>
  <c r="D653" i="2"/>
  <c r="F654" i="2" s="1"/>
  <c r="M1049" i="2"/>
  <c r="C1101" i="2"/>
  <c r="H1122" i="2"/>
  <c r="K1122" i="2" s="1"/>
  <c r="I1149" i="2"/>
  <c r="H1127" i="2"/>
  <c r="I1154" i="2"/>
  <c r="J1154" i="2" s="1"/>
  <c r="Q1027" i="2"/>
  <c r="B1150" i="2"/>
  <c r="K1150" i="2" s="1"/>
  <c r="V18" i="3"/>
  <c r="G389" i="3"/>
  <c r="Q1030" i="2"/>
  <c r="D647" i="2"/>
  <c r="F648" i="2" s="1"/>
  <c r="C1095" i="2"/>
  <c r="D1095" i="2" s="1"/>
  <c r="B1069" i="2"/>
  <c r="D1070" i="2" s="1"/>
  <c r="K1124" i="2"/>
  <c r="D1125" i="2"/>
  <c r="H70" i="3"/>
  <c r="G88" i="3"/>
  <c r="H89" i="3"/>
  <c r="C967" i="2"/>
  <c r="B942" i="2"/>
  <c r="I722" i="2"/>
  <c r="G730" i="2"/>
  <c r="M721" i="2"/>
  <c r="C673" i="2"/>
  <c r="A968" i="2"/>
  <c r="A917" i="2"/>
  <c r="A525" i="2"/>
  <c r="C696" i="2"/>
  <c r="C564" i="2"/>
  <c r="A1098" i="2"/>
  <c r="C589" i="2"/>
  <c r="C614" i="2"/>
  <c r="C650" i="2"/>
  <c r="C719" i="2"/>
  <c r="A1072" i="2"/>
  <c r="A473" i="2"/>
  <c r="F914" i="2"/>
  <c r="H561" i="2" s="1"/>
  <c r="G586" i="2"/>
  <c r="H918" i="2"/>
  <c r="J565" i="2" s="1"/>
  <c r="I944" i="2"/>
  <c r="J944" i="2" s="1"/>
  <c r="H564" i="2"/>
  <c r="I564" i="2" s="1"/>
  <c r="O917" i="2"/>
  <c r="G917" i="2"/>
  <c r="B938" i="2"/>
  <c r="D939" i="2" s="1"/>
  <c r="C963" i="2"/>
  <c r="N996" i="2"/>
  <c r="F1098" i="2"/>
  <c r="G650" i="2"/>
  <c r="I651" i="2" s="1"/>
  <c r="AC1030" i="2"/>
  <c r="E1072" i="2"/>
  <c r="D319" i="3"/>
  <c r="C5" i="1"/>
  <c r="D349" i="3"/>
  <c r="B940" i="2"/>
  <c r="N940" i="2" s="1"/>
  <c r="C965" i="2"/>
  <c r="O965" i="2" s="1"/>
  <c r="N962" i="2"/>
  <c r="F1071" i="2"/>
  <c r="Y1031" i="2"/>
  <c r="G54" i="5"/>
  <c r="G54" i="4"/>
  <c r="G83" i="3"/>
  <c r="J407" i="2"/>
  <c r="H413" i="2"/>
  <c r="H1075" i="2"/>
  <c r="J1076" i="2" s="1"/>
  <c r="I1101" i="2"/>
  <c r="J1101" i="2" s="1"/>
  <c r="AB442" i="2"/>
  <c r="S399" i="2"/>
  <c r="AB398" i="2"/>
  <c r="J619" i="2"/>
  <c r="L620" i="2" s="1"/>
  <c r="L594" i="2"/>
  <c r="I68" i="3"/>
  <c r="AC446" i="2"/>
  <c r="Y447" i="2"/>
  <c r="Y472" i="2"/>
  <c r="AD472" i="2"/>
  <c r="V527" i="2"/>
  <c r="M524" i="2"/>
  <c r="D469" i="2"/>
  <c r="G50" i="4"/>
  <c r="G50" i="5"/>
  <c r="S33" i="4"/>
  <c r="K39" i="2"/>
  <c r="N51" i="2"/>
  <c r="H660" i="2"/>
  <c r="E1066" i="2"/>
  <c r="K1066" i="2" s="1"/>
  <c r="G644" i="2"/>
  <c r="B1071" i="2"/>
  <c r="D1072" i="2" s="1"/>
  <c r="C1097" i="2"/>
  <c r="L1097" i="2" s="1"/>
  <c r="K50" i="2"/>
  <c r="E50" i="2"/>
  <c r="I948" i="2"/>
  <c r="J948" i="2" s="1"/>
  <c r="H922" i="2"/>
  <c r="Q610" i="2"/>
  <c r="B943" i="2"/>
  <c r="N943" i="2" s="1"/>
  <c r="C968" i="2"/>
  <c r="D968" i="2" s="1"/>
  <c r="N993" i="2"/>
  <c r="L1076" i="2"/>
  <c r="D444" i="2"/>
  <c r="S397" i="2"/>
  <c r="J398" i="2"/>
  <c r="I1131" i="2"/>
  <c r="J1131" i="2" s="1"/>
  <c r="H1103" i="2"/>
  <c r="F1131" i="2"/>
  <c r="E1103" i="2"/>
  <c r="B414" i="2"/>
  <c r="D992" i="2"/>
  <c r="F1096" i="2"/>
  <c r="J584" i="2"/>
  <c r="L585" i="2" s="1"/>
  <c r="I912" i="2"/>
  <c r="J729" i="2"/>
  <c r="L722" i="2"/>
  <c r="A1000" i="2"/>
  <c r="A975" i="2"/>
  <c r="A454" i="2"/>
  <c r="A532" i="2"/>
  <c r="C571" i="2"/>
  <c r="C680" i="2"/>
  <c r="A950" i="2"/>
  <c r="A506" i="2"/>
  <c r="A1133" i="2"/>
  <c r="A424" i="2"/>
  <c r="A1160" i="2"/>
  <c r="C657" i="2"/>
  <c r="C596" i="2"/>
  <c r="F585" i="2"/>
  <c r="G944" i="2"/>
  <c r="B1153" i="2"/>
  <c r="K1153" i="2" s="1"/>
  <c r="AC1027" i="2"/>
  <c r="AD522" i="2"/>
  <c r="P522" i="2"/>
  <c r="L21" i="1"/>
  <c r="L35" i="1" s="1"/>
  <c r="L32" i="1" s="1"/>
  <c r="L46" i="1"/>
  <c r="H188" i="3"/>
  <c r="K188" i="3" s="1"/>
  <c r="U414" i="2"/>
  <c r="AB404" i="2"/>
  <c r="AD404" i="2"/>
  <c r="AB446" i="2"/>
  <c r="AA458" i="2"/>
  <c r="D480" i="2"/>
  <c r="AA509" i="2"/>
  <c r="O535" i="2"/>
  <c r="X536" i="2"/>
  <c r="Y525" i="2"/>
  <c r="K68" i="3"/>
  <c r="H920" i="2"/>
  <c r="I946" i="2"/>
  <c r="AD520" i="2"/>
  <c r="AB520" i="2"/>
  <c r="AD521" i="2"/>
  <c r="AE521" i="2" s="1"/>
  <c r="P469" i="2"/>
  <c r="V446" i="2"/>
  <c r="T458" i="2"/>
  <c r="D477" i="2"/>
  <c r="M499" i="2"/>
  <c r="V498" i="2"/>
  <c r="AB532" i="2"/>
  <c r="K90" i="3"/>
  <c r="V1041" i="2"/>
  <c r="W1041" i="2"/>
  <c r="G941" i="2"/>
  <c r="A494" i="2"/>
  <c r="C691" i="2"/>
  <c r="C645" i="2"/>
  <c r="A1121" i="2"/>
  <c r="F1019" i="2"/>
  <c r="C559" i="2"/>
  <c r="L405" i="3"/>
  <c r="E405" i="3"/>
  <c r="M405" i="3"/>
  <c r="F405" i="3"/>
  <c r="J405" i="3"/>
  <c r="D405" i="3"/>
  <c r="H405" i="3"/>
  <c r="B912" i="2"/>
  <c r="D559" i="2" s="1"/>
  <c r="C938" i="2"/>
  <c r="D938" i="2" s="1"/>
  <c r="H1121" i="2"/>
  <c r="F1128" i="2"/>
  <c r="L724" i="2"/>
  <c r="L924" i="2"/>
  <c r="L927" i="2" s="1"/>
  <c r="M596" i="2"/>
  <c r="E1014" i="2"/>
  <c r="I50" i="2"/>
  <c r="H50" i="2"/>
  <c r="F50" i="2"/>
  <c r="K35" i="2"/>
  <c r="O716" i="2"/>
  <c r="U1030" i="2"/>
  <c r="F913" i="2"/>
  <c r="G585" i="2"/>
  <c r="I586" i="2" s="1"/>
  <c r="F1101" i="2"/>
  <c r="G1101" i="2" s="1"/>
  <c r="G653" i="2"/>
  <c r="I654" i="2" s="1"/>
  <c r="V398" i="2"/>
  <c r="AC470" i="2"/>
  <c r="M402" i="2"/>
  <c r="E70" i="3"/>
  <c r="D88" i="3"/>
  <c r="M471" i="2"/>
  <c r="AD470" i="2"/>
  <c r="F619" i="2"/>
  <c r="N87" i="3"/>
  <c r="AC408" i="2"/>
  <c r="D407" i="2"/>
  <c r="AC405" i="2"/>
  <c r="AC450" i="2"/>
  <c r="O484" i="2"/>
  <c r="M479" i="2"/>
  <c r="L25" i="3"/>
  <c r="L35" i="3" s="1"/>
  <c r="Q25" i="4"/>
  <c r="Q35" i="4" s="1"/>
  <c r="B25" i="5"/>
  <c r="B31" i="5" s="1"/>
  <c r="S21" i="5"/>
  <c r="B922" i="2"/>
  <c r="F649" i="2"/>
  <c r="I670" i="2"/>
  <c r="M695" i="2"/>
  <c r="B83" i="3"/>
  <c r="E730" i="2"/>
  <c r="V519" i="2"/>
  <c r="D502" i="2"/>
  <c r="X413" i="2"/>
  <c r="AD447" i="2"/>
  <c r="G472" i="2"/>
  <c r="P502" i="2"/>
  <c r="Y497" i="2"/>
  <c r="L1075" i="2"/>
  <c r="L1100" i="2"/>
  <c r="AD471" i="2"/>
  <c r="AD468" i="2"/>
  <c r="AC406" i="2"/>
  <c r="V22" i="4"/>
  <c r="J969" i="2"/>
  <c r="G70" i="3"/>
  <c r="M680" i="2"/>
  <c r="D494" i="2"/>
  <c r="E706" i="2"/>
  <c r="D990" i="2"/>
  <c r="M494" i="2"/>
  <c r="D521" i="2"/>
  <c r="J519" i="2"/>
  <c r="L655" i="2"/>
  <c r="D449" i="2"/>
  <c r="N508" i="2"/>
  <c r="AC497" i="2"/>
  <c r="AB529" i="2"/>
  <c r="AB525" i="2"/>
  <c r="AA413" i="2"/>
  <c r="AB451" i="2"/>
  <c r="AD448" i="2"/>
  <c r="U483" i="2"/>
  <c r="AD476" i="2"/>
  <c r="C509" i="2"/>
  <c r="S503" i="2"/>
  <c r="AB498" i="2"/>
  <c r="V532" i="2"/>
  <c r="M83" i="3"/>
  <c r="S142" i="4"/>
  <c r="AB397" i="2"/>
  <c r="P452" i="2"/>
  <c r="S498" i="2"/>
  <c r="M527" i="2"/>
  <c r="D404" i="2"/>
  <c r="I80" i="3"/>
  <c r="N25" i="3"/>
  <c r="N35" i="3" s="1"/>
  <c r="S19" i="5"/>
  <c r="J1126" i="2"/>
  <c r="G988" i="2"/>
  <c r="AC443" i="2"/>
  <c r="AC441" i="2"/>
  <c r="AD467" i="2"/>
  <c r="AC407" i="2"/>
  <c r="G500" i="2"/>
  <c r="I510" i="2"/>
  <c r="G529" i="2"/>
  <c r="Y527" i="2"/>
  <c r="P524" i="2"/>
  <c r="L86" i="3"/>
  <c r="Q609" i="2"/>
  <c r="L671" i="2"/>
  <c r="I715" i="2"/>
  <c r="G972" i="2"/>
  <c r="G1075" i="2"/>
  <c r="P445" i="2"/>
  <c r="AD408" i="2"/>
  <c r="AD405" i="2"/>
  <c r="AD403" i="2"/>
  <c r="D1075" i="2"/>
  <c r="M944" i="2"/>
  <c r="N998" i="2"/>
  <c r="I82" i="3"/>
  <c r="AC448" i="2"/>
  <c r="J525" i="2"/>
  <c r="AA456" i="2"/>
  <c r="AB456" i="2" s="1"/>
  <c r="J748" i="2" s="1"/>
  <c r="J769" i="2" s="1"/>
  <c r="J857" i="2" s="1"/>
  <c r="J50" i="2"/>
  <c r="G50" i="2"/>
  <c r="K172" i="4"/>
  <c r="J31" i="3"/>
  <c r="Q621" i="2"/>
  <c r="X22" i="2"/>
  <c r="N25" i="4"/>
  <c r="N35" i="4" s="1"/>
  <c r="O596" i="2"/>
  <c r="F1133" i="2"/>
  <c r="C94" i="4"/>
  <c r="N25" i="5"/>
  <c r="N29" i="5" s="1"/>
  <c r="Q39" i="2"/>
  <c r="Q37" i="2"/>
  <c r="Q35" i="2"/>
  <c r="Q25" i="5"/>
  <c r="Q31" i="5" s="1"/>
  <c r="Q32" i="2"/>
  <c r="M25" i="5"/>
  <c r="M29" i="5" s="1"/>
  <c r="M32" i="2"/>
  <c r="S23" i="5"/>
  <c r="U23" i="5" s="1"/>
  <c r="O57" i="3"/>
  <c r="C97" i="4" s="1"/>
  <c r="E1177" i="2"/>
  <c r="S17" i="5"/>
  <c r="O62" i="3"/>
  <c r="V27" i="2"/>
  <c r="X27" i="2"/>
  <c r="C98" i="5"/>
  <c r="C98" i="4"/>
  <c r="E661" i="2"/>
  <c r="E659" i="2"/>
  <c r="AA482" i="2"/>
  <c r="AA483" i="2"/>
  <c r="J39" i="2"/>
  <c r="J35" i="3"/>
  <c r="N49" i="2"/>
  <c r="J37" i="2"/>
  <c r="J25" i="4"/>
  <c r="J29" i="4" s="1"/>
  <c r="J29" i="3"/>
  <c r="O52" i="3"/>
  <c r="N84" i="3" s="1"/>
  <c r="X414" i="2"/>
  <c r="X412" i="2"/>
  <c r="I37" i="2"/>
  <c r="X19" i="2"/>
  <c r="U536" i="2"/>
  <c r="U484" i="2"/>
  <c r="U482" i="2"/>
  <c r="H25" i="4"/>
  <c r="H35" i="4" s="1"/>
  <c r="H39" i="2"/>
  <c r="U412" i="2"/>
  <c r="V412" i="2" s="1"/>
  <c r="H747" i="2" s="1"/>
  <c r="H768" i="2" s="1"/>
  <c r="H35" i="2"/>
  <c r="H32" i="2"/>
  <c r="N47" i="2"/>
  <c r="V19" i="2"/>
  <c r="AB900" i="2"/>
  <c r="H924" i="2" s="1"/>
  <c r="J571" i="2" s="1"/>
  <c r="AC900" i="2"/>
  <c r="E1013" i="2" s="1"/>
  <c r="Z900" i="2"/>
  <c r="B1013" i="2" s="1"/>
  <c r="AB1046" i="2"/>
  <c r="Z1046" i="2"/>
  <c r="B1173" i="2" s="1"/>
  <c r="AA900" i="2"/>
  <c r="E924" i="2" s="1"/>
  <c r="G571" i="2" s="1"/>
  <c r="AA1046" i="2"/>
  <c r="C1173" i="2" s="1"/>
  <c r="AB19" i="2"/>
  <c r="N46" i="2"/>
  <c r="G25" i="5"/>
  <c r="G35" i="5" s="1"/>
  <c r="G25" i="3"/>
  <c r="G31" i="3" s="1"/>
  <c r="G37" i="2"/>
  <c r="G35" i="2"/>
  <c r="G32" i="2"/>
  <c r="O534" i="2"/>
  <c r="N45" i="2"/>
  <c r="O483" i="2"/>
  <c r="O482" i="2"/>
  <c r="F25" i="3"/>
  <c r="F35" i="3" s="1"/>
  <c r="U12" i="3"/>
  <c r="AB1043" i="2"/>
  <c r="F37" i="2"/>
  <c r="F35" i="2"/>
  <c r="F39" i="2"/>
  <c r="K25" i="5"/>
  <c r="K31" i="5" s="1"/>
  <c r="C263" i="3"/>
  <c r="D1175" i="2"/>
  <c r="E25" i="3"/>
  <c r="E35" i="3" s="1"/>
  <c r="D25" i="4"/>
  <c r="D31" i="4" s="1"/>
  <c r="C25" i="4"/>
  <c r="C35" i="4" s="1"/>
  <c r="AC532" i="2"/>
  <c r="AA899" i="2"/>
  <c r="C1012" i="2" s="1"/>
  <c r="AB1045" i="2"/>
  <c r="AB1044" i="2"/>
  <c r="N42" i="2"/>
  <c r="C25" i="5"/>
  <c r="C29" i="5" s="1"/>
  <c r="C39" i="2"/>
  <c r="G410" i="2"/>
  <c r="C257" i="3"/>
  <c r="C37" i="2"/>
  <c r="C25" i="3"/>
  <c r="C31" i="3" s="1"/>
  <c r="C88" i="4"/>
  <c r="C35" i="2"/>
  <c r="T35" i="2" s="1"/>
  <c r="F414" i="2"/>
  <c r="G414" i="2" s="1"/>
  <c r="AC898" i="2"/>
  <c r="K975" i="2" s="1"/>
  <c r="L1000" i="2" s="1"/>
  <c r="V16" i="2"/>
  <c r="Z16" i="2"/>
  <c r="Z897" i="2"/>
  <c r="AC897" i="2"/>
  <c r="E1010" i="2" s="1"/>
  <c r="O49" i="3"/>
  <c r="C89" i="4" s="1"/>
  <c r="AB897" i="2"/>
  <c r="Z1043" i="2"/>
  <c r="X16" i="2"/>
  <c r="AA1043" i="2"/>
  <c r="X24" i="2"/>
  <c r="AB24" i="2"/>
  <c r="V24" i="2"/>
  <c r="Z1049" i="2"/>
  <c r="C1105" i="2" s="1"/>
  <c r="AB22" i="2"/>
  <c r="Z22" i="2"/>
  <c r="R25" i="4"/>
  <c r="R29" i="4" s="1"/>
  <c r="V22" i="2"/>
  <c r="AB1049" i="2"/>
  <c r="AA1049" i="2"/>
  <c r="L78" i="5"/>
  <c r="L214" i="4"/>
  <c r="K46" i="1"/>
  <c r="E214" i="5"/>
  <c r="E21" i="1"/>
  <c r="E35" i="1" s="1"/>
  <c r="N148" i="5"/>
  <c r="H214" i="5"/>
  <c r="J118" i="5"/>
  <c r="I78" i="5"/>
  <c r="A52" i="4"/>
  <c r="A222" i="3"/>
  <c r="G53" i="5"/>
  <c r="G56" i="4"/>
  <c r="K164" i="3"/>
  <c r="G620" i="2"/>
  <c r="I621" i="2" s="1"/>
  <c r="H599" i="2"/>
  <c r="P595" i="2"/>
  <c r="L728" i="2"/>
  <c r="Q758" i="2" s="1"/>
  <c r="Q779" i="2" s="1"/>
  <c r="Q867" i="2" s="1"/>
  <c r="X900" i="2"/>
  <c r="E457" i="2"/>
  <c r="U535" i="2"/>
  <c r="V900" i="2"/>
  <c r="N625" i="2"/>
  <c r="AB409" i="2"/>
  <c r="H682" i="2"/>
  <c r="I508" i="2"/>
  <c r="E458" i="2"/>
  <c r="E953" i="2"/>
  <c r="E456" i="2"/>
  <c r="I509" i="2"/>
  <c r="C414" i="2"/>
  <c r="M532" i="2"/>
  <c r="C412" i="2"/>
  <c r="I595" i="2"/>
  <c r="L702" i="2"/>
  <c r="W1046" i="2"/>
  <c r="E1159" i="2" s="1"/>
  <c r="C413" i="2"/>
  <c r="AA412" i="2"/>
  <c r="AA414" i="2"/>
  <c r="J505" i="2"/>
  <c r="V531" i="2"/>
  <c r="M50" i="2"/>
  <c r="Y900" i="2"/>
  <c r="K534" i="2"/>
  <c r="Z414" i="2"/>
  <c r="AC409" i="2"/>
  <c r="W423" i="2" s="1"/>
  <c r="S453" i="2"/>
  <c r="M55" i="2"/>
  <c r="B949" i="2"/>
  <c r="K535" i="2"/>
  <c r="Z413" i="2"/>
  <c r="D410" i="2"/>
  <c r="Z412" i="2"/>
  <c r="N509" i="2"/>
  <c r="P506" i="2"/>
  <c r="K659" i="2"/>
  <c r="W900" i="2"/>
  <c r="X508" i="2"/>
  <c r="B412" i="2"/>
  <c r="U534" i="2"/>
  <c r="Y1053" i="2"/>
  <c r="K661" i="2"/>
  <c r="K660" i="2"/>
  <c r="Q615" i="2"/>
  <c r="R615" i="2" s="1"/>
  <c r="L615" i="2"/>
  <c r="A992" i="2"/>
  <c r="C563" i="2"/>
  <c r="C718" i="2"/>
  <c r="V1019" i="2"/>
  <c r="A1071" i="2"/>
  <c r="C695" i="2"/>
  <c r="A524" i="2"/>
  <c r="C613" i="2"/>
  <c r="A498" i="2"/>
  <c r="A1125" i="2"/>
  <c r="A916" i="2"/>
  <c r="A1097" i="2"/>
  <c r="A446" i="2"/>
  <c r="A942" i="2"/>
  <c r="A967" i="2"/>
  <c r="A472" i="2"/>
  <c r="C649" i="2"/>
  <c r="C588" i="2"/>
  <c r="C672" i="2"/>
  <c r="B917" i="2"/>
  <c r="C943" i="2"/>
  <c r="K945" i="2"/>
  <c r="M946" i="2" s="1"/>
  <c r="L970" i="2"/>
  <c r="M970" i="2" s="1"/>
  <c r="F1074" i="2"/>
  <c r="I1050" i="2"/>
  <c r="M619" i="2"/>
  <c r="O620" i="2" s="1"/>
  <c r="O594" i="2"/>
  <c r="N599" i="2"/>
  <c r="W484" i="2"/>
  <c r="Y474" i="2"/>
  <c r="AC473" i="2"/>
  <c r="H510" i="2"/>
  <c r="H509" i="2"/>
  <c r="H508" i="2"/>
  <c r="J504" i="2"/>
  <c r="V500" i="2"/>
  <c r="AC499" i="2"/>
  <c r="AC496" i="2"/>
  <c r="M497" i="2"/>
  <c r="G530" i="2"/>
  <c r="E535" i="2"/>
  <c r="E534" i="2"/>
  <c r="G534" i="2" s="1"/>
  <c r="C751" i="2" s="1"/>
  <c r="C772" i="2" s="1"/>
  <c r="C860" i="2" s="1"/>
  <c r="G919" i="2"/>
  <c r="G565" i="2"/>
  <c r="I566" i="2" s="1"/>
  <c r="I920" i="2"/>
  <c r="J592" i="2"/>
  <c r="M610" i="2"/>
  <c r="O611" i="2" s="1"/>
  <c r="O585" i="2"/>
  <c r="N600" i="2"/>
  <c r="M612" i="2"/>
  <c r="Q587" i="2"/>
  <c r="N565" i="2"/>
  <c r="O565" i="2" s="1"/>
  <c r="M918" i="2"/>
  <c r="L996" i="2"/>
  <c r="N971" i="2"/>
  <c r="O619" i="2"/>
  <c r="N623" i="2"/>
  <c r="I620" i="2"/>
  <c r="K1157" i="2"/>
  <c r="M1158" i="2" s="1"/>
  <c r="J1158" i="2"/>
  <c r="G82" i="3"/>
  <c r="H83" i="3"/>
  <c r="G80" i="3"/>
  <c r="H81" i="3"/>
  <c r="H68" i="3"/>
  <c r="H61" i="3"/>
  <c r="H64" i="3" s="1"/>
  <c r="AB445" i="2"/>
  <c r="AC444" i="2"/>
  <c r="Z458" i="2"/>
  <c r="AC478" i="2"/>
  <c r="Q482" i="2"/>
  <c r="Q483" i="2"/>
  <c r="AC477" i="2"/>
  <c r="P478" i="2"/>
  <c r="AC476" i="2"/>
  <c r="K484" i="2"/>
  <c r="M477" i="2"/>
  <c r="K483" i="2"/>
  <c r="J476" i="2"/>
  <c r="AC475" i="2"/>
  <c r="H484" i="2"/>
  <c r="G475" i="2"/>
  <c r="E484" i="2"/>
  <c r="D948" i="2"/>
  <c r="N947" i="2"/>
  <c r="M669" i="2"/>
  <c r="F61" i="3"/>
  <c r="F64" i="3" s="1"/>
  <c r="F87" i="3"/>
  <c r="E86" i="3"/>
  <c r="J730" i="2"/>
  <c r="M919" i="2"/>
  <c r="M565" i="2"/>
  <c r="O566" i="2" s="1"/>
  <c r="G707" i="2"/>
  <c r="K1074" i="2"/>
  <c r="J1075" i="2"/>
  <c r="A1152" i="2"/>
  <c r="Q618" i="2"/>
  <c r="H624" i="2"/>
  <c r="J1070" i="2"/>
  <c r="E61" i="3"/>
  <c r="E64" i="3" s="1"/>
  <c r="D87" i="3"/>
  <c r="I617" i="2"/>
  <c r="M997" i="2"/>
  <c r="O997" i="2"/>
  <c r="G568" i="2"/>
  <c r="I569" i="2" s="1"/>
  <c r="N921" i="2"/>
  <c r="G922" i="2"/>
  <c r="K510" i="2"/>
  <c r="O945" i="2"/>
  <c r="J970" i="2"/>
  <c r="L676" i="2"/>
  <c r="J683" i="2"/>
  <c r="J684" i="2"/>
  <c r="M675" i="2"/>
  <c r="N598" i="2"/>
  <c r="I614" i="2"/>
  <c r="F705" i="2"/>
  <c r="O757" i="2" s="1"/>
  <c r="O778" i="2" s="1"/>
  <c r="O591" i="2"/>
  <c r="P590" i="2"/>
  <c r="O568" i="2"/>
  <c r="F590" i="2"/>
  <c r="J611" i="2"/>
  <c r="L586" i="2"/>
  <c r="Q586" i="2"/>
  <c r="J1150" i="2"/>
  <c r="AC472" i="2"/>
  <c r="T484" i="2"/>
  <c r="V473" i="2"/>
  <c r="K508" i="2"/>
  <c r="M505" i="2"/>
  <c r="K509" i="2"/>
  <c r="S499" i="2"/>
  <c r="AC498" i="2"/>
  <c r="N484" i="2"/>
  <c r="L1153" i="2"/>
  <c r="I714" i="2"/>
  <c r="M713" i="2"/>
  <c r="O714" i="2" s="1"/>
  <c r="C995" i="2"/>
  <c r="D995" i="2" s="1"/>
  <c r="N970" i="2"/>
  <c r="J568" i="2"/>
  <c r="AC474" i="2"/>
  <c r="Z484" i="2"/>
  <c r="AB475" i="2"/>
  <c r="B535" i="2"/>
  <c r="B536" i="2"/>
  <c r="M586" i="2"/>
  <c r="O587" i="2" s="1"/>
  <c r="L914" i="2"/>
  <c r="E69" i="3"/>
  <c r="D1155" i="2"/>
  <c r="H483" i="2"/>
  <c r="L720" i="2"/>
  <c r="D529" i="2"/>
  <c r="D1103" i="2"/>
  <c r="I653" i="2"/>
  <c r="M652" i="2"/>
  <c r="O653" i="2" s="1"/>
  <c r="L691" i="2"/>
  <c r="M690" i="2"/>
  <c r="L698" i="2"/>
  <c r="M697" i="2"/>
  <c r="D561" i="2"/>
  <c r="D989" i="2"/>
  <c r="N988" i="2"/>
  <c r="E1127" i="2"/>
  <c r="F1154" i="2"/>
  <c r="E1047" i="2"/>
  <c r="S472" i="2"/>
  <c r="Q484" i="2"/>
  <c r="E509" i="2"/>
  <c r="G503" i="2"/>
  <c r="J531" i="2"/>
  <c r="H534" i="2"/>
  <c r="H535" i="2"/>
  <c r="H536" i="2"/>
  <c r="Y528" i="2"/>
  <c r="W535" i="2"/>
  <c r="AC527" i="2"/>
  <c r="I616" i="2"/>
  <c r="P615" i="2"/>
  <c r="R616" i="2" s="1"/>
  <c r="O722" i="2"/>
  <c r="AC528" i="2"/>
  <c r="D1077" i="2"/>
  <c r="K1076" i="2"/>
  <c r="W536" i="2"/>
  <c r="N559" i="2"/>
  <c r="O559" i="2" s="1"/>
  <c r="M912" i="2"/>
  <c r="G989" i="2"/>
  <c r="M967" i="2"/>
  <c r="K566" i="2"/>
  <c r="C991" i="2"/>
  <c r="N966" i="2"/>
  <c r="D650" i="2"/>
  <c r="B1072" i="2"/>
  <c r="D1073" i="2" s="1"/>
  <c r="C1098" i="2"/>
  <c r="I1155" i="2"/>
  <c r="J1155" i="2" s="1"/>
  <c r="H1128" i="2"/>
  <c r="K1128" i="2" s="1"/>
  <c r="F1126" i="2"/>
  <c r="G1126" i="2" s="1"/>
  <c r="E1098" i="2"/>
  <c r="K1098" i="2" s="1"/>
  <c r="P618" i="2"/>
  <c r="L619" i="2"/>
  <c r="F1157" i="2"/>
  <c r="E1130" i="2"/>
  <c r="J446" i="2"/>
  <c r="AC445" i="2"/>
  <c r="J610" i="2"/>
  <c r="Q585" i="2"/>
  <c r="F612" i="2"/>
  <c r="I619" i="2"/>
  <c r="Q619" i="2"/>
  <c r="J452" i="2"/>
  <c r="AC451" i="2"/>
  <c r="AB450" i="2"/>
  <c r="AC449" i="2"/>
  <c r="I973" i="2"/>
  <c r="J973" i="2" s="1"/>
  <c r="H948" i="2"/>
  <c r="D971" i="2"/>
  <c r="C942" i="2"/>
  <c r="B916" i="2"/>
  <c r="B1120" i="2"/>
  <c r="K1120" i="2" s="1"/>
  <c r="E1028" i="2"/>
  <c r="E1148" i="2"/>
  <c r="I1027" i="2"/>
  <c r="K1151" i="2"/>
  <c r="AB402" i="2"/>
  <c r="AC401" i="2"/>
  <c r="J922" i="2"/>
  <c r="Q611" i="2"/>
  <c r="D609" i="2"/>
  <c r="F610" i="2" s="1"/>
  <c r="Q584" i="2"/>
  <c r="F584" i="2"/>
  <c r="K912" i="2"/>
  <c r="L938" i="2"/>
  <c r="H1094" i="2"/>
  <c r="K1094" i="2" s="1"/>
  <c r="I1122" i="2"/>
  <c r="M1029" i="2"/>
  <c r="H1099" i="2"/>
  <c r="J1100" i="2" s="1"/>
  <c r="I1127" i="2"/>
  <c r="AC403" i="2"/>
  <c r="S404" i="2"/>
  <c r="M403" i="2"/>
  <c r="AC402" i="2"/>
  <c r="M407" i="2"/>
  <c r="AD407" i="2"/>
  <c r="AD406" i="2"/>
  <c r="J406" i="2"/>
  <c r="AD402" i="2"/>
  <c r="V402" i="2"/>
  <c r="G452" i="2"/>
  <c r="AD452" i="2"/>
  <c r="Y450" i="2"/>
  <c r="AD450" i="2"/>
  <c r="AD445" i="2"/>
  <c r="J445" i="2"/>
  <c r="AD478" i="2"/>
  <c r="X482" i="2"/>
  <c r="X483" i="2"/>
  <c r="AD477" i="2"/>
  <c r="V477" i="2"/>
  <c r="AD475" i="2"/>
  <c r="P475" i="2"/>
  <c r="AD473" i="2"/>
  <c r="J473" i="2"/>
  <c r="G499" i="2"/>
  <c r="F510" i="2"/>
  <c r="L1073" i="2"/>
  <c r="F189" i="3"/>
  <c r="B76" i="3"/>
  <c r="G964" i="2"/>
  <c r="I990" i="2"/>
  <c r="J990" i="2" s="1"/>
  <c r="N965" i="2"/>
  <c r="F969" i="2"/>
  <c r="G969" i="2" s="1"/>
  <c r="E944" i="2"/>
  <c r="G945" i="2" s="1"/>
  <c r="P494" i="2"/>
  <c r="AD494" i="2"/>
  <c r="AB493" i="2"/>
  <c r="AD493" i="2"/>
  <c r="AD519" i="2"/>
  <c r="AB519" i="2"/>
  <c r="AC440" i="2"/>
  <c r="Y441" i="2"/>
  <c r="V441" i="2"/>
  <c r="AD441" i="2"/>
  <c r="M444" i="2"/>
  <c r="AD444" i="2"/>
  <c r="AE444" i="2" s="1"/>
  <c r="AD443" i="2"/>
  <c r="AE443" i="2" s="1"/>
  <c r="P443" i="2"/>
  <c r="M442" i="2"/>
  <c r="AD442" i="2"/>
  <c r="AC396" i="2"/>
  <c r="J397" i="2"/>
  <c r="AC399" i="2"/>
  <c r="G400" i="2"/>
  <c r="AC398" i="2"/>
  <c r="Y398" i="2"/>
  <c r="AC397" i="2"/>
  <c r="V397" i="2"/>
  <c r="AD397" i="2"/>
  <c r="M400" i="2"/>
  <c r="AD400" i="2"/>
  <c r="P399" i="2"/>
  <c r="AD399" i="2"/>
  <c r="AD398" i="2"/>
  <c r="M398" i="2"/>
  <c r="AC466" i="2"/>
  <c r="J467" i="2"/>
  <c r="AC468" i="2"/>
  <c r="J469" i="2"/>
  <c r="AB468" i="2"/>
  <c r="AC467" i="2"/>
  <c r="AD469" i="2"/>
  <c r="S469" i="2"/>
  <c r="AC404" i="2"/>
  <c r="AB405" i="2"/>
  <c r="I915" i="2"/>
  <c r="J587" i="2"/>
  <c r="L588" i="2" s="1"/>
  <c r="I696" i="2"/>
  <c r="B1092" i="2"/>
  <c r="E1029" i="2"/>
  <c r="N569" i="2"/>
  <c r="O569" i="2" s="1"/>
  <c r="M922" i="2"/>
  <c r="O941" i="2"/>
  <c r="P941" i="2" s="1"/>
  <c r="O615" i="2"/>
  <c r="S403" i="2"/>
  <c r="AD451" i="2"/>
  <c r="S450" i="2"/>
  <c r="P449" i="2"/>
  <c r="M448" i="2"/>
  <c r="J447" i="2"/>
  <c r="G446" i="2"/>
  <c r="D445" i="2"/>
  <c r="M476" i="2"/>
  <c r="J475" i="2"/>
  <c r="G474" i="2"/>
  <c r="D473" i="2"/>
  <c r="D500" i="2"/>
  <c r="AB500" i="2"/>
  <c r="S497" i="2"/>
  <c r="M525" i="2"/>
  <c r="J90" i="3"/>
  <c r="M963" i="2"/>
  <c r="G1100" i="2"/>
  <c r="O458" i="2"/>
  <c r="M453" i="2"/>
  <c r="L610" i="2"/>
  <c r="G994" i="2"/>
  <c r="L646" i="2"/>
  <c r="K1073" i="2"/>
  <c r="G471" i="2"/>
  <c r="D1148" i="2"/>
  <c r="J940" i="2"/>
  <c r="G990" i="2"/>
  <c r="P444" i="2"/>
  <c r="H623" i="2"/>
  <c r="S525" i="2"/>
  <c r="M91" i="3"/>
  <c r="D965" i="2"/>
  <c r="O918" i="2"/>
  <c r="K684" i="2"/>
  <c r="H683" i="2"/>
  <c r="K706" i="2"/>
  <c r="G1125" i="2"/>
  <c r="A62" i="5"/>
  <c r="A63" i="5" s="1"/>
  <c r="G61" i="5"/>
  <c r="K69" i="5"/>
  <c r="K65" i="5"/>
  <c r="K64" i="5"/>
  <c r="D21" i="1"/>
  <c r="C35" i="1"/>
  <c r="C55" i="1"/>
  <c r="J18" i="1"/>
  <c r="C46" i="1"/>
  <c r="C136" i="3"/>
  <c r="C133" i="3"/>
  <c r="C137" i="3" s="1"/>
  <c r="C135" i="3"/>
  <c r="T25" i="5"/>
  <c r="T27" i="5"/>
  <c r="T25" i="4"/>
  <c r="T27" i="4"/>
  <c r="T25" i="3"/>
  <c r="M29" i="3"/>
  <c r="T27" i="3"/>
  <c r="AB27" i="2"/>
  <c r="C95" i="4"/>
  <c r="C264" i="3"/>
  <c r="C95" i="5"/>
  <c r="B1175" i="2"/>
  <c r="B1105" i="2"/>
  <c r="AC1048" i="2"/>
  <c r="E32" i="2"/>
  <c r="E35" i="2"/>
  <c r="E39" i="2"/>
  <c r="E37" i="2"/>
  <c r="N44" i="2"/>
  <c r="M703" i="2"/>
  <c r="AC1052" i="2"/>
  <c r="D621" i="2"/>
  <c r="Q596" i="2"/>
  <c r="F596" i="2"/>
  <c r="O25" i="3"/>
  <c r="P25" i="3"/>
  <c r="U15" i="4"/>
  <c r="S15" i="5"/>
  <c r="S14" i="5"/>
  <c r="S13" i="5"/>
  <c r="S12" i="5"/>
  <c r="S11" i="5"/>
  <c r="V11" i="5" s="1"/>
  <c r="R25" i="5"/>
  <c r="Q25" i="3"/>
  <c r="P25" i="4"/>
  <c r="P25" i="5"/>
  <c r="S20" i="5"/>
  <c r="C1133" i="2"/>
  <c r="AC454" i="2"/>
  <c r="AC480" i="2"/>
  <c r="AC410" i="2"/>
  <c r="K424" i="2" s="1"/>
  <c r="V20" i="2"/>
  <c r="AA1047" i="2"/>
  <c r="O53" i="3"/>
  <c r="Z20" i="2"/>
  <c r="AB20" i="2"/>
  <c r="AB1047" i="2"/>
  <c r="J410" i="2"/>
  <c r="AD410" i="2"/>
  <c r="S454" i="2"/>
  <c r="R457" i="2"/>
  <c r="S457" i="2" s="1"/>
  <c r="R456" i="2"/>
  <c r="R458" i="2"/>
  <c r="AD454" i="2"/>
  <c r="L482" i="2"/>
  <c r="M482" i="2" s="1"/>
  <c r="E749" i="2" s="1"/>
  <c r="E770" i="2" s="1"/>
  <c r="E858" i="2" s="1"/>
  <c r="L484" i="2"/>
  <c r="M480" i="2"/>
  <c r="L483" i="2"/>
  <c r="AD480" i="2"/>
  <c r="AA508" i="2"/>
  <c r="AB506" i="2"/>
  <c r="AA510" i="2"/>
  <c r="J532" i="2"/>
  <c r="I536" i="2"/>
  <c r="I535" i="2"/>
  <c r="I534" i="2"/>
  <c r="AD532" i="2"/>
  <c r="I25" i="4"/>
  <c r="D25" i="3"/>
  <c r="H25" i="5"/>
  <c r="M35" i="2"/>
  <c r="M37" i="2"/>
  <c r="M39" i="2"/>
  <c r="B1014" i="2"/>
  <c r="C924" i="2"/>
  <c r="H571" i="2"/>
  <c r="G621" i="2"/>
  <c r="P621" i="2" s="1"/>
  <c r="H598" i="2"/>
  <c r="I596" i="2"/>
  <c r="H600" i="2"/>
  <c r="AB23" i="2"/>
  <c r="Z23" i="2"/>
  <c r="O56" i="3"/>
  <c r="V23" i="2"/>
  <c r="B1174" i="2"/>
  <c r="B1133" i="2"/>
  <c r="C1160" i="2"/>
  <c r="V22" i="3"/>
  <c r="U22" i="3"/>
  <c r="L25" i="5"/>
  <c r="S16" i="5"/>
  <c r="E1105" i="2"/>
  <c r="Z26" i="2"/>
  <c r="AB26" i="2"/>
  <c r="V26" i="2"/>
  <c r="O59" i="3"/>
  <c r="X26" i="2"/>
  <c r="AA898" i="2"/>
  <c r="E975" i="2" s="1"/>
  <c r="F1000" i="2" s="1"/>
  <c r="J32" i="2"/>
  <c r="H625" i="2"/>
  <c r="S10" i="5"/>
  <c r="V13" i="3"/>
  <c r="S10" i="4"/>
  <c r="U10" i="4" s="1"/>
  <c r="I32" i="2"/>
  <c r="V25" i="2"/>
  <c r="I35" i="2"/>
  <c r="K683" i="2"/>
  <c r="AC506" i="2"/>
  <c r="I1133" i="2"/>
  <c r="M31" i="3"/>
  <c r="H684" i="2"/>
  <c r="Z25" i="2"/>
  <c r="AC1042" i="2"/>
  <c r="X510" i="2"/>
  <c r="S22" i="5"/>
  <c r="S18" i="5"/>
  <c r="F621" i="2"/>
  <c r="E660" i="2"/>
  <c r="K682" i="2"/>
  <c r="X25" i="2"/>
  <c r="N703" i="2"/>
  <c r="L680" i="2"/>
  <c r="Z898" i="2"/>
  <c r="B1011" i="2" s="1"/>
  <c r="O456" i="2"/>
  <c r="O47" i="3"/>
  <c r="H201" i="3" s="1"/>
  <c r="K201" i="3" s="1"/>
  <c r="S10" i="3"/>
  <c r="U10" i="3" s="1"/>
  <c r="K705" i="2"/>
  <c r="AB25" i="2"/>
  <c r="K707" i="2"/>
  <c r="O50" i="3"/>
  <c r="P454" i="2"/>
  <c r="C482" i="2"/>
  <c r="D482" i="2" s="1"/>
  <c r="B749" i="2" s="1"/>
  <c r="Y506" i="2"/>
  <c r="K25" i="4"/>
  <c r="AB17" i="2"/>
  <c r="O457" i="2"/>
  <c r="X509" i="2"/>
  <c r="O51" i="3"/>
  <c r="AB899" i="2"/>
  <c r="D506" i="2"/>
  <c r="AA1045" i="2"/>
  <c r="AD506" i="2"/>
  <c r="X18" i="2"/>
  <c r="V18" i="2"/>
  <c r="Z18" i="2"/>
  <c r="Z1045" i="2"/>
  <c r="C508" i="2"/>
  <c r="C510" i="2"/>
  <c r="Z899" i="2"/>
  <c r="AC899" i="2"/>
  <c r="AB898" i="2"/>
  <c r="C484" i="2"/>
  <c r="B25" i="3"/>
  <c r="Z1044" i="2"/>
  <c r="C483" i="2"/>
  <c r="Z17" i="2"/>
  <c r="X17" i="2"/>
  <c r="V17" i="2"/>
  <c r="AA895" i="2"/>
  <c r="Z14" i="2"/>
  <c r="AC895" i="2"/>
  <c r="V14" i="2"/>
  <c r="B25" i="4"/>
  <c r="AB1041" i="2"/>
  <c r="X14" i="2"/>
  <c r="AA1041" i="2"/>
  <c r="C218" i="4"/>
  <c r="Z1041" i="2"/>
  <c r="Z895" i="2"/>
  <c r="AB14" i="2"/>
  <c r="S29" i="2"/>
  <c r="A923" i="2"/>
  <c r="A531" i="2"/>
  <c r="V1038" i="2"/>
  <c r="C656" i="2"/>
  <c r="A974" i="2"/>
  <c r="A505" i="2"/>
  <c r="C620" i="2"/>
  <c r="C702" i="2"/>
  <c r="A1104" i="2"/>
  <c r="A423" i="2"/>
  <c r="A479" i="2"/>
  <c r="C679" i="2"/>
  <c r="A1132" i="2"/>
  <c r="C570" i="2"/>
  <c r="A949" i="2"/>
  <c r="A453" i="2"/>
  <c r="C725" i="2"/>
  <c r="A1159" i="2"/>
  <c r="Q423" i="2"/>
  <c r="N70" i="3"/>
  <c r="M88" i="3"/>
  <c r="S81" i="2"/>
  <c r="X1044" i="2"/>
  <c r="W898" i="2"/>
  <c r="E974" i="2" s="1"/>
  <c r="E977" i="2" s="1"/>
  <c r="X898" i="2"/>
  <c r="H974" i="2" s="1"/>
  <c r="H979" i="2" s="1"/>
  <c r="W1044" i="2"/>
  <c r="V898" i="2"/>
  <c r="B974" i="2" s="1"/>
  <c r="N50" i="3"/>
  <c r="Y898" i="2"/>
  <c r="K974" i="2" s="1"/>
  <c r="K979" i="2" s="1"/>
  <c r="V1044" i="2"/>
  <c r="H949" i="2"/>
  <c r="I974" i="2"/>
  <c r="O974" i="2" s="1"/>
  <c r="B1078" i="2"/>
  <c r="D656" i="2"/>
  <c r="Y1049" i="2"/>
  <c r="C1104" i="2"/>
  <c r="L1132" i="2"/>
  <c r="D1132" i="2"/>
  <c r="J620" i="2"/>
  <c r="K598" i="2"/>
  <c r="K599" i="2"/>
  <c r="Q595" i="2"/>
  <c r="Q413" i="2"/>
  <c r="Q414" i="2"/>
  <c r="S410" i="2"/>
  <c r="AC453" i="2"/>
  <c r="J454" i="2"/>
  <c r="H458" i="2"/>
  <c r="H456" i="2"/>
  <c r="M89" i="3"/>
  <c r="N90" i="3"/>
  <c r="B1003" i="2"/>
  <c r="B1002" i="2"/>
  <c r="Y1050" i="2"/>
  <c r="C1078" i="2"/>
  <c r="F679" i="2"/>
  <c r="E682" i="2"/>
  <c r="E684" i="2"/>
  <c r="N679" i="2"/>
  <c r="M679" i="2"/>
  <c r="G682" i="2"/>
  <c r="I680" i="2"/>
  <c r="G684" i="2"/>
  <c r="G683" i="2"/>
  <c r="L703" i="2"/>
  <c r="J705" i="2"/>
  <c r="J706" i="2"/>
  <c r="M702" i="2"/>
  <c r="J707" i="2"/>
  <c r="W1047" i="2"/>
  <c r="N53" i="3"/>
  <c r="X1047" i="2"/>
  <c r="V1047" i="2"/>
  <c r="I1082" i="2"/>
  <c r="I1081" i="2"/>
  <c r="I1083" i="2"/>
  <c r="E623" i="2"/>
  <c r="E625" i="2"/>
  <c r="E624" i="2"/>
  <c r="S412" i="2"/>
  <c r="G747" i="2" s="1"/>
  <c r="G768" i="2" s="1"/>
  <c r="K623" i="2"/>
  <c r="K624" i="2"/>
  <c r="K625" i="2"/>
  <c r="Q620" i="2"/>
  <c r="B1159" i="2"/>
  <c r="O621" i="2"/>
  <c r="N80" i="3"/>
  <c r="H200" i="3"/>
  <c r="K200" i="3" s="1"/>
  <c r="AC479" i="2"/>
  <c r="N482" i="2"/>
  <c r="N483" i="2"/>
  <c r="P480" i="2"/>
  <c r="G506" i="2"/>
  <c r="E510" i="2"/>
  <c r="AC505" i="2"/>
  <c r="E508" i="2"/>
  <c r="AC531" i="2"/>
  <c r="Z536" i="2"/>
  <c r="Z535" i="2"/>
  <c r="J409" i="2"/>
  <c r="I413" i="2"/>
  <c r="I412" i="2"/>
  <c r="AD409" i="2"/>
  <c r="I414" i="2"/>
  <c r="AD453" i="2"/>
  <c r="X456" i="2"/>
  <c r="X458" i="2"/>
  <c r="X457" i="2"/>
  <c r="R484" i="2"/>
  <c r="S479" i="2"/>
  <c r="AD479" i="2"/>
  <c r="R483" i="2"/>
  <c r="O510" i="2"/>
  <c r="P505" i="2"/>
  <c r="O509" i="2"/>
  <c r="AD505" i="2"/>
  <c r="O508" i="2"/>
  <c r="C536" i="2"/>
  <c r="C535" i="2"/>
  <c r="D531" i="2"/>
  <c r="AD531" i="2"/>
  <c r="AA536" i="2"/>
  <c r="AA534" i="2"/>
  <c r="AB531" i="2"/>
  <c r="M59" i="2"/>
  <c r="G479" i="2"/>
  <c r="D505" i="2"/>
  <c r="B508" i="2"/>
  <c r="B509" i="2"/>
  <c r="B510" i="2"/>
  <c r="Z510" i="2"/>
  <c r="AC504" i="2"/>
  <c r="AB505" i="2"/>
  <c r="Z509" i="2"/>
  <c r="Z508" i="2"/>
  <c r="Y504" i="2"/>
  <c r="W508" i="2"/>
  <c r="W510" i="2"/>
  <c r="W509" i="2"/>
  <c r="AC503" i="2"/>
  <c r="T509" i="2"/>
  <c r="V503" i="2"/>
  <c r="AC502" i="2"/>
  <c r="T510" i="2"/>
  <c r="S502" i="2"/>
  <c r="AC501" i="2"/>
  <c r="Q509" i="2"/>
  <c r="Q510" i="2"/>
  <c r="N510" i="2"/>
  <c r="P501" i="2"/>
  <c r="AC500" i="2"/>
  <c r="M569" i="2"/>
  <c r="M923" i="2"/>
  <c r="F998" i="2"/>
  <c r="N973" i="2"/>
  <c r="G974" i="2"/>
  <c r="D973" i="2"/>
  <c r="M916" i="2"/>
  <c r="M562" i="2"/>
  <c r="N915" i="2"/>
  <c r="K1100" i="2"/>
  <c r="H1096" i="2"/>
  <c r="U1029" i="2"/>
  <c r="I1124" i="2"/>
  <c r="O610" i="2"/>
  <c r="P609" i="2"/>
  <c r="J992" i="2"/>
  <c r="L1151" i="2"/>
  <c r="L1067" i="2"/>
  <c r="M456" i="2"/>
  <c r="E748" i="2" s="1"/>
  <c r="K573" i="2"/>
  <c r="G968" i="2"/>
  <c r="N967" i="2"/>
  <c r="F992" i="2"/>
  <c r="Q617" i="2"/>
  <c r="O617" i="2"/>
  <c r="N624" i="2"/>
  <c r="L591" i="2"/>
  <c r="Q591" i="2"/>
  <c r="J616" i="2"/>
  <c r="K600" i="2"/>
  <c r="D614" i="2"/>
  <c r="F589" i="2"/>
  <c r="Q589" i="2"/>
  <c r="E600" i="2"/>
  <c r="G558" i="2"/>
  <c r="I559" i="2" s="1"/>
  <c r="G912" i="2"/>
  <c r="N911" i="2"/>
  <c r="J561" i="2"/>
  <c r="M990" i="2"/>
  <c r="P448" i="2"/>
  <c r="N458" i="2"/>
  <c r="AC447" i="2"/>
  <c r="L994" i="2"/>
  <c r="N969" i="2"/>
  <c r="B1004" i="2"/>
  <c r="N991" i="2"/>
  <c r="N995" i="2"/>
  <c r="H1095" i="2"/>
  <c r="Q1029" i="2"/>
  <c r="I1123" i="2"/>
  <c r="L1123" i="2" s="1"/>
  <c r="G1152" i="2"/>
  <c r="D619" i="2"/>
  <c r="E599" i="2"/>
  <c r="F594" i="2"/>
  <c r="E598" i="2"/>
  <c r="Q594" i="2"/>
  <c r="N964" i="2"/>
  <c r="I989" i="2"/>
  <c r="D919" i="2"/>
  <c r="D565" i="2"/>
  <c r="H563" i="2"/>
  <c r="O916" i="2"/>
  <c r="G916" i="2"/>
  <c r="H946" i="2"/>
  <c r="I971" i="2"/>
  <c r="L988" i="2"/>
  <c r="N963" i="2"/>
  <c r="L966" i="2"/>
  <c r="K941" i="2"/>
  <c r="M401" i="2"/>
  <c r="AD401" i="2"/>
  <c r="B944" i="2"/>
  <c r="D945" i="2" s="1"/>
  <c r="C969" i="2"/>
  <c r="A963" i="2"/>
  <c r="A1093" i="2"/>
  <c r="C584" i="2"/>
  <c r="A468" i="2"/>
  <c r="A988" i="2"/>
  <c r="A520" i="2"/>
  <c r="A1148" i="2"/>
  <c r="A912" i="2"/>
  <c r="H82" i="3"/>
  <c r="G81" i="3"/>
  <c r="D1074" i="2"/>
  <c r="L948" i="2"/>
  <c r="O719" i="2" l="1"/>
  <c r="J943" i="2"/>
  <c r="E423" i="2"/>
  <c r="K423" i="2"/>
  <c r="O699" i="2"/>
  <c r="P965" i="2"/>
  <c r="H423" i="2"/>
  <c r="L1095" i="2"/>
  <c r="M625" i="2"/>
  <c r="O723" i="2"/>
  <c r="O726" i="2"/>
  <c r="J914" i="2"/>
  <c r="F926" i="2"/>
  <c r="P591" i="2"/>
  <c r="J942" i="2"/>
  <c r="L1124" i="2"/>
  <c r="O694" i="2"/>
  <c r="C117" i="4"/>
  <c r="J1079" i="2"/>
  <c r="G458" i="2"/>
  <c r="D483" i="2"/>
  <c r="J1132" i="2"/>
  <c r="O923" i="2"/>
  <c r="AB483" i="2"/>
  <c r="F730" i="2"/>
  <c r="K1104" i="2"/>
  <c r="D456" i="2"/>
  <c r="B748" i="2" s="1"/>
  <c r="B769" i="2" s="1"/>
  <c r="B857" i="2" s="1"/>
  <c r="O725" i="2"/>
  <c r="Y534" i="2"/>
  <c r="I751" i="2" s="1"/>
  <c r="I772" i="2" s="1"/>
  <c r="I860" i="2" s="1"/>
  <c r="P535" i="2"/>
  <c r="S482" i="2"/>
  <c r="G749" i="2" s="1"/>
  <c r="G770" i="2" s="1"/>
  <c r="G858" i="2" s="1"/>
  <c r="J656" i="2"/>
  <c r="L657" i="2" s="1"/>
  <c r="D1105" i="2"/>
  <c r="M412" i="2"/>
  <c r="E747" i="2" s="1"/>
  <c r="E768" i="2" s="1"/>
  <c r="E856" i="2" s="1"/>
  <c r="L1150" i="2"/>
  <c r="O676" i="2"/>
  <c r="O946" i="2"/>
  <c r="D946" i="2"/>
  <c r="D534" i="2"/>
  <c r="B751" i="2" s="1"/>
  <c r="B772" i="2" s="1"/>
  <c r="B860" i="2" s="1"/>
  <c r="D1151" i="2"/>
  <c r="G940" i="2"/>
  <c r="G535" i="2"/>
  <c r="E1083" i="2"/>
  <c r="O673" i="2"/>
  <c r="O650" i="2"/>
  <c r="P413" i="2"/>
  <c r="O693" i="2"/>
  <c r="O715" i="2"/>
  <c r="V20" i="4"/>
  <c r="V18" i="4"/>
  <c r="K389" i="3"/>
  <c r="C117" i="5"/>
  <c r="G412" i="3"/>
  <c r="E66" i="3"/>
  <c r="G236" i="4"/>
  <c r="S142" i="5"/>
  <c r="H1083" i="2"/>
  <c r="L1102" i="2"/>
  <c r="D413" i="2"/>
  <c r="AE520" i="2"/>
  <c r="N571" i="2"/>
  <c r="N575" i="2" s="1"/>
  <c r="N632" i="2" s="1"/>
  <c r="AE495" i="2"/>
  <c r="D66" i="3"/>
  <c r="N423" i="2"/>
  <c r="B1109" i="2"/>
  <c r="M728" i="2"/>
  <c r="G233" i="3"/>
  <c r="G234" i="3" s="1"/>
  <c r="G62" i="5"/>
  <c r="G62" i="4"/>
  <c r="U21" i="5"/>
  <c r="U17" i="5"/>
  <c r="U19" i="5"/>
  <c r="I706" i="2"/>
  <c r="P534" i="2"/>
  <c r="F751" i="2" s="1"/>
  <c r="F772" i="2" s="1"/>
  <c r="F860" i="2" s="1"/>
  <c r="V536" i="2"/>
  <c r="M457" i="2"/>
  <c r="D457" i="2"/>
  <c r="I728" i="2"/>
  <c r="P758" i="2" s="1"/>
  <c r="P779" i="2" s="1"/>
  <c r="P867" i="2" s="1"/>
  <c r="H1163" i="2"/>
  <c r="J598" i="2"/>
  <c r="L598" i="2" s="1"/>
  <c r="M753" i="2" s="1"/>
  <c r="M774" i="2" s="1"/>
  <c r="M862" i="2" s="1"/>
  <c r="K1068" i="2"/>
  <c r="V413" i="2"/>
  <c r="AE527" i="2"/>
  <c r="Y413" i="2"/>
  <c r="P584" i="2"/>
  <c r="R585" i="2" s="1"/>
  <c r="O721" i="2"/>
  <c r="K1004" i="2"/>
  <c r="I729" i="2"/>
  <c r="O674" i="2"/>
  <c r="M943" i="2"/>
  <c r="K949" i="2"/>
  <c r="K952" i="2" s="1"/>
  <c r="L926" i="2"/>
  <c r="M536" i="2"/>
  <c r="L928" i="2"/>
  <c r="N68" i="3"/>
  <c r="M66" i="3"/>
  <c r="H570" i="2"/>
  <c r="I570" i="2" s="1"/>
  <c r="F927" i="2"/>
  <c r="E979" i="2"/>
  <c r="G923" i="2"/>
  <c r="AE529" i="2"/>
  <c r="Y412" i="2"/>
  <c r="I747" i="2" s="1"/>
  <c r="I768" i="2" s="1"/>
  <c r="I856" i="2" s="1"/>
  <c r="V23" i="3"/>
  <c r="G1127" i="2"/>
  <c r="V20" i="3"/>
  <c r="G660" i="2"/>
  <c r="I660" i="2" s="1"/>
  <c r="L1103" i="2"/>
  <c r="M1103" i="2" s="1"/>
  <c r="J913" i="2"/>
  <c r="G1124" i="2"/>
  <c r="O692" i="2"/>
  <c r="D484" i="2"/>
  <c r="O720" i="2"/>
  <c r="AE530" i="2"/>
  <c r="G1082" i="2"/>
  <c r="F707" i="2"/>
  <c r="O697" i="2"/>
  <c r="N918" i="2"/>
  <c r="P919" i="2" s="1"/>
  <c r="Y535" i="2"/>
  <c r="L1152" i="2"/>
  <c r="Y483" i="2"/>
  <c r="AC412" i="2"/>
  <c r="J1148" i="2"/>
  <c r="O700" i="2"/>
  <c r="J919" i="2"/>
  <c r="O670" i="2"/>
  <c r="U16" i="3"/>
  <c r="AE498" i="2"/>
  <c r="V457" i="2"/>
  <c r="AE442" i="2"/>
  <c r="AE478" i="2"/>
  <c r="P922" i="2"/>
  <c r="AE497" i="2"/>
  <c r="T37" i="2"/>
  <c r="T39" i="2"/>
  <c r="F706" i="2"/>
  <c r="P414" i="2"/>
  <c r="Y457" i="2"/>
  <c r="O698" i="2"/>
  <c r="J66" i="3"/>
  <c r="G947" i="2"/>
  <c r="O649" i="2"/>
  <c r="C383" i="3"/>
  <c r="D389" i="3"/>
  <c r="D412" i="3" s="1"/>
  <c r="L389" i="3"/>
  <c r="L220" i="5" s="1"/>
  <c r="E94" i="3"/>
  <c r="H389" i="3"/>
  <c r="H220" i="4" s="1"/>
  <c r="J389" i="3"/>
  <c r="I236" i="5"/>
  <c r="C236" i="5"/>
  <c r="F389" i="3"/>
  <c r="F220" i="4" s="1"/>
  <c r="I389" i="3"/>
  <c r="I412" i="3" s="1"/>
  <c r="C220" i="5"/>
  <c r="C220" i="4"/>
  <c r="C223" i="4" s="1"/>
  <c r="S371" i="3"/>
  <c r="E389" i="3"/>
  <c r="E220" i="4" s="1"/>
  <c r="E55" i="1"/>
  <c r="H52" i="1" s="1"/>
  <c r="K236" i="4"/>
  <c r="K236" i="5"/>
  <c r="L66" i="3"/>
  <c r="D94" i="3"/>
  <c r="I94" i="3"/>
  <c r="G413" i="2"/>
  <c r="D598" i="2"/>
  <c r="F598" i="2" s="1"/>
  <c r="K753" i="2" s="1"/>
  <c r="K774" i="2" s="1"/>
  <c r="L1099" i="2"/>
  <c r="M1099" i="2" s="1"/>
  <c r="AE494" i="2"/>
  <c r="O87" i="3"/>
  <c r="B264" i="3" s="1"/>
  <c r="D264" i="3" s="1"/>
  <c r="S302" i="3" s="1"/>
  <c r="H928" i="2"/>
  <c r="AE472" i="2"/>
  <c r="O675" i="2"/>
  <c r="AE526" i="2"/>
  <c r="D944" i="2"/>
  <c r="N942" i="2"/>
  <c r="Z423" i="2"/>
  <c r="AE450" i="2"/>
  <c r="M1094" i="2"/>
  <c r="P536" i="2"/>
  <c r="P412" i="2"/>
  <c r="F747" i="2" s="1"/>
  <c r="F768" i="2" s="1"/>
  <c r="F856" i="2" s="1"/>
  <c r="M1077" i="2"/>
  <c r="AE470" i="2"/>
  <c r="F729" i="2"/>
  <c r="L1129" i="2"/>
  <c r="M1129" i="2" s="1"/>
  <c r="L682" i="2"/>
  <c r="Q756" i="2" s="1"/>
  <c r="Q777" i="2" s="1"/>
  <c r="Q865" i="2" s="1"/>
  <c r="V32" i="2"/>
  <c r="D1093" i="2"/>
  <c r="F595" i="2"/>
  <c r="K1121" i="2"/>
  <c r="G509" i="2"/>
  <c r="H734" i="2"/>
  <c r="S813" i="2"/>
  <c r="O972" i="2"/>
  <c r="P613" i="2"/>
  <c r="R614" i="2" s="1"/>
  <c r="P589" i="2"/>
  <c r="R590" i="2" s="1"/>
  <c r="O668" i="2"/>
  <c r="AE471" i="2"/>
  <c r="S458" i="2"/>
  <c r="N55" i="2"/>
  <c r="L35" i="4"/>
  <c r="V16" i="3"/>
  <c r="O29" i="4"/>
  <c r="O31" i="4"/>
  <c r="J29" i="5"/>
  <c r="I29" i="5"/>
  <c r="G29" i="4"/>
  <c r="G31" i="4"/>
  <c r="K35" i="5"/>
  <c r="J484" i="2"/>
  <c r="U18" i="4"/>
  <c r="AE473" i="2"/>
  <c r="L29" i="4"/>
  <c r="O947" i="2"/>
  <c r="S534" i="2"/>
  <c r="G751" i="2" s="1"/>
  <c r="G772" i="2" s="1"/>
  <c r="G860" i="2" s="1"/>
  <c r="M1102" i="2"/>
  <c r="J1128" i="2"/>
  <c r="R609" i="2"/>
  <c r="P588" i="2"/>
  <c r="L1130" i="2"/>
  <c r="R610" i="2"/>
  <c r="Y414" i="2"/>
  <c r="K1149" i="2"/>
  <c r="M1150" i="2" s="1"/>
  <c r="I656" i="2"/>
  <c r="M651" i="2"/>
  <c r="O652" i="2" s="1"/>
  <c r="G659" i="2"/>
  <c r="I659" i="2" s="1"/>
  <c r="P755" i="2" s="1"/>
  <c r="I705" i="2"/>
  <c r="P757" i="2" s="1"/>
  <c r="P778" i="2" s="1"/>
  <c r="P866" i="2" s="1"/>
  <c r="C1136" i="2"/>
  <c r="G661" i="2"/>
  <c r="I661" i="2" s="1"/>
  <c r="D414" i="2"/>
  <c r="D914" i="2"/>
  <c r="O944" i="2"/>
  <c r="P944" i="2" s="1"/>
  <c r="K1069" i="2"/>
  <c r="M1070" i="2" s="1"/>
  <c r="J31" i="5"/>
  <c r="AE519" i="2"/>
  <c r="Y482" i="2"/>
  <c r="I749" i="2" s="1"/>
  <c r="I770" i="2" s="1"/>
  <c r="I858" i="2" s="1"/>
  <c r="N922" i="2"/>
  <c r="C94" i="3"/>
  <c r="M655" i="2"/>
  <c r="O656" i="2" s="1"/>
  <c r="O939" i="2"/>
  <c r="P596" i="2"/>
  <c r="J1078" i="2"/>
  <c r="J412" i="2"/>
  <c r="D747" i="2" s="1"/>
  <c r="D768" i="2" s="1"/>
  <c r="D856" i="2" s="1"/>
  <c r="AE400" i="2"/>
  <c r="R584" i="2"/>
  <c r="S536" i="2"/>
  <c r="I571" i="2"/>
  <c r="AE445" i="2"/>
  <c r="G625" i="2"/>
  <c r="I625" i="2" s="1"/>
  <c r="S842" i="2"/>
  <c r="G921" i="2"/>
  <c r="H1081" i="2"/>
  <c r="J1081" i="2" s="1"/>
  <c r="H1082" i="2"/>
  <c r="I618" i="2"/>
  <c r="L94" i="3"/>
  <c r="K1067" i="2"/>
  <c r="M1068" i="2" s="1"/>
  <c r="T423" i="2"/>
  <c r="J508" i="2"/>
  <c r="D750" i="2" s="1"/>
  <c r="D771" i="2" s="1"/>
  <c r="D859" i="2" s="1"/>
  <c r="AB457" i="2"/>
  <c r="B423" i="2"/>
  <c r="AB482" i="2"/>
  <c r="J749" i="2" s="1"/>
  <c r="J770" i="2" s="1"/>
  <c r="J858" i="2" s="1"/>
  <c r="G482" i="2"/>
  <c r="C749" i="2" s="1"/>
  <c r="C770" i="2" s="1"/>
  <c r="C858" i="2" s="1"/>
  <c r="M510" i="2"/>
  <c r="P456" i="2"/>
  <c r="F748" i="2" s="1"/>
  <c r="F769" i="2" s="1"/>
  <c r="F857" i="2" s="1"/>
  <c r="AB414" i="2"/>
  <c r="J1153" i="2"/>
  <c r="M598" i="2"/>
  <c r="O598" i="2" s="1"/>
  <c r="N753" i="2" s="1"/>
  <c r="N774" i="2" s="1"/>
  <c r="N862" i="2" s="1"/>
  <c r="M599" i="2"/>
  <c r="O599" i="2" s="1"/>
  <c r="M413" i="2"/>
  <c r="L1156" i="2"/>
  <c r="M1156" i="2" s="1"/>
  <c r="K1092" i="2"/>
  <c r="J1095" i="2"/>
  <c r="R618" i="2"/>
  <c r="V483" i="2"/>
  <c r="B94" i="3"/>
  <c r="O968" i="2"/>
  <c r="P968" i="2" s="1"/>
  <c r="J457" i="2"/>
  <c r="O691" i="2"/>
  <c r="G412" i="2"/>
  <c r="C747" i="2" s="1"/>
  <c r="C768" i="2" s="1"/>
  <c r="C856" i="2" s="1"/>
  <c r="G456" i="2"/>
  <c r="C748" i="2" s="1"/>
  <c r="C769" i="2" s="1"/>
  <c r="F728" i="2"/>
  <c r="O758" i="2" s="1"/>
  <c r="O779" i="2" s="1"/>
  <c r="M1067" i="2"/>
  <c r="P457" i="2"/>
  <c r="AE499" i="2"/>
  <c r="P997" i="2"/>
  <c r="G1098" i="2"/>
  <c r="M729" i="2"/>
  <c r="O669" i="2"/>
  <c r="Q541" i="2"/>
  <c r="H1164" i="2"/>
  <c r="O671" i="2"/>
  <c r="P594" i="2"/>
  <c r="R595" i="2" s="1"/>
  <c r="N661" i="2"/>
  <c r="M414" i="2"/>
  <c r="M653" i="2"/>
  <c r="O654" i="2" s="1"/>
  <c r="AE503" i="2"/>
  <c r="L1125" i="2"/>
  <c r="M1125" i="2" s="1"/>
  <c r="G536" i="2"/>
  <c r="J1083" i="2"/>
  <c r="AE403" i="2"/>
  <c r="K1127" i="2"/>
  <c r="O913" i="2"/>
  <c r="AE524" i="2"/>
  <c r="AE500" i="2"/>
  <c r="G483" i="2"/>
  <c r="M1153" i="2"/>
  <c r="Y484" i="2"/>
  <c r="L18" i="1"/>
  <c r="N35" i="5"/>
  <c r="L729" i="2"/>
  <c r="Q35" i="5"/>
  <c r="Q29" i="5"/>
  <c r="M31" i="4"/>
  <c r="M35" i="4"/>
  <c r="M31" i="5"/>
  <c r="I707" i="2"/>
  <c r="N59" i="2"/>
  <c r="N89" i="3"/>
  <c r="Q89" i="3" s="1"/>
  <c r="B97" i="5" s="1"/>
  <c r="O35" i="5"/>
  <c r="O29" i="5"/>
  <c r="AB535" i="2"/>
  <c r="AB484" i="2"/>
  <c r="AB458" i="2"/>
  <c r="H29" i="4"/>
  <c r="H31" i="4"/>
  <c r="F29" i="5"/>
  <c r="F31" i="5"/>
  <c r="F31" i="4"/>
  <c r="M534" i="2"/>
  <c r="E751" i="2" s="1"/>
  <c r="E772" i="2" s="1"/>
  <c r="E860" i="2" s="1"/>
  <c r="AC1044" i="2"/>
  <c r="D31" i="5"/>
  <c r="B29" i="5"/>
  <c r="V21" i="5"/>
  <c r="C97" i="5"/>
  <c r="V19" i="5"/>
  <c r="F1136" i="2"/>
  <c r="K31" i="3"/>
  <c r="N31" i="3"/>
  <c r="I29" i="3"/>
  <c r="K29" i="3"/>
  <c r="K29" i="5"/>
  <c r="Q29" i="4"/>
  <c r="M535" i="2"/>
  <c r="N660" i="2"/>
  <c r="G457" i="2"/>
  <c r="C35" i="5"/>
  <c r="E29" i="5"/>
  <c r="Q31" i="4"/>
  <c r="N659" i="2"/>
  <c r="G484" i="2"/>
  <c r="M508" i="2"/>
  <c r="E750" i="2" s="1"/>
  <c r="E771" i="2" s="1"/>
  <c r="E859" i="2" s="1"/>
  <c r="D29" i="5"/>
  <c r="I31" i="5"/>
  <c r="J509" i="2"/>
  <c r="N29" i="4"/>
  <c r="J483" i="2"/>
  <c r="P484" i="2"/>
  <c r="E35" i="5"/>
  <c r="N31" i="4"/>
  <c r="C266" i="3"/>
  <c r="F29" i="4"/>
  <c r="E1000" i="2"/>
  <c r="F542" i="2"/>
  <c r="L730" i="2"/>
  <c r="S413" i="2"/>
  <c r="I31" i="3"/>
  <c r="U22" i="4"/>
  <c r="U20" i="3"/>
  <c r="N29" i="3"/>
  <c r="L31" i="3"/>
  <c r="L29" i="3"/>
  <c r="E31" i="3"/>
  <c r="E29" i="3"/>
  <c r="V12" i="3"/>
  <c r="S414" i="2"/>
  <c r="L705" i="2"/>
  <c r="Q757" i="2" s="1"/>
  <c r="Q778" i="2" s="1"/>
  <c r="S535" i="2"/>
  <c r="G623" i="2"/>
  <c r="I623" i="2" s="1"/>
  <c r="L754" i="2" s="1"/>
  <c r="L775" i="2" s="1"/>
  <c r="L863" i="2" s="1"/>
  <c r="M1000" i="2"/>
  <c r="T541" i="2"/>
  <c r="K1003" i="2"/>
  <c r="H1002" i="2"/>
  <c r="V414" i="2"/>
  <c r="H1003" i="2"/>
  <c r="J458" i="2"/>
  <c r="V484" i="2"/>
  <c r="V456" i="2"/>
  <c r="H748" i="2" s="1"/>
  <c r="H769" i="2" s="1"/>
  <c r="H857" i="2" s="1"/>
  <c r="R596" i="2"/>
  <c r="G624" i="2"/>
  <c r="I624" i="2" s="1"/>
  <c r="J510" i="2"/>
  <c r="B953" i="2"/>
  <c r="D458" i="2"/>
  <c r="AE451" i="2"/>
  <c r="AE408" i="2"/>
  <c r="AC413" i="2"/>
  <c r="AE523" i="2"/>
  <c r="I647" i="2"/>
  <c r="M646" i="2"/>
  <c r="O647" i="2" s="1"/>
  <c r="E559" i="2"/>
  <c r="F559" i="2" s="1"/>
  <c r="D912" i="2"/>
  <c r="AE410" i="2"/>
  <c r="K1131" i="2"/>
  <c r="M1132" i="2" s="1"/>
  <c r="K543" i="2"/>
  <c r="O696" i="2"/>
  <c r="M1152" i="2"/>
  <c r="G1067" i="2"/>
  <c r="J414" i="2"/>
  <c r="AE493" i="2"/>
  <c r="AE475" i="2"/>
  <c r="P610" i="2"/>
  <c r="R611" i="2" s="1"/>
  <c r="D600" i="2"/>
  <c r="F600" i="2" s="1"/>
  <c r="F541" i="2"/>
  <c r="J1068" i="2"/>
  <c r="O695" i="2"/>
  <c r="AA542" i="2"/>
  <c r="AE399" i="2"/>
  <c r="N945" i="2"/>
  <c r="P946" i="2" s="1"/>
  <c r="AE496" i="2"/>
  <c r="P458" i="2"/>
  <c r="M730" i="2"/>
  <c r="V458" i="2"/>
  <c r="L541" i="2"/>
  <c r="G566" i="2"/>
  <c r="G920" i="2"/>
  <c r="E928" i="2"/>
  <c r="L1121" i="2"/>
  <c r="M1121" i="2" s="1"/>
  <c r="AE477" i="2"/>
  <c r="P568" i="2"/>
  <c r="J968" i="2"/>
  <c r="O543" i="2"/>
  <c r="Y536" i="2"/>
  <c r="K1071" i="2"/>
  <c r="M1072" i="2" s="1"/>
  <c r="D1154" i="2"/>
  <c r="O993" i="2"/>
  <c r="P993" i="2" s="1"/>
  <c r="AE407" i="2"/>
  <c r="V482" i="2"/>
  <c r="H749" i="2" s="1"/>
  <c r="H770" i="2" s="1"/>
  <c r="H858" i="2" s="1"/>
  <c r="G1069" i="2"/>
  <c r="AE525" i="2"/>
  <c r="M654" i="2"/>
  <c r="O655" i="2" s="1"/>
  <c r="I655" i="2"/>
  <c r="D964" i="2"/>
  <c r="O964" i="2"/>
  <c r="P964" i="2" s="1"/>
  <c r="AB412" i="2"/>
  <c r="J747" i="2" s="1"/>
  <c r="J768" i="2" s="1"/>
  <c r="J856" i="2" s="1"/>
  <c r="V535" i="2"/>
  <c r="K94" i="3"/>
  <c r="L1069" i="2"/>
  <c r="J946" i="2"/>
  <c r="J534" i="2"/>
  <c r="D751" i="2" s="1"/>
  <c r="D772" i="2" s="1"/>
  <c r="D860" i="2" s="1"/>
  <c r="G1073" i="2"/>
  <c r="E735" i="2"/>
  <c r="L1093" i="2"/>
  <c r="AE476" i="2"/>
  <c r="L1128" i="2"/>
  <c r="K1072" i="2"/>
  <c r="M1073" i="2" s="1"/>
  <c r="D1121" i="2"/>
  <c r="D941" i="2"/>
  <c r="I730" i="2"/>
  <c r="N919" i="2"/>
  <c r="H735" i="2"/>
  <c r="G220" i="4"/>
  <c r="G220" i="5"/>
  <c r="N61" i="3"/>
  <c r="N64" i="3" s="1"/>
  <c r="N66" i="3" s="1"/>
  <c r="L1131" i="2"/>
  <c r="H220" i="5"/>
  <c r="E1002" i="2"/>
  <c r="N31" i="5"/>
  <c r="Y1043" i="2"/>
  <c r="M561" i="2"/>
  <c r="O562" i="2" s="1"/>
  <c r="M915" i="2"/>
  <c r="G1099" i="2"/>
  <c r="N999" i="2"/>
  <c r="N1002" i="2" s="1"/>
  <c r="F1137" i="2"/>
  <c r="E1109" i="2"/>
  <c r="P87" i="3"/>
  <c r="B95" i="4" s="1"/>
  <c r="D95" i="4" s="1"/>
  <c r="S133" i="4" s="1"/>
  <c r="E1003" i="2"/>
  <c r="K928" i="2"/>
  <c r="M928" i="2" s="1"/>
  <c r="N82" i="3"/>
  <c r="M35" i="5"/>
  <c r="U20" i="4"/>
  <c r="U23" i="3"/>
  <c r="AE404" i="2"/>
  <c r="H568" i="2"/>
  <c r="I568" i="2" s="1"/>
  <c r="Q87" i="3"/>
  <c r="B95" i="5" s="1"/>
  <c r="D95" i="5" s="1"/>
  <c r="S133" i="5" s="1"/>
  <c r="C31" i="4"/>
  <c r="U23" i="4"/>
  <c r="V23" i="4"/>
  <c r="M220" i="5"/>
  <c r="M220" i="4"/>
  <c r="C66" i="3"/>
  <c r="I646" i="2"/>
  <c r="M645" i="2"/>
  <c r="O646" i="2" s="1"/>
  <c r="J229" i="5"/>
  <c r="J229" i="4"/>
  <c r="M1123" i="2"/>
  <c r="O724" i="2"/>
  <c r="N728" i="2"/>
  <c r="L1126" i="2"/>
  <c r="M1126" i="2" s="1"/>
  <c r="K422" i="2"/>
  <c r="Q422" i="2"/>
  <c r="W422" i="2"/>
  <c r="Z422" i="2"/>
  <c r="E422" i="2"/>
  <c r="H422" i="2"/>
  <c r="N422" i="2"/>
  <c r="B422" i="2"/>
  <c r="T422" i="2"/>
  <c r="H1108" i="2"/>
  <c r="H1107" i="2"/>
  <c r="J1104" i="2"/>
  <c r="H236" i="5"/>
  <c r="H236" i="4"/>
  <c r="J569" i="2"/>
  <c r="J923" i="2"/>
  <c r="E736" i="2"/>
  <c r="V23" i="5"/>
  <c r="L569" i="2"/>
  <c r="B29" i="3"/>
  <c r="H736" i="2"/>
  <c r="AE452" i="2"/>
  <c r="O921" i="2"/>
  <c r="C29" i="4"/>
  <c r="C92" i="4"/>
  <c r="W420" i="2"/>
  <c r="T420" i="2"/>
  <c r="N420" i="2"/>
  <c r="K420" i="2"/>
  <c r="H420" i="2"/>
  <c r="E420" i="2"/>
  <c r="B420" i="2"/>
  <c r="Z420" i="2"/>
  <c r="Q420" i="2"/>
  <c r="Y1041" i="2"/>
  <c r="O940" i="2"/>
  <c r="P940" i="2" s="1"/>
  <c r="D963" i="2"/>
  <c r="O963" i="2"/>
  <c r="P963" i="2" s="1"/>
  <c r="K220" i="5"/>
  <c r="K220" i="4"/>
  <c r="H229" i="5"/>
  <c r="H229" i="4"/>
  <c r="F229" i="5"/>
  <c r="F229" i="4"/>
  <c r="K66" i="3"/>
  <c r="G29" i="5"/>
  <c r="P593" i="2"/>
  <c r="R594" i="2" s="1"/>
  <c r="I594" i="2"/>
  <c r="G598" i="2"/>
  <c r="I598" i="2" s="1"/>
  <c r="L753" i="2" s="1"/>
  <c r="L774" i="2" s="1"/>
  <c r="R591" i="2"/>
  <c r="AE397" i="2"/>
  <c r="AE406" i="2"/>
  <c r="D569" i="2"/>
  <c r="D923" i="2"/>
  <c r="K559" i="2"/>
  <c r="L559" i="2" s="1"/>
  <c r="O912" i="2"/>
  <c r="P912" i="2" s="1"/>
  <c r="J912" i="2"/>
  <c r="K229" i="4"/>
  <c r="K229" i="5"/>
  <c r="K412" i="3"/>
  <c r="E542" i="2"/>
  <c r="F928" i="2"/>
  <c r="G1000" i="2"/>
  <c r="E31" i="4"/>
  <c r="E954" i="2"/>
  <c r="G599" i="2"/>
  <c r="I599" i="2" s="1"/>
  <c r="J536" i="2"/>
  <c r="AE474" i="2"/>
  <c r="V17" i="5"/>
  <c r="J236" i="5"/>
  <c r="J412" i="3"/>
  <c r="J236" i="4"/>
  <c r="K1075" i="2"/>
  <c r="M1076" i="2" s="1"/>
  <c r="G914" i="2"/>
  <c r="I229" i="4"/>
  <c r="I229" i="5"/>
  <c r="J567" i="2"/>
  <c r="N920" i="2"/>
  <c r="J921" i="2"/>
  <c r="E1107" i="2"/>
  <c r="G1104" i="2"/>
  <c r="K1103" i="2"/>
  <c r="K1107" i="2" s="1"/>
  <c r="AC414" i="2"/>
  <c r="AE528" i="2"/>
  <c r="C229" i="4"/>
  <c r="C229" i="5"/>
  <c r="C412" i="3"/>
  <c r="O970" i="2"/>
  <c r="P970" i="2" s="1"/>
  <c r="F1135" i="2"/>
  <c r="K1129" i="2"/>
  <c r="G1130" i="2"/>
  <c r="M1075" i="2"/>
  <c r="J1123" i="2"/>
  <c r="L589" i="2"/>
  <c r="U543" i="2"/>
  <c r="E29" i="4"/>
  <c r="G1128" i="2"/>
  <c r="N729" i="2"/>
  <c r="H542" i="2"/>
  <c r="U541" i="2"/>
  <c r="AB413" i="2"/>
  <c r="B35" i="5"/>
  <c r="F236" i="4"/>
  <c r="F236" i="5"/>
  <c r="F1109" i="2"/>
  <c r="G1096" i="2"/>
  <c r="I587" i="2"/>
  <c r="G600" i="2"/>
  <c r="I600" i="2" s="1"/>
  <c r="I1109" i="2"/>
  <c r="N730" i="2"/>
  <c r="H35" i="3"/>
  <c r="H29" i="3"/>
  <c r="H31" i="3"/>
  <c r="AE449" i="2"/>
  <c r="D913" i="2"/>
  <c r="G229" i="4"/>
  <c r="G229" i="5"/>
  <c r="J1149" i="2"/>
  <c r="L1149" i="2"/>
  <c r="G31" i="5"/>
  <c r="Z421" i="2"/>
  <c r="Q421" i="2"/>
  <c r="E421" i="2"/>
  <c r="B421" i="2"/>
  <c r="H421" i="2"/>
  <c r="T421" i="2"/>
  <c r="K421" i="2"/>
  <c r="W421" i="2"/>
  <c r="N421" i="2"/>
  <c r="D1101" i="2"/>
  <c r="L1101" i="2"/>
  <c r="M1101" i="2" s="1"/>
  <c r="M229" i="5"/>
  <c r="M229" i="4"/>
  <c r="J94" i="3"/>
  <c r="AE468" i="2"/>
  <c r="D236" i="5"/>
  <c r="D236" i="4"/>
  <c r="O948" i="2"/>
  <c r="P948" i="2" s="1"/>
  <c r="N938" i="2"/>
  <c r="Y1046" i="2"/>
  <c r="AE441" i="2"/>
  <c r="AE446" i="2"/>
  <c r="AE447" i="2"/>
  <c r="H560" i="2"/>
  <c r="G913" i="2"/>
  <c r="M412" i="3"/>
  <c r="M236" i="5"/>
  <c r="M236" i="4"/>
  <c r="I561" i="2"/>
  <c r="J220" i="5"/>
  <c r="J220" i="4"/>
  <c r="F220" i="5"/>
  <c r="F560" i="2"/>
  <c r="M647" i="2"/>
  <c r="O648" i="2" s="1"/>
  <c r="E229" i="5"/>
  <c r="E229" i="4"/>
  <c r="J1129" i="2"/>
  <c r="F543" i="2"/>
  <c r="D412" i="2"/>
  <c r="B747" i="2" s="1"/>
  <c r="B768" i="2" s="1"/>
  <c r="E236" i="4"/>
  <c r="E236" i="5"/>
  <c r="L1096" i="2"/>
  <c r="L1071" i="2"/>
  <c r="M1071" i="2" s="1"/>
  <c r="G1071" i="2"/>
  <c r="S172" i="5"/>
  <c r="AE522" i="2"/>
  <c r="P585" i="2"/>
  <c r="R586" i="2" s="1"/>
  <c r="D1097" i="2"/>
  <c r="H419" i="2"/>
  <c r="Z419" i="2"/>
  <c r="Q419" i="2"/>
  <c r="T419" i="2"/>
  <c r="K419" i="2"/>
  <c r="W419" i="2"/>
  <c r="N419" i="2"/>
  <c r="B419" i="2"/>
  <c r="E419" i="2"/>
  <c r="D967" i="2"/>
  <c r="O967" i="2"/>
  <c r="P967" i="2" s="1"/>
  <c r="D229" i="5"/>
  <c r="D229" i="4"/>
  <c r="E1108" i="2"/>
  <c r="P509" i="2"/>
  <c r="AE467" i="2"/>
  <c r="L611" i="2"/>
  <c r="L236" i="5"/>
  <c r="L236" i="4"/>
  <c r="I645" i="2"/>
  <c r="M644" i="2"/>
  <c r="O645" i="2" s="1"/>
  <c r="S202" i="5"/>
  <c r="B330" i="5"/>
  <c r="T330" i="5" s="1"/>
  <c r="I220" i="4"/>
  <c r="I220" i="5"/>
  <c r="L229" i="5"/>
  <c r="L229" i="4"/>
  <c r="K202" i="4"/>
  <c r="S172" i="4"/>
  <c r="O625" i="2"/>
  <c r="E1175" i="2"/>
  <c r="U19" i="4"/>
  <c r="V19" i="4"/>
  <c r="C269" i="3"/>
  <c r="C100" i="5"/>
  <c r="C100" i="4"/>
  <c r="O84" i="3"/>
  <c r="B261" i="3" s="1"/>
  <c r="P84" i="3"/>
  <c r="B92" i="4" s="1"/>
  <c r="Q84" i="3"/>
  <c r="B92" i="5" s="1"/>
  <c r="E1160" i="2"/>
  <c r="E950" i="2"/>
  <c r="J35" i="4"/>
  <c r="J31" i="4"/>
  <c r="U12" i="4"/>
  <c r="C92" i="5"/>
  <c r="C261" i="3"/>
  <c r="B924" i="2"/>
  <c r="D571" i="2" s="1"/>
  <c r="V15" i="4"/>
  <c r="C950" i="2"/>
  <c r="U542" i="2"/>
  <c r="L950" i="2"/>
  <c r="M950" i="2" s="1"/>
  <c r="K924" i="2"/>
  <c r="M571" i="2" s="1"/>
  <c r="E1011" i="2"/>
  <c r="C90" i="4"/>
  <c r="H856" i="2"/>
  <c r="Z424" i="2"/>
  <c r="G35" i="3"/>
  <c r="D1173" i="2"/>
  <c r="E1173" i="2" s="1"/>
  <c r="H1160" i="2"/>
  <c r="C1013" i="2"/>
  <c r="D1013" i="2"/>
  <c r="I950" i="2"/>
  <c r="J950" i="2" s="1"/>
  <c r="F950" i="2"/>
  <c r="G950" i="2" s="1"/>
  <c r="G29" i="3"/>
  <c r="B1160" i="2"/>
  <c r="AC1046" i="2"/>
  <c r="U11" i="5"/>
  <c r="F29" i="3"/>
  <c r="F31" i="3"/>
  <c r="U13" i="3"/>
  <c r="D657" i="2"/>
  <c r="B1176" i="2"/>
  <c r="B1079" i="2"/>
  <c r="C90" i="5"/>
  <c r="K1000" i="2"/>
  <c r="V10" i="4"/>
  <c r="F975" i="2"/>
  <c r="G975" i="2" s="1"/>
  <c r="U13" i="4"/>
  <c r="D35" i="4"/>
  <c r="D29" i="4"/>
  <c r="N50" i="2"/>
  <c r="C31" i="5"/>
  <c r="C29" i="3"/>
  <c r="AC1043" i="2"/>
  <c r="C35" i="3"/>
  <c r="C256" i="3"/>
  <c r="C1011" i="2"/>
  <c r="H1000" i="2"/>
  <c r="D1010" i="2"/>
  <c r="N81" i="3"/>
  <c r="Q81" i="3" s="1"/>
  <c r="B1010" i="2"/>
  <c r="B1000" i="2"/>
  <c r="C89" i="5"/>
  <c r="O68" i="3"/>
  <c r="C258" i="3"/>
  <c r="S25" i="4"/>
  <c r="S31" i="4" s="1"/>
  <c r="V10" i="3"/>
  <c r="C87" i="4"/>
  <c r="AC1041" i="2"/>
  <c r="C87" i="5"/>
  <c r="B424" i="2"/>
  <c r="R31" i="4"/>
  <c r="R35" i="4"/>
  <c r="E1079" i="2"/>
  <c r="G657" i="2"/>
  <c r="F1105" i="2"/>
  <c r="C1176" i="2"/>
  <c r="I1105" i="2"/>
  <c r="J657" i="2"/>
  <c r="D1176" i="2"/>
  <c r="H1079" i="2"/>
  <c r="AC1049" i="2"/>
  <c r="C1135" i="2"/>
  <c r="K1105" i="2"/>
  <c r="A53" i="4"/>
  <c r="A223" i="3"/>
  <c r="B923" i="2"/>
  <c r="C949" i="2"/>
  <c r="E978" i="2"/>
  <c r="Y1044" i="2"/>
  <c r="K736" i="2"/>
  <c r="K541" i="2"/>
  <c r="AE505" i="2"/>
  <c r="K735" i="2"/>
  <c r="E1162" i="2"/>
  <c r="E1164" i="2"/>
  <c r="E1163" i="2"/>
  <c r="H923" i="2"/>
  <c r="I949" i="2"/>
  <c r="I682" i="2"/>
  <c r="P756" i="2" s="1"/>
  <c r="P777" i="2" s="1"/>
  <c r="P865" i="2" s="1"/>
  <c r="V534" i="2"/>
  <c r="H751" i="2" s="1"/>
  <c r="L683" i="2"/>
  <c r="L949" i="2"/>
  <c r="M949" i="2" s="1"/>
  <c r="K923" i="2"/>
  <c r="I543" i="2"/>
  <c r="F949" i="2"/>
  <c r="E923" i="2"/>
  <c r="B952" i="2"/>
  <c r="J661" i="2"/>
  <c r="L661" i="2" s="1"/>
  <c r="N916" i="2"/>
  <c r="P917" i="2" s="1"/>
  <c r="D917" i="2"/>
  <c r="D563" i="2"/>
  <c r="D942" i="2"/>
  <c r="O942" i="2"/>
  <c r="G1154" i="2"/>
  <c r="L1154" i="2"/>
  <c r="M1154" i="2" s="1"/>
  <c r="P611" i="2"/>
  <c r="R612" i="2" s="1"/>
  <c r="L612" i="2"/>
  <c r="M623" i="2"/>
  <c r="O623" i="2" s="1"/>
  <c r="N754" i="2" s="1"/>
  <c r="N775" i="2" s="1"/>
  <c r="N863" i="2" s="1"/>
  <c r="J1082" i="2"/>
  <c r="J535" i="2"/>
  <c r="G1157" i="2"/>
  <c r="L1157" i="2"/>
  <c r="M1157" i="2" s="1"/>
  <c r="F94" i="3"/>
  <c r="N561" i="2"/>
  <c r="O561" i="2" s="1"/>
  <c r="M914" i="2"/>
  <c r="F66" i="3"/>
  <c r="G66" i="3"/>
  <c r="M996" i="2"/>
  <c r="O996" i="2"/>
  <c r="P996" i="2" s="1"/>
  <c r="J1127" i="2"/>
  <c r="L1127" i="2"/>
  <c r="M1127" i="2" s="1"/>
  <c r="G1131" i="2"/>
  <c r="K1130" i="2"/>
  <c r="C541" i="2"/>
  <c r="J1122" i="2"/>
  <c r="L1122" i="2"/>
  <c r="F651" i="2"/>
  <c r="M650" i="2"/>
  <c r="O651" i="2" s="1"/>
  <c r="N948" i="2"/>
  <c r="P586" i="2"/>
  <c r="R587" i="2" s="1"/>
  <c r="M600" i="2"/>
  <c r="O600" i="2" s="1"/>
  <c r="H66" i="3"/>
  <c r="I66" i="3"/>
  <c r="P592" i="2"/>
  <c r="R593" i="2" s="1"/>
  <c r="L593" i="2"/>
  <c r="J599" i="2"/>
  <c r="L599" i="2" s="1"/>
  <c r="L1074" i="2"/>
  <c r="M1074" i="2" s="1"/>
  <c r="F1083" i="2"/>
  <c r="G1074" i="2"/>
  <c r="O990" i="2"/>
  <c r="P990" i="2" s="1"/>
  <c r="H543" i="2"/>
  <c r="O973" i="2"/>
  <c r="P973" i="2" s="1"/>
  <c r="M624" i="2"/>
  <c r="O624" i="2" s="1"/>
  <c r="P587" i="2"/>
  <c r="R588" i="2" s="1"/>
  <c r="J600" i="2"/>
  <c r="L600" i="2" s="1"/>
  <c r="N418" i="2"/>
  <c r="H418" i="2"/>
  <c r="Z418" i="2"/>
  <c r="T418" i="2"/>
  <c r="Q418" i="2"/>
  <c r="B418" i="2"/>
  <c r="K418" i="2"/>
  <c r="E418" i="2"/>
  <c r="W418" i="2"/>
  <c r="AE405" i="2"/>
  <c r="P972" i="2"/>
  <c r="O914" i="2"/>
  <c r="P914" i="2" s="1"/>
  <c r="K567" i="2"/>
  <c r="I927" i="2"/>
  <c r="O920" i="2"/>
  <c r="J920" i="2"/>
  <c r="P558" i="2"/>
  <c r="O866" i="2"/>
  <c r="L684" i="2"/>
  <c r="K562" i="2"/>
  <c r="L562" i="2" s="1"/>
  <c r="J915" i="2"/>
  <c r="I928" i="2"/>
  <c r="J928" i="2" s="1"/>
  <c r="O915" i="2"/>
  <c r="P915" i="2" s="1"/>
  <c r="M938" i="2"/>
  <c r="O938" i="2"/>
  <c r="P938" i="2" s="1"/>
  <c r="K1148" i="2"/>
  <c r="G1149" i="2"/>
  <c r="O991" i="2"/>
  <c r="P991" i="2" s="1"/>
  <c r="D991" i="2"/>
  <c r="B928" i="2"/>
  <c r="K1099" i="2"/>
  <c r="M1100" i="2" s="1"/>
  <c r="M1095" i="2"/>
  <c r="Q568" i="2"/>
  <c r="D1098" i="2"/>
  <c r="L1098" i="2"/>
  <c r="M1098" i="2" s="1"/>
  <c r="H541" i="2"/>
  <c r="K734" i="2"/>
  <c r="AE469" i="2"/>
  <c r="AE398" i="2"/>
  <c r="M559" i="2"/>
  <c r="M913" i="2"/>
  <c r="N912" i="2"/>
  <c r="O995" i="2"/>
  <c r="P995" i="2" s="1"/>
  <c r="R619" i="2"/>
  <c r="F562" i="2"/>
  <c r="O613" i="2"/>
  <c r="P612" i="2"/>
  <c r="R613" i="2" s="1"/>
  <c r="O943" i="2"/>
  <c r="D943" i="2"/>
  <c r="AE402" i="2"/>
  <c r="L566" i="2"/>
  <c r="Q566" i="2"/>
  <c r="R592" i="2"/>
  <c r="L1155" i="2"/>
  <c r="M1155" i="2" s="1"/>
  <c r="M509" i="2"/>
  <c r="K542" i="2"/>
  <c r="P619" i="2"/>
  <c r="R620" i="2" s="1"/>
  <c r="D564" i="2"/>
  <c r="N917" i="2"/>
  <c r="P918" i="2" s="1"/>
  <c r="D918" i="2"/>
  <c r="A64" i="5"/>
  <c r="D35" i="1"/>
  <c r="D55" i="1"/>
  <c r="F52" i="1"/>
  <c r="J32" i="1"/>
  <c r="AB32" i="2"/>
  <c r="B770" i="2"/>
  <c r="B858" i="2" s="1"/>
  <c r="AA541" i="2"/>
  <c r="Q424" i="2"/>
  <c r="N706" i="2"/>
  <c r="N705" i="2"/>
  <c r="N707" i="2"/>
  <c r="O703" i="2"/>
  <c r="E571" i="2"/>
  <c r="O924" i="2"/>
  <c r="C926" i="2"/>
  <c r="C927" i="2"/>
  <c r="C928" i="2"/>
  <c r="M483" i="2"/>
  <c r="L542" i="2"/>
  <c r="Q29" i="3"/>
  <c r="Q31" i="3"/>
  <c r="Q35" i="3"/>
  <c r="V14" i="5"/>
  <c r="U14" i="5"/>
  <c r="O35" i="3"/>
  <c r="O29" i="3"/>
  <c r="O31" i="3"/>
  <c r="L35" i="5"/>
  <c r="L29" i="5"/>
  <c r="L31" i="5"/>
  <c r="N85" i="3"/>
  <c r="C93" i="5"/>
  <c r="C227" i="5" s="1"/>
  <c r="C262" i="3"/>
  <c r="C396" i="3" s="1"/>
  <c r="O69" i="3"/>
  <c r="C93" i="4"/>
  <c r="C227" i="4" s="1"/>
  <c r="V12" i="5"/>
  <c r="U12" i="5"/>
  <c r="N424" i="2"/>
  <c r="V13" i="5"/>
  <c r="U13" i="5"/>
  <c r="W424" i="2"/>
  <c r="U20" i="5"/>
  <c r="V20" i="5"/>
  <c r="U15" i="5"/>
  <c r="V15" i="5"/>
  <c r="V11" i="4"/>
  <c r="U11" i="4"/>
  <c r="V17" i="3"/>
  <c r="U17" i="3"/>
  <c r="V18" i="5"/>
  <c r="U18" i="5"/>
  <c r="I1135" i="2"/>
  <c r="I1136" i="2"/>
  <c r="O70" i="3"/>
  <c r="N88" i="3"/>
  <c r="Q88" i="3" s="1"/>
  <c r="B96" i="5" s="1"/>
  <c r="C96" i="4"/>
  <c r="C96" i="5"/>
  <c r="C265" i="3"/>
  <c r="M484" i="2"/>
  <c r="L543" i="2"/>
  <c r="P29" i="5"/>
  <c r="P35" i="5"/>
  <c r="P31" i="5"/>
  <c r="V14" i="4"/>
  <c r="U14" i="4"/>
  <c r="H424" i="2"/>
  <c r="T424" i="2"/>
  <c r="E424" i="2"/>
  <c r="D29" i="3"/>
  <c r="D31" i="3"/>
  <c r="D35" i="3"/>
  <c r="I541" i="2"/>
  <c r="Z32" i="2"/>
  <c r="B975" i="2"/>
  <c r="C1000" i="2" s="1"/>
  <c r="V22" i="5"/>
  <c r="U22" i="5"/>
  <c r="I35" i="4"/>
  <c r="I31" i="4"/>
  <c r="I29" i="4"/>
  <c r="H1133" i="2"/>
  <c r="I1160" i="2"/>
  <c r="J1160" i="2" s="1"/>
  <c r="D1174" i="2"/>
  <c r="P31" i="4"/>
  <c r="P35" i="4"/>
  <c r="P29" i="4"/>
  <c r="R29" i="5"/>
  <c r="R31" i="5"/>
  <c r="R35" i="5"/>
  <c r="S25" i="5"/>
  <c r="S31" i="5" s="1"/>
  <c r="X542" i="2"/>
  <c r="O61" i="3"/>
  <c r="O64" i="3" s="1"/>
  <c r="U21" i="3"/>
  <c r="V21" i="3"/>
  <c r="H35" i="5"/>
  <c r="H31" i="5"/>
  <c r="H29" i="5"/>
  <c r="V21" i="4"/>
  <c r="U21" i="4"/>
  <c r="V16" i="4"/>
  <c r="U16" i="4"/>
  <c r="P31" i="3"/>
  <c r="P35" i="3"/>
  <c r="P29" i="3"/>
  <c r="S456" i="2"/>
  <c r="G748" i="2" s="1"/>
  <c r="G769" i="2" s="1"/>
  <c r="R541" i="2"/>
  <c r="U15" i="3"/>
  <c r="V15" i="3"/>
  <c r="F1160" i="2"/>
  <c r="G1160" i="2" s="1"/>
  <c r="E1133" i="2"/>
  <c r="C1174" i="2"/>
  <c r="V19" i="3"/>
  <c r="U19" i="3"/>
  <c r="C259" i="3"/>
  <c r="K35" i="4"/>
  <c r="K29" i="4"/>
  <c r="K31" i="4"/>
  <c r="V10" i="5"/>
  <c r="U10" i="5"/>
  <c r="C99" i="4"/>
  <c r="C99" i="5"/>
  <c r="C268" i="3"/>
  <c r="N91" i="3"/>
  <c r="U16" i="5"/>
  <c r="V16" i="5"/>
  <c r="N574" i="2"/>
  <c r="N631" i="2" s="1"/>
  <c r="N573" i="2"/>
  <c r="N630" i="2" s="1"/>
  <c r="L1133" i="2"/>
  <c r="C1137" i="2"/>
  <c r="U17" i="4"/>
  <c r="V17" i="4"/>
  <c r="U14" i="3"/>
  <c r="V14" i="3"/>
  <c r="AC1047" i="2"/>
  <c r="E1012" i="2"/>
  <c r="L975" i="2"/>
  <c r="M975" i="2" s="1"/>
  <c r="K950" i="2"/>
  <c r="AE506" i="2"/>
  <c r="X32" i="2"/>
  <c r="AC1045" i="2"/>
  <c r="D1012" i="2"/>
  <c r="H950" i="2"/>
  <c r="I975" i="2"/>
  <c r="I978" i="2" s="1"/>
  <c r="B950" i="2"/>
  <c r="B1012" i="2"/>
  <c r="C975" i="2"/>
  <c r="C979" i="2" s="1"/>
  <c r="C91" i="4"/>
  <c r="C260" i="3"/>
  <c r="C91" i="5"/>
  <c r="B35" i="3"/>
  <c r="H975" i="2"/>
  <c r="I1000" i="2" s="1"/>
  <c r="J1000" i="2" s="1"/>
  <c r="D1011" i="2"/>
  <c r="B31" i="3"/>
  <c r="S25" i="3"/>
  <c r="V11" i="3"/>
  <c r="U11" i="3"/>
  <c r="B31" i="4"/>
  <c r="B35" i="4"/>
  <c r="B29" i="4"/>
  <c r="C222" i="4"/>
  <c r="S32" i="2"/>
  <c r="AB29" i="2"/>
  <c r="X29" i="2"/>
  <c r="V29" i="2"/>
  <c r="S35" i="2"/>
  <c r="B9" i="1"/>
  <c r="S37" i="2"/>
  <c r="S39" i="2"/>
  <c r="Z29" i="2"/>
  <c r="D536" i="2"/>
  <c r="C543" i="2"/>
  <c r="E543" i="2"/>
  <c r="G510" i="2"/>
  <c r="Q80" i="3"/>
  <c r="B88" i="5" s="1"/>
  <c r="O80" i="3"/>
  <c r="B257" i="3" s="1"/>
  <c r="P80" i="3"/>
  <c r="B88" i="4" s="1"/>
  <c r="E734" i="2"/>
  <c r="F682" i="2"/>
  <c r="O756" i="2" s="1"/>
  <c r="O777" i="2" s="1"/>
  <c r="AC457" i="2"/>
  <c r="AE454" i="2"/>
  <c r="AC456" i="2"/>
  <c r="J623" i="2"/>
  <c r="P620" i="2"/>
  <c r="L621" i="2"/>
  <c r="B1082" i="2"/>
  <c r="B1081" i="2"/>
  <c r="K1078" i="2"/>
  <c r="D1079" i="2"/>
  <c r="B1083" i="2"/>
  <c r="L999" i="2"/>
  <c r="L1004" i="2" s="1"/>
  <c r="K978" i="2"/>
  <c r="K977" i="2"/>
  <c r="O542" i="2"/>
  <c r="P508" i="2"/>
  <c r="F750" i="2" s="1"/>
  <c r="F771" i="2" s="1"/>
  <c r="O541" i="2"/>
  <c r="R543" i="2"/>
  <c r="S484" i="2"/>
  <c r="I542" i="2"/>
  <c r="J413" i="2"/>
  <c r="I683" i="2"/>
  <c r="G735" i="2"/>
  <c r="N83" i="3"/>
  <c r="M82" i="3"/>
  <c r="AD510" i="2"/>
  <c r="AD509" i="2"/>
  <c r="AD508" i="2"/>
  <c r="I684" i="2"/>
  <c r="G736" i="2"/>
  <c r="D1078" i="2"/>
  <c r="L1078" i="2"/>
  <c r="C1082" i="2"/>
  <c r="C1081" i="2"/>
  <c r="C1083" i="2"/>
  <c r="B979" i="2"/>
  <c r="B977" i="2"/>
  <c r="N974" i="2"/>
  <c r="N978" i="2" s="1"/>
  <c r="C999" i="2"/>
  <c r="B978" i="2"/>
  <c r="X543" i="2"/>
  <c r="Y458" i="2"/>
  <c r="N542" i="2"/>
  <c r="P483" i="2"/>
  <c r="O90" i="3"/>
  <c r="B267" i="3" s="1"/>
  <c r="P90" i="3"/>
  <c r="B98" i="4" s="1"/>
  <c r="Q90" i="3"/>
  <c r="B98" i="5" s="1"/>
  <c r="J974" i="2"/>
  <c r="AA543" i="2"/>
  <c r="AB536" i="2"/>
  <c r="Y456" i="2"/>
  <c r="I748" i="2" s="1"/>
  <c r="X541" i="2"/>
  <c r="N541" i="2"/>
  <c r="P482" i="2"/>
  <c r="F749" i="2" s="1"/>
  <c r="B1162" i="2"/>
  <c r="B1163" i="2"/>
  <c r="B1164" i="2"/>
  <c r="K1159" i="2"/>
  <c r="D1160" i="2"/>
  <c r="G856" i="2"/>
  <c r="C1159" i="2"/>
  <c r="B1132" i="2"/>
  <c r="Y1047" i="2"/>
  <c r="L707" i="2"/>
  <c r="N949" i="2"/>
  <c r="H952" i="2"/>
  <c r="H977" i="2"/>
  <c r="I999" i="2"/>
  <c r="H978" i="2"/>
  <c r="F684" i="2"/>
  <c r="AD535" i="2"/>
  <c r="AD534" i="2"/>
  <c r="AE531" i="2"/>
  <c r="AD536" i="2"/>
  <c r="AD456" i="2"/>
  <c r="AD457" i="2"/>
  <c r="AE453" i="2"/>
  <c r="AD458" i="2"/>
  <c r="AC535" i="2"/>
  <c r="AE532" i="2"/>
  <c r="AC536" i="2"/>
  <c r="AC534" i="2"/>
  <c r="AC484" i="2"/>
  <c r="AE480" i="2"/>
  <c r="AC483" i="2"/>
  <c r="AC482" i="2"/>
  <c r="Q623" i="2"/>
  <c r="I1159" i="2"/>
  <c r="H1132" i="2"/>
  <c r="M705" i="2"/>
  <c r="M706" i="2"/>
  <c r="M707" i="2"/>
  <c r="M682" i="2"/>
  <c r="M684" i="2"/>
  <c r="O680" i="2"/>
  <c r="M683" i="2"/>
  <c r="D1104" i="2"/>
  <c r="C1108" i="2"/>
  <c r="D1108" i="2" s="1"/>
  <c r="C1107" i="2"/>
  <c r="D1107" i="2" s="1"/>
  <c r="F1176" i="2" s="1"/>
  <c r="C1109" i="2"/>
  <c r="L1104" i="2"/>
  <c r="F999" i="2"/>
  <c r="G999" i="2" s="1"/>
  <c r="R542" i="2"/>
  <c r="S483" i="2"/>
  <c r="G508" i="2"/>
  <c r="C750" i="2" s="1"/>
  <c r="E541" i="2"/>
  <c r="K205" i="3"/>
  <c r="I60" i="5" s="1"/>
  <c r="K204" i="3"/>
  <c r="I60" i="4" s="1"/>
  <c r="K203" i="3"/>
  <c r="I229" i="3" s="1"/>
  <c r="N69" i="3"/>
  <c r="M85" i="3"/>
  <c r="N86" i="3"/>
  <c r="L706" i="2"/>
  <c r="N682" i="2"/>
  <c r="N684" i="2"/>
  <c r="N683" i="2"/>
  <c r="O679" i="2"/>
  <c r="J456" i="2"/>
  <c r="D748" i="2" s="1"/>
  <c r="C542" i="2"/>
  <c r="D535" i="2"/>
  <c r="AD483" i="2"/>
  <c r="AE479" i="2"/>
  <c r="AD484" i="2"/>
  <c r="AD482" i="2"/>
  <c r="AD413" i="2"/>
  <c r="AD412" i="2"/>
  <c r="AE409" i="2"/>
  <c r="AB534" i="2"/>
  <c r="J751" i="2" s="1"/>
  <c r="J772" i="2" s="1"/>
  <c r="J860" i="2" s="1"/>
  <c r="F1159" i="2"/>
  <c r="E1132" i="2"/>
  <c r="F657" i="2"/>
  <c r="D659" i="2"/>
  <c r="D660" i="2"/>
  <c r="M656" i="2"/>
  <c r="D661" i="2"/>
  <c r="N941" i="2"/>
  <c r="M942" i="2"/>
  <c r="K954" i="2"/>
  <c r="K1095" i="2"/>
  <c r="J1096" i="2"/>
  <c r="H1109" i="2"/>
  <c r="AE448" i="2"/>
  <c r="AC458" i="2"/>
  <c r="F615" i="2"/>
  <c r="D625" i="2"/>
  <c r="G859" i="2"/>
  <c r="G998" i="2"/>
  <c r="O998" i="2"/>
  <c r="AC509" i="2"/>
  <c r="AE502" i="2"/>
  <c r="Y510" i="2"/>
  <c r="W543" i="2"/>
  <c r="D510" i="2"/>
  <c r="B543" i="2"/>
  <c r="M966" i="2"/>
  <c r="P916" i="2"/>
  <c r="O992" i="2"/>
  <c r="G992" i="2"/>
  <c r="M1151" i="2"/>
  <c r="Y508" i="2"/>
  <c r="I750" i="2" s="1"/>
  <c r="W541" i="2"/>
  <c r="D509" i="2"/>
  <c r="B542" i="2"/>
  <c r="H94" i="3"/>
  <c r="L617" i="2"/>
  <c r="P616" i="2"/>
  <c r="R617" i="2" s="1"/>
  <c r="J625" i="2"/>
  <c r="J624" i="2"/>
  <c r="O563" i="2"/>
  <c r="P562" i="2"/>
  <c r="O570" i="2"/>
  <c r="T543" i="2"/>
  <c r="V510" i="2"/>
  <c r="D508" i="2"/>
  <c r="B750" i="2" s="1"/>
  <c r="B771" i="2" s="1"/>
  <c r="B541" i="2"/>
  <c r="M1124" i="2"/>
  <c r="J1124" i="2"/>
  <c r="I1137" i="2"/>
  <c r="AC510" i="2"/>
  <c r="AE501" i="2"/>
  <c r="Z541" i="2"/>
  <c r="AB508" i="2"/>
  <c r="J750" i="2" s="1"/>
  <c r="I563" i="2"/>
  <c r="M994" i="2"/>
  <c r="O994" i="2"/>
  <c r="P994" i="2" s="1"/>
  <c r="O988" i="2"/>
  <c r="P988" i="2" s="1"/>
  <c r="M988" i="2"/>
  <c r="O969" i="2"/>
  <c r="P969" i="2" s="1"/>
  <c r="D969" i="2"/>
  <c r="J971" i="2"/>
  <c r="O971" i="2"/>
  <c r="AB509" i="2"/>
  <c r="Z542" i="2"/>
  <c r="P565" i="2"/>
  <c r="Q565" i="2"/>
  <c r="M948" i="2"/>
  <c r="B954" i="2"/>
  <c r="N944" i="2"/>
  <c r="P945" i="2" s="1"/>
  <c r="J947" i="2"/>
  <c r="N946" i="2"/>
  <c r="H954" i="2"/>
  <c r="H953" i="2"/>
  <c r="F599" i="2"/>
  <c r="K630" i="2"/>
  <c r="E769" i="2"/>
  <c r="J1097" i="2"/>
  <c r="K1096" i="2"/>
  <c r="M1097" i="2" s="1"/>
  <c r="P510" i="2"/>
  <c r="N543" i="2"/>
  <c r="V509" i="2"/>
  <c r="T542" i="2"/>
  <c r="J989" i="2"/>
  <c r="O989" i="2"/>
  <c r="P989" i="2" s="1"/>
  <c r="G94" i="3"/>
  <c r="Q599" i="2"/>
  <c r="Q598" i="2"/>
  <c r="AE401" i="2"/>
  <c r="AD414" i="2"/>
  <c r="F620" i="2"/>
  <c r="D623" i="2"/>
  <c r="D624" i="2"/>
  <c r="O966" i="2"/>
  <c r="F566" i="2"/>
  <c r="Q600" i="2"/>
  <c r="R589" i="2"/>
  <c r="S510" i="2"/>
  <c r="Q543" i="2"/>
  <c r="AC508" i="2"/>
  <c r="AE504" i="2"/>
  <c r="Q625" i="2"/>
  <c r="Q624" i="2"/>
  <c r="P974" i="2"/>
  <c r="Q542" i="2"/>
  <c r="S509" i="2"/>
  <c r="Y509" i="2"/>
  <c r="W542" i="2"/>
  <c r="Z543" i="2"/>
  <c r="AB510" i="2"/>
  <c r="J660" i="2" l="1"/>
  <c r="L660" i="2" s="1"/>
  <c r="M1004" i="2"/>
  <c r="J659" i="2"/>
  <c r="L659" i="2" s="1"/>
  <c r="Q755" i="2" s="1"/>
  <c r="K953" i="2"/>
  <c r="Q571" i="2"/>
  <c r="G800" i="2"/>
  <c r="G830" i="2" s="1"/>
  <c r="E798" i="2"/>
  <c r="E828" i="2" s="1"/>
  <c r="B799" i="2"/>
  <c r="B829" i="2" s="1"/>
  <c r="H575" i="2"/>
  <c r="H573" i="2"/>
  <c r="H630" i="2" s="1"/>
  <c r="P923" i="2"/>
  <c r="N1003" i="2"/>
  <c r="G1083" i="2"/>
  <c r="L133" i="4"/>
  <c r="K133" i="4"/>
  <c r="M133" i="4"/>
  <c r="N133" i="4"/>
  <c r="AE413" i="2"/>
  <c r="Q561" i="2"/>
  <c r="R561" i="2" s="1"/>
  <c r="O728" i="2"/>
  <c r="D1109" i="2"/>
  <c r="L133" i="5"/>
  <c r="M133" i="5"/>
  <c r="N133" i="5"/>
  <c r="K133" i="5"/>
  <c r="D800" i="2"/>
  <c r="D830" i="2" s="1"/>
  <c r="L412" i="3"/>
  <c r="E220" i="5"/>
  <c r="E243" i="5" s="1"/>
  <c r="E412" i="3"/>
  <c r="H412" i="3"/>
  <c r="F412" i="3"/>
  <c r="K302" i="3"/>
  <c r="L302" i="3"/>
  <c r="M302" i="3"/>
  <c r="N302" i="3"/>
  <c r="D220" i="5"/>
  <c r="D243" i="5" s="1"/>
  <c r="M1093" i="2"/>
  <c r="O867" i="2"/>
  <c r="H574" i="2"/>
  <c r="H631" i="2" s="1"/>
  <c r="G63" i="5"/>
  <c r="G63" i="4"/>
  <c r="G64" i="4" s="1"/>
  <c r="G243" i="4"/>
  <c r="C243" i="5"/>
  <c r="G243" i="5"/>
  <c r="J243" i="4"/>
  <c r="AE412" i="2"/>
  <c r="F1002" i="2"/>
  <c r="G1002" i="2" s="1"/>
  <c r="G1011" i="2" s="1"/>
  <c r="P913" i="2"/>
  <c r="N977" i="2"/>
  <c r="M1069" i="2"/>
  <c r="P943" i="2"/>
  <c r="G1177" i="2"/>
  <c r="Q425" i="2"/>
  <c r="J735" i="2"/>
  <c r="L735" i="2" s="1"/>
  <c r="L220" i="4"/>
  <c r="L243" i="4" s="1"/>
  <c r="D220" i="4"/>
  <c r="D243" i="4" s="1"/>
  <c r="I243" i="5"/>
  <c r="I243" i="4"/>
  <c r="K243" i="4"/>
  <c r="H243" i="4"/>
  <c r="H243" i="5"/>
  <c r="L243" i="5"/>
  <c r="C243" i="4"/>
  <c r="M243" i="4"/>
  <c r="M243" i="5"/>
  <c r="K243" i="5"/>
  <c r="C799" i="2"/>
  <c r="C829" i="2" s="1"/>
  <c r="P939" i="2"/>
  <c r="M1122" i="2"/>
  <c r="P920" i="2"/>
  <c r="N1004" i="2"/>
  <c r="S541" i="2"/>
  <c r="G801" i="2"/>
  <c r="Q807" i="2"/>
  <c r="Q837" i="2" s="1"/>
  <c r="P808" i="2"/>
  <c r="F798" i="2"/>
  <c r="F828" i="2" s="1"/>
  <c r="G734" i="2"/>
  <c r="I734" i="2" s="1"/>
  <c r="M1130" i="2"/>
  <c r="T425" i="2"/>
  <c r="M660" i="2"/>
  <c r="O660" i="2" s="1"/>
  <c r="M1131" i="2"/>
  <c r="G542" i="2"/>
  <c r="AD423" i="2"/>
  <c r="Q776" i="2"/>
  <c r="Q864" i="2" s="1"/>
  <c r="O808" i="2"/>
  <c r="C954" i="2"/>
  <c r="D954" i="2" s="1"/>
  <c r="C857" i="2"/>
  <c r="C798" i="2"/>
  <c r="C828" i="2" s="1"/>
  <c r="J799" i="2"/>
  <c r="J829" i="2" s="1"/>
  <c r="K1083" i="2"/>
  <c r="M1128" i="2"/>
  <c r="D928" i="2"/>
  <c r="O730" i="2"/>
  <c r="V541" i="2"/>
  <c r="O729" i="2"/>
  <c r="J541" i="2"/>
  <c r="O89" i="3"/>
  <c r="B266" i="3" s="1"/>
  <c r="D266" i="3" s="1"/>
  <c r="S304" i="3" s="1"/>
  <c r="P89" i="3"/>
  <c r="B97" i="4" s="1"/>
  <c r="D97" i="4" s="1"/>
  <c r="S135" i="4" s="1"/>
  <c r="O705" i="2"/>
  <c r="S768" i="2"/>
  <c r="V543" i="2"/>
  <c r="D98" i="5"/>
  <c r="S136" i="5" s="1"/>
  <c r="E800" i="2"/>
  <c r="E830" i="2" s="1"/>
  <c r="E801" i="2"/>
  <c r="H798" i="2"/>
  <c r="H828" i="2" s="1"/>
  <c r="Z425" i="2"/>
  <c r="AB542" i="2"/>
  <c r="D267" i="3"/>
  <c r="S305" i="3" s="1"/>
  <c r="L952" i="2"/>
  <c r="M952" i="2" s="1"/>
  <c r="I1013" i="2" s="1"/>
  <c r="F1003" i="2"/>
  <c r="G1003" i="2" s="1"/>
  <c r="O66" i="3"/>
  <c r="C105" i="5" s="1"/>
  <c r="C114" i="5" s="1"/>
  <c r="J542" i="2"/>
  <c r="I736" i="2"/>
  <c r="D979" i="2"/>
  <c r="G543" i="2"/>
  <c r="D801" i="2"/>
  <c r="M541" i="2"/>
  <c r="M543" i="2"/>
  <c r="P566" i="2"/>
  <c r="I567" i="2"/>
  <c r="J1109" i="2"/>
  <c r="N425" i="2"/>
  <c r="N928" i="2"/>
  <c r="B426" i="2"/>
  <c r="P598" i="2"/>
  <c r="R598" i="2" s="1"/>
  <c r="P921" i="2"/>
  <c r="G541" i="2"/>
  <c r="H799" i="2"/>
  <c r="H829" i="2" s="1"/>
  <c r="P543" i="2"/>
  <c r="K1108" i="2"/>
  <c r="D541" i="2"/>
  <c r="J798" i="2"/>
  <c r="J828" i="2" s="1"/>
  <c r="G928" i="2"/>
  <c r="I735" i="2"/>
  <c r="H800" i="2"/>
  <c r="H830" i="2" s="1"/>
  <c r="AE482" i="2"/>
  <c r="D1082" i="2"/>
  <c r="H426" i="2"/>
  <c r="K426" i="2"/>
  <c r="L804" i="2"/>
  <c r="L862" i="2"/>
  <c r="I560" i="2"/>
  <c r="Q560" i="2"/>
  <c r="Z426" i="2"/>
  <c r="AD422" i="2"/>
  <c r="M661" i="2"/>
  <c r="O661" i="2" s="1"/>
  <c r="V542" i="2"/>
  <c r="K425" i="2"/>
  <c r="D88" i="5"/>
  <c r="S126" i="5" s="1"/>
  <c r="H126" i="5" s="1"/>
  <c r="O927" i="2"/>
  <c r="AD420" i="2"/>
  <c r="AD419" i="2"/>
  <c r="F570" i="2"/>
  <c r="Q569" i="2"/>
  <c r="R569" i="2" s="1"/>
  <c r="P569" i="2"/>
  <c r="N924" i="2"/>
  <c r="E243" i="4"/>
  <c r="AD421" i="2"/>
  <c r="F243" i="5"/>
  <c r="J243" i="5"/>
  <c r="F243" i="4"/>
  <c r="G1109" i="2"/>
  <c r="L570" i="2"/>
  <c r="L571" i="2"/>
  <c r="W425" i="2"/>
  <c r="R566" i="2"/>
  <c r="N979" i="2"/>
  <c r="F1004" i="2"/>
  <c r="G1004" i="2" s="1"/>
  <c r="Y543" i="2"/>
  <c r="AE457" i="2"/>
  <c r="Q559" i="2"/>
  <c r="R559" i="2" s="1"/>
  <c r="B798" i="2"/>
  <c r="B828" i="2" s="1"/>
  <c r="B856" i="2"/>
  <c r="S856" i="2" s="1"/>
  <c r="H1177" i="2"/>
  <c r="AE483" i="2"/>
  <c r="L1137" i="2"/>
  <c r="M1149" i="2"/>
  <c r="K1079" i="2"/>
  <c r="P561" i="2"/>
  <c r="B800" i="2"/>
  <c r="B830" i="2" s="1"/>
  <c r="Q82" i="3"/>
  <c r="B90" i="5" s="1"/>
  <c r="D90" i="5" s="1"/>
  <c r="S128" i="5" s="1"/>
  <c r="J734" i="2"/>
  <c r="L734" i="2" s="1"/>
  <c r="K1133" i="2"/>
  <c r="L568" i="2"/>
  <c r="P567" i="2"/>
  <c r="R568" i="2" s="1"/>
  <c r="S202" i="4"/>
  <c r="E1176" i="2"/>
  <c r="N804" i="2"/>
  <c r="M657" i="2"/>
  <c r="O707" i="2"/>
  <c r="L1135" i="2"/>
  <c r="O926" i="2"/>
  <c r="C234" i="4"/>
  <c r="C239" i="4" s="1"/>
  <c r="O706" i="2"/>
  <c r="D97" i="5"/>
  <c r="E98" i="5" s="1"/>
  <c r="V33" i="2"/>
  <c r="AB541" i="2"/>
  <c r="L954" i="2"/>
  <c r="M954" i="2" s="1"/>
  <c r="L953" i="2"/>
  <c r="D950" i="2"/>
  <c r="P571" i="2"/>
  <c r="N426" i="2"/>
  <c r="O950" i="2"/>
  <c r="P950" i="2" s="1"/>
  <c r="L979" i="2"/>
  <c r="M979" i="2" s="1"/>
  <c r="D257" i="3"/>
  <c r="S295" i="3" s="1"/>
  <c r="S543" i="2"/>
  <c r="K1160" i="2"/>
  <c r="S542" i="2"/>
  <c r="P81" i="3"/>
  <c r="B89" i="4" s="1"/>
  <c r="D89" i="4" s="1"/>
  <c r="S127" i="4" s="1"/>
  <c r="O81" i="3"/>
  <c r="B258" i="3" s="1"/>
  <c r="D258" i="3" s="1"/>
  <c r="S296" i="3" s="1"/>
  <c r="AB33" i="2"/>
  <c r="L1136" i="2"/>
  <c r="C387" i="3"/>
  <c r="C392" i="3" s="1"/>
  <c r="Z33" i="2"/>
  <c r="N1000" i="2"/>
  <c r="B425" i="2"/>
  <c r="I977" i="2"/>
  <c r="J977" i="2" s="1"/>
  <c r="H1012" i="2" s="1"/>
  <c r="I979" i="2"/>
  <c r="J979" i="2" s="1"/>
  <c r="J975" i="2"/>
  <c r="F979" i="2"/>
  <c r="G979" i="2" s="1"/>
  <c r="F977" i="2"/>
  <c r="G977" i="2" s="1"/>
  <c r="G1012" i="2" s="1"/>
  <c r="F978" i="2"/>
  <c r="G978" i="2" s="1"/>
  <c r="N975" i="2"/>
  <c r="AE458" i="2"/>
  <c r="D975" i="2"/>
  <c r="T426" i="2"/>
  <c r="V25" i="4"/>
  <c r="D88" i="4"/>
  <c r="S35" i="4"/>
  <c r="C218" i="5"/>
  <c r="C222" i="5" s="1"/>
  <c r="D542" i="2"/>
  <c r="W426" i="2"/>
  <c r="AD424" i="2"/>
  <c r="P88" i="3"/>
  <c r="B96" i="4" s="1"/>
  <c r="E96" i="4" s="1"/>
  <c r="O88" i="3"/>
  <c r="B265" i="3" s="1"/>
  <c r="E265" i="3" s="1"/>
  <c r="C103" i="4"/>
  <c r="F1107" i="2"/>
  <c r="G1107" i="2" s="1"/>
  <c r="G1176" i="2" s="1"/>
  <c r="G1105" i="2"/>
  <c r="L1105" i="2"/>
  <c r="M1105" i="2" s="1"/>
  <c r="F1108" i="2"/>
  <c r="G1108" i="2" s="1"/>
  <c r="I1107" i="2"/>
  <c r="J1107" i="2" s="1"/>
  <c r="H1176" i="2" s="1"/>
  <c r="J1105" i="2"/>
  <c r="I1108" i="2"/>
  <c r="J1108" i="2" s="1"/>
  <c r="P776" i="2"/>
  <c r="X33" i="2"/>
  <c r="E1174" i="2"/>
  <c r="A54" i="4"/>
  <c r="A224" i="3"/>
  <c r="M570" i="2"/>
  <c r="K927" i="2"/>
  <c r="M927" i="2" s="1"/>
  <c r="K926" i="2"/>
  <c r="M926" i="2" s="1"/>
  <c r="I1014" i="2" s="1"/>
  <c r="M924" i="2"/>
  <c r="I952" i="2"/>
  <c r="J952" i="2" s="1"/>
  <c r="H1013" i="2" s="1"/>
  <c r="I953" i="2"/>
  <c r="J953" i="2" s="1"/>
  <c r="I954" i="2"/>
  <c r="J954" i="2" s="1"/>
  <c r="C953" i="2"/>
  <c r="D953" i="2" s="1"/>
  <c r="C952" i="2"/>
  <c r="D952" i="2" s="1"/>
  <c r="F1013" i="2" s="1"/>
  <c r="O949" i="2"/>
  <c r="P949" i="2" s="1"/>
  <c r="D949" i="2"/>
  <c r="J543" i="2"/>
  <c r="J570" i="2"/>
  <c r="J924" i="2"/>
  <c r="H927" i="2"/>
  <c r="J927" i="2" s="1"/>
  <c r="H926" i="2"/>
  <c r="J926" i="2" s="1"/>
  <c r="H1014" i="2" s="1"/>
  <c r="J949" i="2"/>
  <c r="N923" i="2"/>
  <c r="P924" i="2" s="1"/>
  <c r="B926" i="2"/>
  <c r="D926" i="2" s="1"/>
  <c r="F1014" i="2" s="1"/>
  <c r="D924" i="2"/>
  <c r="D570" i="2"/>
  <c r="D575" i="2" s="1"/>
  <c r="D632" i="2" s="1"/>
  <c r="B927" i="2"/>
  <c r="D927" i="2" s="1"/>
  <c r="P807" i="2"/>
  <c r="P837" i="2" s="1"/>
  <c r="J736" i="2"/>
  <c r="L736" i="2" s="1"/>
  <c r="G570" i="2"/>
  <c r="E927" i="2"/>
  <c r="G927" i="2" s="1"/>
  <c r="E926" i="2"/>
  <c r="G926" i="2" s="1"/>
  <c r="G1014" i="2" s="1"/>
  <c r="G924" i="2"/>
  <c r="H772" i="2"/>
  <c r="H801" i="2"/>
  <c r="AE456" i="2"/>
  <c r="F952" i="2"/>
  <c r="G952" i="2" s="1"/>
  <c r="F954" i="2"/>
  <c r="G954" i="2" s="1"/>
  <c r="F953" i="2"/>
  <c r="G953" i="2" s="1"/>
  <c r="G949" i="2"/>
  <c r="L623" i="2"/>
  <c r="M754" i="2" s="1"/>
  <c r="M775" i="2" s="1"/>
  <c r="M863" i="2" s="1"/>
  <c r="O560" i="2"/>
  <c r="P559" i="2"/>
  <c r="P600" i="2"/>
  <c r="R600" i="2" s="1"/>
  <c r="P563" i="2"/>
  <c r="F564" i="2"/>
  <c r="L1109" i="2"/>
  <c r="Q563" i="2"/>
  <c r="R563" i="2" s="1"/>
  <c r="D1081" i="2"/>
  <c r="F1177" i="2" s="1"/>
  <c r="Q562" i="2"/>
  <c r="K575" i="2"/>
  <c r="K632" i="2" s="1"/>
  <c r="P599" i="2"/>
  <c r="R599" i="2" s="1"/>
  <c r="Q567" i="2"/>
  <c r="L567" i="2"/>
  <c r="K574" i="2"/>
  <c r="AE484" i="2"/>
  <c r="M542" i="2"/>
  <c r="AD418" i="2"/>
  <c r="J978" i="2"/>
  <c r="Y541" i="2"/>
  <c r="O928" i="2"/>
  <c r="Q564" i="2"/>
  <c r="P564" i="2"/>
  <c r="R565" i="2" s="1"/>
  <c r="F565" i="2"/>
  <c r="A65" i="5"/>
  <c r="A66" i="5" s="1"/>
  <c r="A67" i="5" s="1"/>
  <c r="A68" i="5" s="1"/>
  <c r="A69" i="5" s="1"/>
  <c r="D75" i="5" s="1"/>
  <c r="U25" i="5"/>
  <c r="U25" i="4"/>
  <c r="U25" i="3"/>
  <c r="C401" i="3"/>
  <c r="C400" i="3"/>
  <c r="E426" i="2"/>
  <c r="G799" i="2"/>
  <c r="G829" i="2" s="1"/>
  <c r="G857" i="2"/>
  <c r="E425" i="2"/>
  <c r="V25" i="5"/>
  <c r="Q426" i="2"/>
  <c r="Y542" i="2"/>
  <c r="G798" i="2"/>
  <c r="G828" i="2" s="1"/>
  <c r="C103" i="5"/>
  <c r="S35" i="5"/>
  <c r="N950" i="2"/>
  <c r="P91" i="3"/>
  <c r="B99" i="4" s="1"/>
  <c r="D99" i="4" s="1"/>
  <c r="S137" i="4" s="1"/>
  <c r="O91" i="3"/>
  <c r="B268" i="3" s="1"/>
  <c r="D268" i="3" s="1"/>
  <c r="S306" i="3" s="1"/>
  <c r="Q91" i="3"/>
  <c r="B99" i="5" s="1"/>
  <c r="C403" i="3"/>
  <c r="E575" i="2"/>
  <c r="E632" i="2" s="1"/>
  <c r="E574" i="2"/>
  <c r="E631" i="2" s="1"/>
  <c r="E573" i="2"/>
  <c r="E630" i="2" s="1"/>
  <c r="F571" i="2"/>
  <c r="H425" i="2"/>
  <c r="C234" i="5"/>
  <c r="L1160" i="2"/>
  <c r="M1160" i="2" s="1"/>
  <c r="C231" i="4"/>
  <c r="C232" i="4"/>
  <c r="C232" i="5"/>
  <c r="C231" i="5"/>
  <c r="AB543" i="2"/>
  <c r="C272" i="3"/>
  <c r="O975" i="2"/>
  <c r="O977" i="2" s="1"/>
  <c r="C978" i="2"/>
  <c r="D978" i="2" s="1"/>
  <c r="C977" i="2"/>
  <c r="D977" i="2" s="1"/>
  <c r="F1012" i="2" s="1"/>
  <c r="D261" i="3"/>
  <c r="S299" i="3" s="1"/>
  <c r="C299" i="3" s="1"/>
  <c r="D92" i="5"/>
  <c r="S130" i="5" s="1"/>
  <c r="D92" i="4"/>
  <c r="S130" i="4" s="1"/>
  <c r="L977" i="2"/>
  <c r="M977" i="2" s="1"/>
  <c r="I1012" i="2" s="1"/>
  <c r="L978" i="2"/>
  <c r="M978" i="2" s="1"/>
  <c r="O1000" i="2"/>
  <c r="P1000" i="2" s="1"/>
  <c r="D1000" i="2"/>
  <c r="S31" i="3"/>
  <c r="V25" i="3"/>
  <c r="S35" i="3"/>
  <c r="D543" i="2"/>
  <c r="B57" i="1"/>
  <c r="B50" i="1" s="1"/>
  <c r="B23" i="1"/>
  <c r="B48" i="1" s="1"/>
  <c r="B47" i="1"/>
  <c r="B37" i="1"/>
  <c r="B49" i="1" s="1"/>
  <c r="F660" i="2"/>
  <c r="D735" i="2"/>
  <c r="F735" i="2" s="1"/>
  <c r="O682" i="2"/>
  <c r="N734" i="2"/>
  <c r="L60" i="5"/>
  <c r="D87" i="5" s="1"/>
  <c r="I61" i="5"/>
  <c r="J1133" i="2"/>
  <c r="H1137" i="2"/>
  <c r="J1137" i="2" s="1"/>
  <c r="H1136" i="2"/>
  <c r="J1136" i="2" s="1"/>
  <c r="H1135" i="2"/>
  <c r="J1135" i="2" s="1"/>
  <c r="H1175" i="2" s="1"/>
  <c r="AE536" i="2"/>
  <c r="B1136" i="2"/>
  <c r="D1136" i="2" s="1"/>
  <c r="B1135" i="2"/>
  <c r="D1135" i="2" s="1"/>
  <c r="F1175" i="2" s="1"/>
  <c r="B1137" i="2"/>
  <c r="D1137" i="2" s="1"/>
  <c r="K1132" i="2"/>
  <c r="D1133" i="2"/>
  <c r="F659" i="2"/>
  <c r="O755" i="2" s="1"/>
  <c r="O776" i="2" s="1"/>
  <c r="D734" i="2"/>
  <c r="F734" i="2" s="1"/>
  <c r="J1159" i="2"/>
  <c r="I1164" i="2"/>
  <c r="J1164" i="2" s="1"/>
  <c r="I1163" i="2"/>
  <c r="J1163" i="2" s="1"/>
  <c r="I1162" i="2"/>
  <c r="J1162" i="2" s="1"/>
  <c r="H1174" i="2" s="1"/>
  <c r="L1159" i="2"/>
  <c r="C1163" i="2"/>
  <c r="D1163" i="2" s="1"/>
  <c r="D1159" i="2"/>
  <c r="C1162" i="2"/>
  <c r="D1162" i="2" s="1"/>
  <c r="F1174" i="2" s="1"/>
  <c r="C1164" i="2"/>
  <c r="D1164" i="2" s="1"/>
  <c r="F770" i="2"/>
  <c r="F799" i="2"/>
  <c r="F829" i="2" s="1"/>
  <c r="C1004" i="2"/>
  <c r="D1004" i="2" s="1"/>
  <c r="C1003" i="2"/>
  <c r="D1003" i="2" s="1"/>
  <c r="D999" i="2"/>
  <c r="C1002" i="2"/>
  <c r="D1002" i="2" s="1"/>
  <c r="F1011" i="2" s="1"/>
  <c r="O999" i="2"/>
  <c r="P999" i="2" s="1"/>
  <c r="M999" i="2"/>
  <c r="L1002" i="2"/>
  <c r="M1002" i="2" s="1"/>
  <c r="I1011" i="2" s="1"/>
  <c r="L1003" i="2"/>
  <c r="M1003" i="2" s="1"/>
  <c r="M1079" i="2"/>
  <c r="K1081" i="2"/>
  <c r="K1082" i="2"/>
  <c r="C771" i="2"/>
  <c r="C800" i="2"/>
  <c r="C830" i="2" s="1"/>
  <c r="AE534" i="2"/>
  <c r="AD541" i="2"/>
  <c r="N952" i="2"/>
  <c r="D96" i="5"/>
  <c r="E96" i="5"/>
  <c r="O807" i="2"/>
  <c r="O837" i="2" s="1"/>
  <c r="O865" i="2"/>
  <c r="P86" i="3"/>
  <c r="B94" i="4" s="1"/>
  <c r="D94" i="4" s="1"/>
  <c r="Q86" i="3"/>
  <c r="B94" i="5" s="1"/>
  <c r="D94" i="5" s="1"/>
  <c r="O86" i="3"/>
  <c r="B263" i="3" s="1"/>
  <c r="D263" i="3" s="1"/>
  <c r="AE535" i="2"/>
  <c r="AD542" i="2"/>
  <c r="M1078" i="2"/>
  <c r="L1083" i="2"/>
  <c r="L1082" i="2"/>
  <c r="L1081" i="2"/>
  <c r="P541" i="2"/>
  <c r="D769" i="2"/>
  <c r="D798" i="2"/>
  <c r="Q85" i="3"/>
  <c r="B93" i="5" s="1"/>
  <c r="P85" i="3"/>
  <c r="B93" i="4" s="1"/>
  <c r="O85" i="3"/>
  <c r="B262" i="3" s="1"/>
  <c r="M1104" i="2"/>
  <c r="I769" i="2"/>
  <c r="I798" i="2"/>
  <c r="I828" i="2" s="1"/>
  <c r="O82" i="3"/>
  <c r="P82" i="3"/>
  <c r="M94" i="3"/>
  <c r="F801" i="2"/>
  <c r="F859" i="2"/>
  <c r="E1136" i="2"/>
  <c r="G1136" i="2" s="1"/>
  <c r="E1135" i="2"/>
  <c r="G1135" i="2" s="1"/>
  <c r="G1175" i="2" s="1"/>
  <c r="E1137" i="2"/>
  <c r="G1137" i="2" s="1"/>
  <c r="G1133" i="2"/>
  <c r="I1003" i="2"/>
  <c r="J1003" i="2" s="1"/>
  <c r="J999" i="2"/>
  <c r="I1002" i="2"/>
  <c r="J1002" i="2" s="1"/>
  <c r="H1011" i="2" s="1"/>
  <c r="I1004" i="2"/>
  <c r="J1004" i="2" s="1"/>
  <c r="K1162" i="2"/>
  <c r="K1164" i="2"/>
  <c r="K1163" i="2"/>
  <c r="Q83" i="3"/>
  <c r="B91" i="5" s="1"/>
  <c r="D91" i="5" s="1"/>
  <c r="P83" i="3"/>
  <c r="B91" i="4" s="1"/>
  <c r="D91" i="4" s="1"/>
  <c r="O83" i="3"/>
  <c r="B260" i="3" s="1"/>
  <c r="D260" i="3" s="1"/>
  <c r="P542" i="2"/>
  <c r="R621" i="2"/>
  <c r="P623" i="2"/>
  <c r="R623" i="2" s="1"/>
  <c r="D736" i="2"/>
  <c r="F736" i="2" s="1"/>
  <c r="F661" i="2"/>
  <c r="G1159" i="2"/>
  <c r="F1164" i="2"/>
  <c r="G1164" i="2" s="1"/>
  <c r="F1163" i="2"/>
  <c r="G1163" i="2" s="1"/>
  <c r="F1162" i="2"/>
  <c r="G1162" i="2" s="1"/>
  <c r="G1174" i="2" s="1"/>
  <c r="O683" i="2"/>
  <c r="N735" i="2"/>
  <c r="L229" i="3"/>
  <c r="D256" i="3" s="1"/>
  <c r="I230" i="3"/>
  <c r="D98" i="4"/>
  <c r="M659" i="2"/>
  <c r="O657" i="2"/>
  <c r="O684" i="2"/>
  <c r="N736" i="2"/>
  <c r="L60" i="4"/>
  <c r="D87" i="4" s="1"/>
  <c r="I61" i="4"/>
  <c r="D1083" i="2"/>
  <c r="N94" i="3"/>
  <c r="Q808" i="2"/>
  <c r="Q866" i="2"/>
  <c r="N953" i="2"/>
  <c r="P947" i="2"/>
  <c r="F625" i="2"/>
  <c r="J771" i="2"/>
  <c r="J800" i="2"/>
  <c r="J830" i="2" s="1"/>
  <c r="B89" i="5"/>
  <c r="AE414" i="2"/>
  <c r="AD543" i="2"/>
  <c r="P971" i="2"/>
  <c r="B801" i="2"/>
  <c r="B859" i="2"/>
  <c r="I800" i="2"/>
  <c r="I830" i="2" s="1"/>
  <c r="I771" i="2"/>
  <c r="AE509" i="2"/>
  <c r="AC542" i="2"/>
  <c r="P966" i="2"/>
  <c r="L624" i="2"/>
  <c r="AC541" i="2"/>
  <c r="AE508" i="2"/>
  <c r="F624" i="2"/>
  <c r="AC543" i="2"/>
  <c r="AE510" i="2"/>
  <c r="L625" i="2"/>
  <c r="K862" i="2"/>
  <c r="P624" i="2"/>
  <c r="P625" i="2"/>
  <c r="K1109" i="2"/>
  <c r="M1096" i="2"/>
  <c r="N954" i="2"/>
  <c r="P942" i="2"/>
  <c r="F623" i="2"/>
  <c r="K754" i="2" s="1"/>
  <c r="K775" i="2" s="1"/>
  <c r="E857" i="2"/>
  <c r="E799" i="2"/>
  <c r="H632" i="2"/>
  <c r="P992" i="2"/>
  <c r="P998" i="2"/>
  <c r="M953" i="2" l="1"/>
  <c r="R302" i="3"/>
  <c r="R775" i="2" s="1"/>
  <c r="R863" i="2" s="1"/>
  <c r="O306" i="3"/>
  <c r="P306" i="3"/>
  <c r="Q306" i="3"/>
  <c r="O137" i="4"/>
  <c r="P137" i="4"/>
  <c r="Q137" i="4"/>
  <c r="P135" i="4"/>
  <c r="O135" i="4"/>
  <c r="Q135" i="4"/>
  <c r="O304" i="3"/>
  <c r="P304" i="3"/>
  <c r="Q304" i="3"/>
  <c r="O305" i="3"/>
  <c r="P305" i="3"/>
  <c r="Q305" i="3"/>
  <c r="P977" i="2"/>
  <c r="G64" i="5"/>
  <c r="G65" i="5" s="1"/>
  <c r="G65" i="4"/>
  <c r="C65" i="4" s="1"/>
  <c r="O136" i="5"/>
  <c r="B130" i="5"/>
  <c r="R133" i="5"/>
  <c r="I130" i="4"/>
  <c r="M735" i="2"/>
  <c r="O735" i="2" s="1"/>
  <c r="L741" i="2" s="1"/>
  <c r="Q806" i="2"/>
  <c r="Q836" i="2" s="1"/>
  <c r="C238" i="4"/>
  <c r="R562" i="2"/>
  <c r="C106" i="5"/>
  <c r="C112" i="5"/>
  <c r="C278" i="3"/>
  <c r="C281" i="3"/>
  <c r="C109" i="4"/>
  <c r="C112" i="4"/>
  <c r="M1083" i="2"/>
  <c r="P928" i="2"/>
  <c r="M736" i="2"/>
  <c r="O736" i="2" s="1"/>
  <c r="D265" i="3"/>
  <c r="E266" i="3" s="1"/>
  <c r="Q136" i="5"/>
  <c r="O1002" i="2"/>
  <c r="P1002" i="2" s="1"/>
  <c r="M1013" i="2"/>
  <c r="P136" i="5"/>
  <c r="C105" i="4"/>
  <c r="C114" i="4" s="1"/>
  <c r="C274" i="3"/>
  <c r="C283" i="3" s="1"/>
  <c r="E258" i="3"/>
  <c r="S326" i="3" s="1"/>
  <c r="J1177" i="2"/>
  <c r="D96" i="4"/>
  <c r="S134" i="4" s="1"/>
  <c r="M1109" i="2"/>
  <c r="R560" i="2"/>
  <c r="S769" i="2"/>
  <c r="I126" i="5"/>
  <c r="M804" i="2"/>
  <c r="E126" i="5"/>
  <c r="I1177" i="2"/>
  <c r="C126" i="5"/>
  <c r="G126" i="5"/>
  <c r="L1108" i="2"/>
  <c r="M1108" i="2" s="1"/>
  <c r="B126" i="5"/>
  <c r="F126" i="5"/>
  <c r="E267" i="3"/>
  <c r="F268" i="3" s="1"/>
  <c r="S366" i="3" s="1"/>
  <c r="D126" i="5"/>
  <c r="R564" i="2"/>
  <c r="S135" i="5"/>
  <c r="I1176" i="2"/>
  <c r="E98" i="4"/>
  <c r="S166" i="4" s="1"/>
  <c r="S771" i="2"/>
  <c r="E89" i="4"/>
  <c r="S157" i="4" s="1"/>
  <c r="S126" i="4"/>
  <c r="I126" i="4" s="1"/>
  <c r="C391" i="3"/>
  <c r="L1012" i="2"/>
  <c r="P1013" i="2" s="1"/>
  <c r="K1176" i="2"/>
  <c r="L1107" i="2"/>
  <c r="M1107" i="2" s="1"/>
  <c r="K1175" i="2"/>
  <c r="O1176" i="2" s="1"/>
  <c r="J1014" i="2"/>
  <c r="F632" i="2"/>
  <c r="O1004" i="2"/>
  <c r="P1004" i="2" s="1"/>
  <c r="D299" i="3"/>
  <c r="K1012" i="2"/>
  <c r="O1013" i="2" s="1"/>
  <c r="C130" i="5"/>
  <c r="AD425" i="2"/>
  <c r="F299" i="3"/>
  <c r="I130" i="5"/>
  <c r="E130" i="5"/>
  <c r="B299" i="3"/>
  <c r="F130" i="4"/>
  <c r="B130" i="4"/>
  <c r="D130" i="4"/>
  <c r="G299" i="3"/>
  <c r="E130" i="4"/>
  <c r="I299" i="3"/>
  <c r="E299" i="3"/>
  <c r="G130" i="5"/>
  <c r="H299" i="3"/>
  <c r="C223" i="5"/>
  <c r="J1013" i="2"/>
  <c r="AD426" i="2"/>
  <c r="C241" i="4"/>
  <c r="C245" i="4" s="1"/>
  <c r="C106" i="4"/>
  <c r="L1176" i="2"/>
  <c r="L1177" i="2"/>
  <c r="Q805" i="2"/>
  <c r="Q835" i="2" s="1"/>
  <c r="P864" i="2"/>
  <c r="P806" i="2"/>
  <c r="P836" i="2" s="1"/>
  <c r="P805" i="2"/>
  <c r="P835" i="2" s="1"/>
  <c r="K1177" i="2"/>
  <c r="C109" i="5"/>
  <c r="C241" i="5"/>
  <c r="C245" i="5" s="1"/>
  <c r="A225" i="3"/>
  <c r="A55" i="4"/>
  <c r="L1013" i="2"/>
  <c r="G574" i="2"/>
  <c r="G573" i="2"/>
  <c r="G575" i="2"/>
  <c r="O1003" i="2"/>
  <c r="P1003" i="2" s="1"/>
  <c r="H130" i="5"/>
  <c r="N926" i="2"/>
  <c r="P926" i="2" s="1"/>
  <c r="N927" i="2"/>
  <c r="P927" i="2" s="1"/>
  <c r="E268" i="3"/>
  <c r="S336" i="3" s="1"/>
  <c r="O952" i="2"/>
  <c r="P952" i="2" s="1"/>
  <c r="O954" i="2"/>
  <c r="P954" i="2" s="1"/>
  <c r="O953" i="2"/>
  <c r="P953" i="2" s="1"/>
  <c r="H860" i="2"/>
  <c r="S860" i="2" s="1"/>
  <c r="S772" i="2"/>
  <c r="O805" i="2"/>
  <c r="O835" i="2" s="1"/>
  <c r="M575" i="2"/>
  <c r="M573" i="2"/>
  <c r="M574" i="2"/>
  <c r="O571" i="2"/>
  <c r="G1013" i="2"/>
  <c r="K1013" i="2"/>
  <c r="D573" i="2"/>
  <c r="D574" i="2"/>
  <c r="D631" i="2" s="1"/>
  <c r="F631" i="2" s="1"/>
  <c r="P570" i="2"/>
  <c r="Q570" i="2"/>
  <c r="Q574" i="2" s="1"/>
  <c r="J573" i="2"/>
  <c r="J574" i="2"/>
  <c r="J631" i="2" s="1"/>
  <c r="J575" i="2"/>
  <c r="J632" i="2" s="1"/>
  <c r="L632" i="2" s="1"/>
  <c r="R567" i="2"/>
  <c r="L1014" i="2"/>
  <c r="F130" i="5"/>
  <c r="D130" i="5"/>
  <c r="G130" i="4"/>
  <c r="K631" i="2"/>
  <c r="E91" i="5"/>
  <c r="F92" i="5" s="1"/>
  <c r="J1012" i="2"/>
  <c r="N1013" i="2" s="1"/>
  <c r="F575" i="2"/>
  <c r="C238" i="5"/>
  <c r="C239" i="5"/>
  <c r="C408" i="3"/>
  <c r="C407" i="3"/>
  <c r="D99" i="5"/>
  <c r="S137" i="5" s="1"/>
  <c r="E99" i="5"/>
  <c r="S167" i="5" s="1"/>
  <c r="C130" i="4"/>
  <c r="H130" i="4"/>
  <c r="C275" i="3"/>
  <c r="O978" i="2"/>
  <c r="P978" i="2" s="1"/>
  <c r="C410" i="3"/>
  <c r="C414" i="3" s="1"/>
  <c r="P975" i="2"/>
  <c r="O979" i="2"/>
  <c r="P979" i="2" s="1"/>
  <c r="M1012" i="2"/>
  <c r="Q1013" i="2" s="1"/>
  <c r="AE541" i="2"/>
  <c r="Y547" i="2" s="1"/>
  <c r="E257" i="3"/>
  <c r="S294" i="3"/>
  <c r="B294" i="3" s="1"/>
  <c r="AD430" i="2"/>
  <c r="F97" i="5"/>
  <c r="S164" i="5"/>
  <c r="R625" i="2"/>
  <c r="I62" i="4"/>
  <c r="L61" i="4"/>
  <c r="E87" i="4" s="1"/>
  <c r="H295" i="3"/>
  <c r="G295" i="3"/>
  <c r="F295" i="3"/>
  <c r="E295" i="3"/>
  <c r="D295" i="3"/>
  <c r="I295" i="3"/>
  <c r="C295" i="3"/>
  <c r="B295" i="3"/>
  <c r="B259" i="3"/>
  <c r="O94" i="3"/>
  <c r="M1082" i="2"/>
  <c r="J1175" i="2"/>
  <c r="I1174" i="2"/>
  <c r="S125" i="4"/>
  <c r="B125" i="4" s="1"/>
  <c r="E88" i="4"/>
  <c r="D262" i="3"/>
  <c r="E262" i="3"/>
  <c r="M1081" i="2"/>
  <c r="E296" i="3"/>
  <c r="B296" i="3"/>
  <c r="D296" i="3"/>
  <c r="F296" i="3"/>
  <c r="I296" i="3"/>
  <c r="C296" i="3"/>
  <c r="G296" i="3"/>
  <c r="H296" i="3"/>
  <c r="D93" i="4"/>
  <c r="E93" i="4"/>
  <c r="E88" i="5"/>
  <c r="S156" i="5" s="1"/>
  <c r="S125" i="5"/>
  <c r="J125" i="5" s="1"/>
  <c r="S333" i="3"/>
  <c r="P333" i="3" s="1"/>
  <c r="F266" i="3"/>
  <c r="I62" i="5"/>
  <c r="L61" i="5"/>
  <c r="E87" i="5" s="1"/>
  <c r="Q94" i="3"/>
  <c r="D93" i="5"/>
  <c r="E93" i="5"/>
  <c r="B127" i="4"/>
  <c r="H127" i="4"/>
  <c r="E127" i="4"/>
  <c r="D127" i="4"/>
  <c r="F127" i="4"/>
  <c r="G127" i="4"/>
  <c r="C127" i="4"/>
  <c r="I127" i="4"/>
  <c r="E264" i="3"/>
  <c r="S301" i="3"/>
  <c r="M1159" i="2"/>
  <c r="L1162" i="2"/>
  <c r="M1162" i="2" s="1"/>
  <c r="L1163" i="2"/>
  <c r="M1163" i="2" s="1"/>
  <c r="L1164" i="2"/>
  <c r="M1164" i="2" s="1"/>
  <c r="O806" i="2"/>
  <c r="O836" i="2" s="1"/>
  <c r="O864" i="2"/>
  <c r="AE542" i="2"/>
  <c r="G548" i="2" s="1"/>
  <c r="S136" i="4"/>
  <c r="E99" i="4"/>
  <c r="S167" i="4" s="1"/>
  <c r="I231" i="3"/>
  <c r="L230" i="3"/>
  <c r="E256" i="3" s="1"/>
  <c r="I799" i="2"/>
  <c r="I829" i="2" s="1"/>
  <c r="I857" i="2"/>
  <c r="D828" i="2"/>
  <c r="S828" i="2" s="1"/>
  <c r="S798" i="2"/>
  <c r="E95" i="5"/>
  <c r="S132" i="5"/>
  <c r="S166" i="5"/>
  <c r="F99" i="5"/>
  <c r="S197" i="5" s="1"/>
  <c r="M734" i="2"/>
  <c r="O734" i="2" s="1"/>
  <c r="F740" i="2" s="1"/>
  <c r="O659" i="2"/>
  <c r="D857" i="2"/>
  <c r="D799" i="2"/>
  <c r="D829" i="2" s="1"/>
  <c r="S129" i="5"/>
  <c r="E92" i="5"/>
  <c r="S134" i="5"/>
  <c r="E97" i="5"/>
  <c r="C801" i="2"/>
  <c r="C859" i="2"/>
  <c r="S164" i="4"/>
  <c r="O164" i="4" s="1"/>
  <c r="F97" i="4"/>
  <c r="F858" i="2"/>
  <c r="S858" i="2" s="1"/>
  <c r="F800" i="2"/>
  <c r="F830" i="2" s="1"/>
  <c r="S830" i="2" s="1"/>
  <c r="S770" i="2"/>
  <c r="L1175" i="2"/>
  <c r="P1176" i="2" s="1"/>
  <c r="S132" i="4"/>
  <c r="E95" i="4"/>
  <c r="K1135" i="2"/>
  <c r="M1135" i="2" s="1"/>
  <c r="M1133" i="2"/>
  <c r="K1136" i="2"/>
  <c r="M1136" i="2" s="1"/>
  <c r="K1137" i="2"/>
  <c r="M1137" i="2" s="1"/>
  <c r="B90" i="4"/>
  <c r="P94" i="3"/>
  <c r="I1175" i="2"/>
  <c r="J1176" i="2"/>
  <c r="D89" i="5"/>
  <c r="E89" i="5"/>
  <c r="AE543" i="2"/>
  <c r="S298" i="3"/>
  <c r="E261" i="3"/>
  <c r="G128" i="5"/>
  <c r="B128" i="5"/>
  <c r="H128" i="5"/>
  <c r="C128" i="5"/>
  <c r="E128" i="5"/>
  <c r="F128" i="5"/>
  <c r="I128" i="5"/>
  <c r="D128" i="5"/>
  <c r="E829" i="2"/>
  <c r="S129" i="4"/>
  <c r="E92" i="4"/>
  <c r="K863" i="2"/>
  <c r="K804" i="2"/>
  <c r="M1014" i="2"/>
  <c r="I801" i="2"/>
  <c r="I859" i="2"/>
  <c r="R624" i="2"/>
  <c r="J859" i="2"/>
  <c r="J801" i="2"/>
  <c r="S775" i="2" l="1"/>
  <c r="Q336" i="3"/>
  <c r="R304" i="3"/>
  <c r="Q166" i="4"/>
  <c r="O166" i="4"/>
  <c r="R306" i="3"/>
  <c r="P336" i="3"/>
  <c r="L132" i="5"/>
  <c r="N132" i="5"/>
  <c r="M132" i="5"/>
  <c r="K132" i="5"/>
  <c r="O336" i="3"/>
  <c r="Q134" i="4"/>
  <c r="P134" i="4"/>
  <c r="O134" i="4"/>
  <c r="P164" i="4"/>
  <c r="P166" i="4"/>
  <c r="Q164" i="4"/>
  <c r="L132" i="4"/>
  <c r="N132" i="4"/>
  <c r="M132" i="4"/>
  <c r="K132" i="4"/>
  <c r="P136" i="4"/>
  <c r="P167" i="4" s="1"/>
  <c r="O136" i="4"/>
  <c r="O167" i="4" s="1"/>
  <c r="Q136" i="4"/>
  <c r="Q167" i="4" s="1"/>
  <c r="O333" i="3"/>
  <c r="R305" i="3"/>
  <c r="Q333" i="3"/>
  <c r="K301" i="3"/>
  <c r="M301" i="3"/>
  <c r="L301" i="3"/>
  <c r="N301" i="3"/>
  <c r="R136" i="5"/>
  <c r="P1014" i="2"/>
  <c r="C66" i="4"/>
  <c r="R133" i="4"/>
  <c r="Q135" i="5"/>
  <c r="Q166" i="5" s="1"/>
  <c r="Q197" i="5" s="1"/>
  <c r="B125" i="5"/>
  <c r="B156" i="5" s="1"/>
  <c r="C125" i="5"/>
  <c r="C156" i="5" s="1"/>
  <c r="O1177" i="2"/>
  <c r="K1014" i="2"/>
  <c r="P1177" i="2"/>
  <c r="Q1014" i="2"/>
  <c r="O135" i="5"/>
  <c r="O166" i="5" s="1"/>
  <c r="O197" i="5" s="1"/>
  <c r="D403" i="3"/>
  <c r="D408" i="3" s="1"/>
  <c r="P135" i="5"/>
  <c r="P166" i="5" s="1"/>
  <c r="P197" i="5" s="1"/>
  <c r="S303" i="3"/>
  <c r="F574" i="2"/>
  <c r="Q167" i="5"/>
  <c r="D234" i="4"/>
  <c r="D239" i="4" s="1"/>
  <c r="E97" i="4"/>
  <c r="E234" i="4" s="1"/>
  <c r="E238" i="4" s="1"/>
  <c r="F259" i="3"/>
  <c r="G260" i="3" s="1"/>
  <c r="H261" i="3" s="1"/>
  <c r="I262" i="3" s="1"/>
  <c r="J263" i="3" s="1"/>
  <c r="K264" i="3" s="1"/>
  <c r="L265" i="3" s="1"/>
  <c r="M266" i="3" s="1"/>
  <c r="S863" i="2"/>
  <c r="G126" i="4"/>
  <c r="G157" i="4" s="1"/>
  <c r="F126" i="4"/>
  <c r="F157" i="4" s="1"/>
  <c r="E126" i="4"/>
  <c r="E157" i="4" s="1"/>
  <c r="H126" i="4"/>
  <c r="H157" i="4" s="1"/>
  <c r="B126" i="4"/>
  <c r="B157" i="4" s="1"/>
  <c r="F90" i="4"/>
  <c r="S188" i="4" s="1"/>
  <c r="C126" i="4"/>
  <c r="C157" i="4" s="1"/>
  <c r="D126" i="4"/>
  <c r="D157" i="4" s="1"/>
  <c r="F99" i="4"/>
  <c r="S197" i="4" s="1"/>
  <c r="J126" i="5"/>
  <c r="S335" i="3"/>
  <c r="Q335" i="3" s="1"/>
  <c r="Q366" i="3" s="1"/>
  <c r="L575" i="2"/>
  <c r="Q834" i="2"/>
  <c r="P834" i="2"/>
  <c r="M1177" i="2"/>
  <c r="S159" i="5"/>
  <c r="C159" i="5" s="1"/>
  <c r="S857" i="2"/>
  <c r="J299" i="3"/>
  <c r="J130" i="5"/>
  <c r="P547" i="2"/>
  <c r="J130" i="4"/>
  <c r="O167" i="5"/>
  <c r="P167" i="5"/>
  <c r="E403" i="3"/>
  <c r="E408" i="3" s="1"/>
  <c r="A226" i="3"/>
  <c r="A56" i="4"/>
  <c r="Q573" i="2"/>
  <c r="Q575" i="2"/>
  <c r="R570" i="2"/>
  <c r="M631" i="2"/>
  <c r="O631" i="2" s="1"/>
  <c r="O574" i="2"/>
  <c r="L574" i="2"/>
  <c r="R571" i="2"/>
  <c r="P574" i="2"/>
  <c r="P631" i="2" s="1"/>
  <c r="P575" i="2"/>
  <c r="P632" i="2" s="1"/>
  <c r="P573" i="2"/>
  <c r="P630" i="2" s="1"/>
  <c r="O573" i="2"/>
  <c r="N752" i="2" s="1"/>
  <c r="M630" i="2"/>
  <c r="O630" i="2" s="1"/>
  <c r="L631" i="2"/>
  <c r="O575" i="2"/>
  <c r="M632" i="2"/>
  <c r="O632" i="2" s="1"/>
  <c r="S800" i="2"/>
  <c r="D630" i="2"/>
  <c r="F630" i="2" s="1"/>
  <c r="F573" i="2"/>
  <c r="K752" i="2" s="1"/>
  <c r="G632" i="2"/>
  <c r="I632" i="2" s="1"/>
  <c r="I575" i="2"/>
  <c r="O1014" i="2"/>
  <c r="N1014" i="2"/>
  <c r="G630" i="2"/>
  <c r="I630" i="2" s="1"/>
  <c r="I573" i="2"/>
  <c r="L752" i="2" s="1"/>
  <c r="D234" i="5"/>
  <c r="D239" i="5" s="1"/>
  <c r="G631" i="2"/>
  <c r="I631" i="2" s="1"/>
  <c r="I574" i="2"/>
  <c r="L573" i="2"/>
  <c r="M752" i="2" s="1"/>
  <c r="J630" i="2"/>
  <c r="L630" i="2" s="1"/>
  <c r="Q631" i="2"/>
  <c r="I742" i="2"/>
  <c r="F741" i="2"/>
  <c r="S799" i="2"/>
  <c r="I741" i="2"/>
  <c r="J294" i="3"/>
  <c r="L742" i="2"/>
  <c r="S829" i="2"/>
  <c r="F742" i="2"/>
  <c r="J548" i="2"/>
  <c r="M548" i="2"/>
  <c r="P137" i="5"/>
  <c r="Q137" i="5"/>
  <c r="O137" i="5"/>
  <c r="P548" i="2"/>
  <c r="D548" i="2"/>
  <c r="V547" i="2"/>
  <c r="D547" i="2"/>
  <c r="S547" i="2"/>
  <c r="G547" i="2"/>
  <c r="AB547" i="2"/>
  <c r="J547" i="2"/>
  <c r="M547" i="2"/>
  <c r="J128" i="5"/>
  <c r="I157" i="4"/>
  <c r="D326" i="3"/>
  <c r="F89" i="5"/>
  <c r="S187" i="5" s="1"/>
  <c r="O134" i="5"/>
  <c r="P134" i="5"/>
  <c r="Q134" i="5"/>
  <c r="F257" i="3"/>
  <c r="S324" i="3"/>
  <c r="AD431" i="2"/>
  <c r="S131" i="5"/>
  <c r="E94" i="5"/>
  <c r="E227" i="5" s="1"/>
  <c r="D227" i="5"/>
  <c r="S161" i="4"/>
  <c r="F94" i="4"/>
  <c r="F263" i="3"/>
  <c r="S330" i="3"/>
  <c r="L330" i="3" s="1"/>
  <c r="I326" i="3"/>
  <c r="I63" i="4"/>
  <c r="G98" i="5"/>
  <c r="S195" i="5"/>
  <c r="G125" i="5"/>
  <c r="G156" i="5" s="1"/>
  <c r="F125" i="5"/>
  <c r="F156" i="5" s="1"/>
  <c r="D125" i="5"/>
  <c r="D156" i="5" s="1"/>
  <c r="I125" i="5"/>
  <c r="I156" i="5" s="1"/>
  <c r="H125" i="5"/>
  <c r="H156" i="5" s="1"/>
  <c r="E125" i="5"/>
  <c r="E156" i="5" s="1"/>
  <c r="S131" i="4"/>
  <c r="E94" i="4"/>
  <c r="E227" i="4" s="1"/>
  <c r="D227" i="4"/>
  <c r="S163" i="4"/>
  <c r="F96" i="4"/>
  <c r="G98" i="4"/>
  <c r="S195" i="4"/>
  <c r="O195" i="4" s="1"/>
  <c r="F88" i="5"/>
  <c r="S155" i="5"/>
  <c r="E326" i="3"/>
  <c r="G294" i="3"/>
  <c r="E294" i="3"/>
  <c r="C294" i="3"/>
  <c r="D294" i="3"/>
  <c r="I294" i="3"/>
  <c r="H294" i="3"/>
  <c r="F294" i="3"/>
  <c r="I232" i="3"/>
  <c r="Q430" i="2"/>
  <c r="G767" i="2" s="1"/>
  <c r="W430" i="2"/>
  <c r="I767" i="2" s="1"/>
  <c r="B430" i="2"/>
  <c r="B767" i="2" s="1"/>
  <c r="H430" i="2"/>
  <c r="D767" i="2" s="1"/>
  <c r="K430" i="2"/>
  <c r="E767" i="2" s="1"/>
  <c r="Z430" i="2"/>
  <c r="J767" i="2" s="1"/>
  <c r="E430" i="2"/>
  <c r="C767" i="2" s="1"/>
  <c r="N430" i="2"/>
  <c r="F767" i="2" s="1"/>
  <c r="T430" i="2"/>
  <c r="H767" i="2" s="1"/>
  <c r="N1177" i="2"/>
  <c r="O834" i="2"/>
  <c r="M1176" i="2"/>
  <c r="S160" i="5"/>
  <c r="F93" i="5"/>
  <c r="F96" i="5"/>
  <c r="S163" i="5"/>
  <c r="I63" i="5"/>
  <c r="J296" i="3"/>
  <c r="F326" i="3"/>
  <c r="S325" i="3"/>
  <c r="F258" i="3"/>
  <c r="D90" i="4"/>
  <c r="E90" i="4"/>
  <c r="D129" i="5"/>
  <c r="C129" i="5"/>
  <c r="G129" i="5"/>
  <c r="H129" i="5"/>
  <c r="I129" i="5"/>
  <c r="E129" i="5"/>
  <c r="F129" i="5"/>
  <c r="B129" i="5"/>
  <c r="V548" i="2"/>
  <c r="Y548" i="2"/>
  <c r="AB548" i="2"/>
  <c r="S548" i="2"/>
  <c r="D259" i="3"/>
  <c r="E259" i="3"/>
  <c r="G326" i="3"/>
  <c r="S300" i="3"/>
  <c r="E263" i="3"/>
  <c r="D396" i="3"/>
  <c r="H326" i="3"/>
  <c r="S364" i="3"/>
  <c r="G267" i="3"/>
  <c r="H268" i="3" s="1"/>
  <c r="S156" i="4"/>
  <c r="F89" i="4"/>
  <c r="J295" i="3"/>
  <c r="F265" i="3"/>
  <c r="S332" i="3"/>
  <c r="J127" i="4"/>
  <c r="J125" i="4"/>
  <c r="C125" i="4"/>
  <c r="D125" i="4"/>
  <c r="G125" i="4"/>
  <c r="I125" i="4"/>
  <c r="F125" i="4"/>
  <c r="E125" i="4"/>
  <c r="H125" i="4"/>
  <c r="B326" i="3"/>
  <c r="N1176" i="2"/>
  <c r="M1175" i="2"/>
  <c r="S165" i="5"/>
  <c r="F98" i="5"/>
  <c r="E234" i="5"/>
  <c r="I740" i="2"/>
  <c r="L740" i="2"/>
  <c r="S161" i="5"/>
  <c r="F94" i="5"/>
  <c r="F267" i="3"/>
  <c r="S334" i="3"/>
  <c r="C326" i="3"/>
  <c r="F88" i="4"/>
  <c r="S155" i="4"/>
  <c r="Q164" i="5"/>
  <c r="P164" i="5"/>
  <c r="O164" i="5"/>
  <c r="S157" i="5"/>
  <c r="F90" i="5"/>
  <c r="E298" i="3"/>
  <c r="D298" i="3"/>
  <c r="I298" i="3"/>
  <c r="G298" i="3"/>
  <c r="B298" i="3"/>
  <c r="H298" i="3"/>
  <c r="F298" i="3"/>
  <c r="C298" i="3"/>
  <c r="S801" i="2"/>
  <c r="E90" i="5"/>
  <c r="D218" i="5"/>
  <c r="S127" i="5"/>
  <c r="D100" i="5"/>
  <c r="D103" i="5" s="1"/>
  <c r="M549" i="2"/>
  <c r="G549" i="2"/>
  <c r="J549" i="2"/>
  <c r="Y549" i="2"/>
  <c r="D549" i="2"/>
  <c r="V549" i="2"/>
  <c r="P549" i="2"/>
  <c r="AB549" i="2"/>
  <c r="S549" i="2"/>
  <c r="S859" i="2"/>
  <c r="G93" i="5"/>
  <c r="S190" i="5"/>
  <c r="S160" i="4"/>
  <c r="F93" i="4"/>
  <c r="F262" i="3"/>
  <c r="S329" i="3"/>
  <c r="D129" i="4"/>
  <c r="F129" i="4"/>
  <c r="G129" i="4"/>
  <c r="E129" i="4"/>
  <c r="C129" i="4"/>
  <c r="I129" i="4"/>
  <c r="B129" i="4"/>
  <c r="H129" i="4"/>
  <c r="R336" i="3" l="1"/>
  <c r="O197" i="4"/>
  <c r="R197" i="5"/>
  <c r="Q195" i="5"/>
  <c r="P195" i="5"/>
  <c r="R134" i="5"/>
  <c r="N332" i="3"/>
  <c r="Q195" i="4"/>
  <c r="O195" i="5"/>
  <c r="Q1177" i="2"/>
  <c r="R301" i="3"/>
  <c r="K161" i="5"/>
  <c r="N161" i="5"/>
  <c r="M161" i="5"/>
  <c r="N131" i="4"/>
  <c r="L131" i="4"/>
  <c r="M131" i="4"/>
  <c r="K131" i="4"/>
  <c r="L332" i="3"/>
  <c r="O335" i="3"/>
  <c r="O366" i="3" s="1"/>
  <c r="R137" i="5"/>
  <c r="M332" i="3"/>
  <c r="Q197" i="4"/>
  <c r="L161" i="5"/>
  <c r="P197" i="4"/>
  <c r="K163" i="5"/>
  <c r="N161" i="4"/>
  <c r="K161" i="4"/>
  <c r="M161" i="4"/>
  <c r="K332" i="3"/>
  <c r="K163" i="4"/>
  <c r="L161" i="4"/>
  <c r="P195" i="4"/>
  <c r="M163" i="5"/>
  <c r="Q364" i="3"/>
  <c r="M163" i="4"/>
  <c r="N163" i="5"/>
  <c r="O303" i="3"/>
  <c r="O334" i="3" s="1"/>
  <c r="Q303" i="3"/>
  <c r="Q334" i="3" s="1"/>
  <c r="P303" i="3"/>
  <c r="P334" i="3" s="1"/>
  <c r="N163" i="4"/>
  <c r="L163" i="5"/>
  <c r="N330" i="3"/>
  <c r="K330" i="3"/>
  <c r="M330" i="3"/>
  <c r="M131" i="5"/>
  <c r="N131" i="5"/>
  <c r="K131" i="5"/>
  <c r="L131" i="5"/>
  <c r="O364" i="3"/>
  <c r="L163" i="4"/>
  <c r="R333" i="3"/>
  <c r="P335" i="3"/>
  <c r="P366" i="3" s="1"/>
  <c r="P364" i="3"/>
  <c r="R167" i="5"/>
  <c r="C67" i="4"/>
  <c r="R135" i="5"/>
  <c r="K300" i="3"/>
  <c r="M300" i="3"/>
  <c r="N300" i="3"/>
  <c r="L300" i="3"/>
  <c r="R167" i="4"/>
  <c r="R164" i="5"/>
  <c r="R134" i="4"/>
  <c r="R166" i="5"/>
  <c r="R137" i="4"/>
  <c r="R135" i="4"/>
  <c r="R779" i="2"/>
  <c r="R778" i="2"/>
  <c r="S778" i="2" s="1"/>
  <c r="R777" i="2"/>
  <c r="S777" i="2" s="1"/>
  <c r="D407" i="3"/>
  <c r="S357" i="3"/>
  <c r="B357" i="3" s="1"/>
  <c r="D238" i="4"/>
  <c r="F98" i="4"/>
  <c r="S196" i="4" s="1"/>
  <c r="S165" i="4"/>
  <c r="Q165" i="4" s="1"/>
  <c r="G159" i="5"/>
  <c r="G190" i="5" s="1"/>
  <c r="D159" i="5"/>
  <c r="D190" i="5" s="1"/>
  <c r="F159" i="5"/>
  <c r="F190" i="5" s="1"/>
  <c r="J126" i="4"/>
  <c r="G91" i="4"/>
  <c r="E407" i="3"/>
  <c r="R574" i="2"/>
  <c r="H159" i="5"/>
  <c r="H190" i="5" s="1"/>
  <c r="D238" i="5"/>
  <c r="B159" i="5"/>
  <c r="B190" i="5" s="1"/>
  <c r="E159" i="5"/>
  <c r="E190" i="5" s="1"/>
  <c r="D160" i="5"/>
  <c r="R631" i="2"/>
  <c r="F637" i="2" s="1"/>
  <c r="I159" i="5"/>
  <c r="B156" i="4"/>
  <c r="I188" i="4"/>
  <c r="E239" i="4"/>
  <c r="A57" i="4"/>
  <c r="A227" i="3"/>
  <c r="B188" i="4"/>
  <c r="M773" i="2"/>
  <c r="M802" i="2"/>
  <c r="M832" i="2" s="1"/>
  <c r="M831" i="2"/>
  <c r="N773" i="2"/>
  <c r="N831" i="2"/>
  <c r="N802" i="2"/>
  <c r="N832" i="2" s="1"/>
  <c r="H188" i="4"/>
  <c r="K802" i="2"/>
  <c r="K832" i="2" s="1"/>
  <c r="K773" i="2"/>
  <c r="K831" i="2"/>
  <c r="Q632" i="2"/>
  <c r="R632" i="2" s="1"/>
  <c r="O638" i="2" s="1"/>
  <c r="R575" i="2"/>
  <c r="Q630" i="2"/>
  <c r="R630" i="2" s="1"/>
  <c r="R573" i="2"/>
  <c r="L773" i="2"/>
  <c r="L802" i="2"/>
  <c r="L832" i="2" s="1"/>
  <c r="L831" i="2"/>
  <c r="G90" i="5"/>
  <c r="H91" i="5" s="1"/>
  <c r="G188" i="4"/>
  <c r="O165" i="5"/>
  <c r="F188" i="4"/>
  <c r="G160" i="5"/>
  <c r="C188" i="4"/>
  <c r="C160" i="5"/>
  <c r="I160" i="5"/>
  <c r="H160" i="5"/>
  <c r="J129" i="4"/>
  <c r="F160" i="5"/>
  <c r="E160" i="5"/>
  <c r="C156" i="4"/>
  <c r="J156" i="5"/>
  <c r="D156" i="4"/>
  <c r="D188" i="4"/>
  <c r="H156" i="4"/>
  <c r="E156" i="4"/>
  <c r="F156" i="4"/>
  <c r="I156" i="4"/>
  <c r="G156" i="4"/>
  <c r="F325" i="3"/>
  <c r="E232" i="4"/>
  <c r="E231" i="4"/>
  <c r="E855" i="2"/>
  <c r="E797" i="2"/>
  <c r="E827" i="2" s="1"/>
  <c r="G325" i="3"/>
  <c r="H99" i="4"/>
  <c r="J157" i="4"/>
  <c r="P165" i="5"/>
  <c r="S365" i="3"/>
  <c r="G268" i="3"/>
  <c r="S187" i="4"/>
  <c r="G90" i="4"/>
  <c r="F264" i="3"/>
  <c r="F396" i="3" s="1"/>
  <c r="S331" i="3"/>
  <c r="B855" i="2"/>
  <c r="S767" i="2"/>
  <c r="B797" i="2"/>
  <c r="H325" i="3"/>
  <c r="N431" i="2"/>
  <c r="F796" i="2" s="1"/>
  <c r="F826" i="2" s="1"/>
  <c r="H431" i="2"/>
  <c r="D796" i="2" s="1"/>
  <c r="D826" i="2" s="1"/>
  <c r="W431" i="2"/>
  <c r="I796" i="2" s="1"/>
  <c r="I826" i="2" s="1"/>
  <c r="Q431" i="2"/>
  <c r="G796" i="2" s="1"/>
  <c r="G826" i="2" s="1"/>
  <c r="E431" i="2"/>
  <c r="C796" i="2" s="1"/>
  <c r="C826" i="2" s="1"/>
  <c r="K431" i="2"/>
  <c r="E796" i="2" s="1"/>
  <c r="E826" i="2" s="1"/>
  <c r="B431" i="2"/>
  <c r="B796" i="2" s="1"/>
  <c r="T431" i="2"/>
  <c r="H796" i="2" s="1"/>
  <c r="H826" i="2" s="1"/>
  <c r="Z431" i="2"/>
  <c r="J796" i="2" s="1"/>
  <c r="J826" i="2" s="1"/>
  <c r="D797" i="2"/>
  <c r="D827" i="2" s="1"/>
  <c r="D855" i="2"/>
  <c r="S194" i="4"/>
  <c r="Q194" i="4" s="1"/>
  <c r="G97" i="4"/>
  <c r="E231" i="5"/>
  <c r="E232" i="5"/>
  <c r="B160" i="5"/>
  <c r="J129" i="5"/>
  <c r="F91" i="4"/>
  <c r="S158" i="4"/>
  <c r="I855" i="2"/>
  <c r="I797" i="2"/>
  <c r="I827" i="2" s="1"/>
  <c r="I325" i="3"/>
  <c r="T324" i="5"/>
  <c r="H99" i="5"/>
  <c r="T353" i="5" s="1"/>
  <c r="S192" i="5"/>
  <c r="G95" i="5"/>
  <c r="E239" i="5"/>
  <c r="E238" i="5"/>
  <c r="S128" i="4"/>
  <c r="E91" i="4"/>
  <c r="E218" i="4" s="1"/>
  <c r="D100" i="4"/>
  <c r="D218" i="4"/>
  <c r="I64" i="5"/>
  <c r="G97" i="5"/>
  <c r="S194" i="5"/>
  <c r="P194" i="5" s="1"/>
  <c r="F234" i="5"/>
  <c r="H797" i="2"/>
  <c r="H827" i="2" s="1"/>
  <c r="H855" i="2"/>
  <c r="G855" i="2"/>
  <c r="G797" i="2"/>
  <c r="G827" i="2" s="1"/>
  <c r="B325" i="3"/>
  <c r="D231" i="4"/>
  <c r="D232" i="4"/>
  <c r="G95" i="4"/>
  <c r="S192" i="4"/>
  <c r="G258" i="3"/>
  <c r="H259" i="3" s="1"/>
  <c r="I260" i="3" s="1"/>
  <c r="J261" i="3" s="1"/>
  <c r="K262" i="3" s="1"/>
  <c r="S355" i="3"/>
  <c r="S196" i="5"/>
  <c r="G99" i="5"/>
  <c r="T325" i="5" s="1"/>
  <c r="J326" i="3"/>
  <c r="F797" i="2"/>
  <c r="F827" i="2" s="1"/>
  <c r="F855" i="2"/>
  <c r="D325" i="3"/>
  <c r="F95" i="4"/>
  <c r="F227" i="4" s="1"/>
  <c r="S162" i="4"/>
  <c r="I64" i="4"/>
  <c r="E188" i="4"/>
  <c r="D401" i="3"/>
  <c r="D400" i="3"/>
  <c r="S186" i="4"/>
  <c r="G89" i="4"/>
  <c r="Q1176" i="2"/>
  <c r="S363" i="3"/>
  <c r="G266" i="3"/>
  <c r="H267" i="3" s="1"/>
  <c r="I268" i="3" s="1"/>
  <c r="F403" i="3"/>
  <c r="S327" i="3"/>
  <c r="F260" i="3"/>
  <c r="S191" i="5"/>
  <c r="L191" i="5" s="1"/>
  <c r="G94" i="5"/>
  <c r="C797" i="2"/>
  <c r="C827" i="2" s="1"/>
  <c r="C855" i="2"/>
  <c r="I233" i="3"/>
  <c r="C325" i="3"/>
  <c r="S186" i="5"/>
  <c r="G89" i="5"/>
  <c r="D231" i="5"/>
  <c r="D232" i="5"/>
  <c r="S361" i="3"/>
  <c r="L361" i="3" s="1"/>
  <c r="G264" i="3"/>
  <c r="H265" i="3" s="1"/>
  <c r="S297" i="3"/>
  <c r="E260" i="3"/>
  <c r="D387" i="3"/>
  <c r="D269" i="3"/>
  <c r="S356" i="3"/>
  <c r="G259" i="3"/>
  <c r="H260" i="3" s="1"/>
  <c r="I261" i="3" s="1"/>
  <c r="J262" i="3" s="1"/>
  <c r="K263" i="3" s="1"/>
  <c r="L264" i="3" s="1"/>
  <c r="M265" i="3" s="1"/>
  <c r="J797" i="2"/>
  <c r="J827" i="2" s="1"/>
  <c r="J855" i="2"/>
  <c r="E325" i="3"/>
  <c r="E396" i="3"/>
  <c r="S162" i="5"/>
  <c r="F95" i="5"/>
  <c r="Q165" i="5"/>
  <c r="D241" i="5"/>
  <c r="D245" i="5" s="1"/>
  <c r="D112" i="5"/>
  <c r="C44" i="1" s="1"/>
  <c r="D105" i="5"/>
  <c r="D106" i="5"/>
  <c r="C39" i="1" s="1"/>
  <c r="C37" i="1"/>
  <c r="C49" i="1" s="1"/>
  <c r="S140" i="5"/>
  <c r="S144" i="5" s="1"/>
  <c r="S191" i="4"/>
  <c r="K191" i="4" s="1"/>
  <c r="G94" i="4"/>
  <c r="I160" i="4"/>
  <c r="G187" i="5"/>
  <c r="F187" i="5"/>
  <c r="C187" i="5"/>
  <c r="D187" i="5"/>
  <c r="B187" i="5"/>
  <c r="H187" i="5"/>
  <c r="I187" i="5"/>
  <c r="E187" i="5"/>
  <c r="F329" i="3"/>
  <c r="S188" i="5"/>
  <c r="G91" i="5"/>
  <c r="S360" i="3"/>
  <c r="K360" i="3" s="1"/>
  <c r="G263" i="3"/>
  <c r="G127" i="5"/>
  <c r="I127" i="5"/>
  <c r="H127" i="5"/>
  <c r="C127" i="5"/>
  <c r="F127" i="5"/>
  <c r="D127" i="5"/>
  <c r="E127" i="5"/>
  <c r="B127" i="5"/>
  <c r="B329" i="3"/>
  <c r="C160" i="4"/>
  <c r="T319" i="5"/>
  <c r="M319" i="5" s="1"/>
  <c r="H94" i="5"/>
  <c r="D223" i="5"/>
  <c r="D222" i="5"/>
  <c r="G329" i="3"/>
  <c r="H329" i="3"/>
  <c r="H157" i="5"/>
  <c r="E157" i="5"/>
  <c r="G157" i="5"/>
  <c r="D157" i="5"/>
  <c r="F157" i="5"/>
  <c r="I157" i="5"/>
  <c r="B157" i="5"/>
  <c r="C157" i="5"/>
  <c r="E160" i="4"/>
  <c r="C190" i="5"/>
  <c r="G160" i="4"/>
  <c r="F91" i="5"/>
  <c r="S158" i="5"/>
  <c r="I329" i="3"/>
  <c r="D329" i="3"/>
  <c r="S138" i="5"/>
  <c r="E100" i="5"/>
  <c r="F160" i="4"/>
  <c r="H160" i="4"/>
  <c r="D160" i="4"/>
  <c r="J298" i="3"/>
  <c r="E329" i="3"/>
  <c r="E218" i="5"/>
  <c r="B160" i="4"/>
  <c r="C329" i="3"/>
  <c r="R867" i="2" l="1"/>
  <c r="S867" i="2" s="1"/>
  <c r="S779" i="2"/>
  <c r="R195" i="5"/>
  <c r="R366" i="3"/>
  <c r="Q196" i="5"/>
  <c r="R332" i="3"/>
  <c r="N192" i="4"/>
  <c r="O194" i="5"/>
  <c r="Q196" i="4"/>
  <c r="R364" i="3"/>
  <c r="P165" i="4"/>
  <c r="P196" i="4" s="1"/>
  <c r="P365" i="3"/>
  <c r="M162" i="5"/>
  <c r="O365" i="3"/>
  <c r="K192" i="4"/>
  <c r="M162" i="4"/>
  <c r="R334" i="3"/>
  <c r="P196" i="5"/>
  <c r="M361" i="3"/>
  <c r="L162" i="4"/>
  <c r="P363" i="3"/>
  <c r="L331" i="3"/>
  <c r="K361" i="3"/>
  <c r="L191" i="4"/>
  <c r="N162" i="4"/>
  <c r="Q363" i="3"/>
  <c r="N331" i="3"/>
  <c r="N361" i="3"/>
  <c r="O196" i="5"/>
  <c r="M331" i="3"/>
  <c r="R330" i="3"/>
  <c r="L192" i="5"/>
  <c r="M192" i="5"/>
  <c r="K331" i="3"/>
  <c r="R300" i="3"/>
  <c r="N192" i="5"/>
  <c r="O165" i="4"/>
  <c r="O196" i="4" s="1"/>
  <c r="K192" i="5"/>
  <c r="M191" i="4"/>
  <c r="O194" i="4"/>
  <c r="R335" i="3"/>
  <c r="K191" i="5"/>
  <c r="L192" i="4"/>
  <c r="N191" i="5"/>
  <c r="N191" i="4"/>
  <c r="M191" i="5"/>
  <c r="L162" i="5"/>
  <c r="P194" i="4"/>
  <c r="L360" i="3"/>
  <c r="K162" i="5"/>
  <c r="R303" i="3"/>
  <c r="O363" i="3"/>
  <c r="N162" i="5"/>
  <c r="Q365" i="3"/>
  <c r="M192" i="4"/>
  <c r="K162" i="4"/>
  <c r="Q194" i="5"/>
  <c r="C68" i="4"/>
  <c r="R136" i="4"/>
  <c r="R165" i="5"/>
  <c r="R131" i="4"/>
  <c r="R132" i="4"/>
  <c r="R197" i="4"/>
  <c r="R166" i="4"/>
  <c r="R164" i="4"/>
  <c r="R865" i="2"/>
  <c r="S865" i="2" s="1"/>
  <c r="R808" i="2"/>
  <c r="S808" i="2" s="1"/>
  <c r="N360" i="3"/>
  <c r="R774" i="2"/>
  <c r="S774" i="2" s="1"/>
  <c r="D357" i="3"/>
  <c r="R866" i="2"/>
  <c r="S866" i="2" s="1"/>
  <c r="C357" i="3"/>
  <c r="H357" i="3"/>
  <c r="G357" i="3"/>
  <c r="E357" i="3"/>
  <c r="F357" i="3"/>
  <c r="I357" i="3"/>
  <c r="F234" i="4"/>
  <c r="F239" i="4" s="1"/>
  <c r="G99" i="4"/>
  <c r="H92" i="4"/>
  <c r="I93" i="4" s="1"/>
  <c r="J94" i="4" s="1"/>
  <c r="K95" i="4" s="1"/>
  <c r="L96" i="4" s="1"/>
  <c r="M97" i="4" s="1"/>
  <c r="I637" i="2"/>
  <c r="J159" i="5"/>
  <c r="I190" i="5"/>
  <c r="J190" i="5" s="1"/>
  <c r="L637" i="2"/>
  <c r="O637" i="2"/>
  <c r="Q324" i="5"/>
  <c r="Q353" i="5" s="1"/>
  <c r="A58" i="4"/>
  <c r="A228" i="3"/>
  <c r="N803" i="2"/>
  <c r="N833" i="2" s="1"/>
  <c r="N861" i="2"/>
  <c r="G227" i="5"/>
  <c r="G231" i="5" s="1"/>
  <c r="L803" i="2"/>
  <c r="L833" i="2" s="1"/>
  <c r="L861" i="2"/>
  <c r="K861" i="2"/>
  <c r="K803" i="2"/>
  <c r="K833" i="2" s="1"/>
  <c r="M861" i="2"/>
  <c r="M803" i="2"/>
  <c r="M833" i="2" s="1"/>
  <c r="O636" i="2"/>
  <c r="F636" i="2"/>
  <c r="L636" i="2"/>
  <c r="L638" i="2"/>
  <c r="F638" i="2"/>
  <c r="I638" i="2"/>
  <c r="I636" i="2"/>
  <c r="T316" i="5"/>
  <c r="D316" i="5" s="1"/>
  <c r="J188" i="4"/>
  <c r="J160" i="5"/>
  <c r="H188" i="5"/>
  <c r="C187" i="4"/>
  <c r="O319" i="5"/>
  <c r="G187" i="4"/>
  <c r="J156" i="4"/>
  <c r="E188" i="5"/>
  <c r="D187" i="4"/>
  <c r="F187" i="4"/>
  <c r="H187" i="4"/>
  <c r="I187" i="4"/>
  <c r="C188" i="5"/>
  <c r="B188" i="5"/>
  <c r="D356" i="3"/>
  <c r="I188" i="5"/>
  <c r="E356" i="3"/>
  <c r="F188" i="5"/>
  <c r="D188" i="5"/>
  <c r="G188" i="5"/>
  <c r="E222" i="4"/>
  <c r="E223" i="4"/>
  <c r="I65" i="5"/>
  <c r="J329" i="3"/>
  <c r="J127" i="5"/>
  <c r="D392" i="3"/>
  <c r="D391" i="3"/>
  <c r="I266" i="3"/>
  <c r="J267" i="3" s="1"/>
  <c r="K268" i="3" s="1"/>
  <c r="E327" i="3"/>
  <c r="I327" i="3"/>
  <c r="H327" i="3"/>
  <c r="F327" i="3"/>
  <c r="B327" i="3"/>
  <c r="G327" i="3"/>
  <c r="C327" i="3"/>
  <c r="D327" i="3"/>
  <c r="B356" i="3"/>
  <c r="G96" i="5"/>
  <c r="S193" i="5"/>
  <c r="G297" i="3"/>
  <c r="D297" i="3"/>
  <c r="C297" i="3"/>
  <c r="H297" i="3"/>
  <c r="B297" i="3"/>
  <c r="I297" i="3"/>
  <c r="E297" i="3"/>
  <c r="F297" i="3"/>
  <c r="F227" i="5"/>
  <c r="H90" i="4"/>
  <c r="H96" i="4"/>
  <c r="D222" i="4"/>
  <c r="D223" i="4"/>
  <c r="S362" i="3"/>
  <c r="G265" i="3"/>
  <c r="T315" i="5"/>
  <c r="K315" i="5" s="1"/>
  <c r="H90" i="5"/>
  <c r="T320" i="5"/>
  <c r="H95" i="5"/>
  <c r="F407" i="3"/>
  <c r="F408" i="3"/>
  <c r="D103" i="4"/>
  <c r="D112" i="4" s="1"/>
  <c r="E100" i="4"/>
  <c r="S138" i="4"/>
  <c r="T321" i="5"/>
  <c r="H96" i="5"/>
  <c r="E401" i="3"/>
  <c r="E400" i="3"/>
  <c r="I65" i="4"/>
  <c r="F92" i="4"/>
  <c r="S159" i="4"/>
  <c r="I356" i="3"/>
  <c r="F158" i="4"/>
  <c r="D158" i="4"/>
  <c r="I158" i="4"/>
  <c r="E158" i="4"/>
  <c r="G158" i="4"/>
  <c r="B158" i="4"/>
  <c r="H158" i="4"/>
  <c r="C158" i="4"/>
  <c r="H98" i="4"/>
  <c r="H356" i="3"/>
  <c r="J325" i="3"/>
  <c r="G356" i="3"/>
  <c r="F261" i="3"/>
  <c r="S328" i="3"/>
  <c r="N319" i="5"/>
  <c r="C356" i="3"/>
  <c r="F239" i="5"/>
  <c r="F238" i="5"/>
  <c r="H128" i="4"/>
  <c r="F128" i="4"/>
  <c r="C128" i="4"/>
  <c r="D128" i="4"/>
  <c r="B128" i="4"/>
  <c r="E128" i="4"/>
  <c r="G128" i="4"/>
  <c r="I128" i="4"/>
  <c r="R324" i="5"/>
  <c r="R353" i="5" s="1"/>
  <c r="G92" i="4"/>
  <c r="S189" i="4"/>
  <c r="S796" i="2"/>
  <c r="B826" i="2"/>
  <c r="S826" i="2" s="1"/>
  <c r="B827" i="2"/>
  <c r="S827" i="2" s="1"/>
  <c r="S797" i="2"/>
  <c r="H91" i="4"/>
  <c r="P324" i="5"/>
  <c r="P353" i="5" s="1"/>
  <c r="I234" i="3"/>
  <c r="E387" i="3"/>
  <c r="G96" i="4"/>
  <c r="S193" i="4"/>
  <c r="B187" i="4"/>
  <c r="F356" i="3"/>
  <c r="J160" i="4"/>
  <c r="D272" i="3"/>
  <c r="E269" i="3"/>
  <c r="E272" i="3" s="1"/>
  <c r="S307" i="3"/>
  <c r="S358" i="3"/>
  <c r="G261" i="3"/>
  <c r="H262" i="3" s="1"/>
  <c r="I263" i="3" s="1"/>
  <c r="J264" i="3" s="1"/>
  <c r="H98" i="5"/>
  <c r="T323" i="5"/>
  <c r="S855" i="2"/>
  <c r="E187" i="4"/>
  <c r="S168" i="5"/>
  <c r="E103" i="5"/>
  <c r="E223" i="5"/>
  <c r="E222" i="5"/>
  <c r="L263" i="3"/>
  <c r="K396" i="3"/>
  <c r="H264" i="3"/>
  <c r="D138" i="5"/>
  <c r="D140" i="5" s="1"/>
  <c r="K138" i="5"/>
  <c r="L138" i="5"/>
  <c r="G138" i="5"/>
  <c r="G140" i="5" s="1"/>
  <c r="E138" i="5"/>
  <c r="E140" i="5" s="1"/>
  <c r="H138" i="5"/>
  <c r="H140" i="5" s="1"/>
  <c r="C138" i="5"/>
  <c r="C140" i="5" s="1"/>
  <c r="F138" i="5"/>
  <c r="F140" i="5" s="1"/>
  <c r="P138" i="5"/>
  <c r="P140" i="5" s="1"/>
  <c r="P144" i="5" s="1"/>
  <c r="B138" i="5"/>
  <c r="B140" i="5" s="1"/>
  <c r="Q138" i="5"/>
  <c r="Q140" i="5" s="1"/>
  <c r="Q144" i="5" s="1"/>
  <c r="O138" i="5"/>
  <c r="O140" i="5" s="1"/>
  <c r="O144" i="5" s="1"/>
  <c r="M138" i="5"/>
  <c r="M140" i="5" s="1"/>
  <c r="M144" i="5" s="1"/>
  <c r="N138" i="5"/>
  <c r="J138" i="5"/>
  <c r="I138" i="5"/>
  <c r="I140" i="5" s="1"/>
  <c r="T348" i="5"/>
  <c r="M348" i="5" s="1"/>
  <c r="I95" i="5"/>
  <c r="J96" i="5" s="1"/>
  <c r="F158" i="5"/>
  <c r="D114" i="5"/>
  <c r="C38" i="1"/>
  <c r="D158" i="5"/>
  <c r="I92" i="5"/>
  <c r="J93" i="5" s="1"/>
  <c r="T345" i="5"/>
  <c r="M360" i="3"/>
  <c r="L319" i="5"/>
  <c r="C158" i="5"/>
  <c r="F232" i="4"/>
  <c r="F231" i="4"/>
  <c r="H158" i="5"/>
  <c r="I158" i="5"/>
  <c r="G92" i="5"/>
  <c r="S189" i="5"/>
  <c r="B158" i="5"/>
  <c r="G158" i="5"/>
  <c r="H92" i="5"/>
  <c r="T317" i="5"/>
  <c r="K317" i="5" s="1"/>
  <c r="H95" i="4"/>
  <c r="J157" i="5"/>
  <c r="E158" i="5"/>
  <c r="F401" i="3"/>
  <c r="F400" i="3"/>
  <c r="J187" i="5"/>
  <c r="C69" i="4" l="1"/>
  <c r="R196" i="5"/>
  <c r="R194" i="5"/>
  <c r="R191" i="5"/>
  <c r="R192" i="5"/>
  <c r="R361" i="3"/>
  <c r="R360" i="3"/>
  <c r="R363" i="3"/>
  <c r="R365" i="3"/>
  <c r="P325" i="5"/>
  <c r="K193" i="5"/>
  <c r="L362" i="3"/>
  <c r="M362" i="3"/>
  <c r="L193" i="4"/>
  <c r="L193" i="5"/>
  <c r="K193" i="4"/>
  <c r="N362" i="3"/>
  <c r="M193" i="4"/>
  <c r="N193" i="4"/>
  <c r="N193" i="5"/>
  <c r="M193" i="5"/>
  <c r="R331" i="3"/>
  <c r="K362" i="3"/>
  <c r="R325" i="5"/>
  <c r="L140" i="5"/>
  <c r="L144" i="5" s="1"/>
  <c r="R140" i="4"/>
  <c r="R144" i="4" s="1"/>
  <c r="R163" i="5"/>
  <c r="K140" i="5"/>
  <c r="K144" i="5" s="1"/>
  <c r="R131" i="5"/>
  <c r="R195" i="4"/>
  <c r="Q325" i="5"/>
  <c r="P323" i="5"/>
  <c r="R194" i="4"/>
  <c r="M321" i="5"/>
  <c r="R163" i="4"/>
  <c r="R862" i="2"/>
  <c r="S862" i="2" s="1"/>
  <c r="R776" i="2"/>
  <c r="S776" i="2" s="1"/>
  <c r="R773" i="2"/>
  <c r="S773" i="2" s="1"/>
  <c r="R806" i="2"/>
  <c r="S806" i="2" s="1"/>
  <c r="R837" i="2"/>
  <c r="S837" i="2" s="1"/>
  <c r="R807" i="2"/>
  <c r="S807" i="2" s="1"/>
  <c r="R804" i="2"/>
  <c r="S804" i="2" s="1"/>
  <c r="J357" i="3"/>
  <c r="F238" i="4"/>
  <c r="G159" i="4"/>
  <c r="I159" i="4"/>
  <c r="G232" i="5"/>
  <c r="A229" i="3"/>
  <c r="A59" i="4"/>
  <c r="F316" i="5"/>
  <c r="F345" i="5" s="1"/>
  <c r="H316" i="5"/>
  <c r="H345" i="5" s="1"/>
  <c r="C316" i="5"/>
  <c r="C345" i="5" s="1"/>
  <c r="E316" i="5"/>
  <c r="E345" i="5" s="1"/>
  <c r="B316" i="5"/>
  <c r="B345" i="5" s="1"/>
  <c r="G316" i="5"/>
  <c r="G345" i="5" s="1"/>
  <c r="I316" i="5"/>
  <c r="I345" i="5" s="1"/>
  <c r="K316" i="5"/>
  <c r="K345" i="5" s="1"/>
  <c r="N348" i="5"/>
  <c r="C159" i="4"/>
  <c r="O348" i="5"/>
  <c r="S319" i="5"/>
  <c r="H328" i="3"/>
  <c r="J188" i="5"/>
  <c r="J140" i="5"/>
  <c r="J155" i="5" s="1"/>
  <c r="F358" i="3"/>
  <c r="E189" i="4"/>
  <c r="J356" i="3"/>
  <c r="E275" i="3"/>
  <c r="D11" i="1" s="1"/>
  <c r="E281" i="3"/>
  <c r="D16" i="1" s="1"/>
  <c r="S339" i="3"/>
  <c r="S343" i="3" s="1"/>
  <c r="E274" i="3"/>
  <c r="E283" i="3" s="1"/>
  <c r="D9" i="1"/>
  <c r="D47" i="1" s="1"/>
  <c r="E410" i="3"/>
  <c r="E414" i="3" s="1"/>
  <c r="H97" i="4"/>
  <c r="H234" i="4" s="1"/>
  <c r="G234" i="4"/>
  <c r="B317" i="5"/>
  <c r="G189" i="4"/>
  <c r="J297" i="3"/>
  <c r="B328" i="3"/>
  <c r="B358" i="3"/>
  <c r="J138" i="4"/>
  <c r="L138" i="4"/>
  <c r="L140" i="4" s="1"/>
  <c r="L144" i="4" s="1"/>
  <c r="H138" i="4"/>
  <c r="H140" i="4" s="1"/>
  <c r="K138" i="4"/>
  <c r="K140" i="4" s="1"/>
  <c r="K144" i="4" s="1"/>
  <c r="M138" i="4"/>
  <c r="M140" i="4" s="1"/>
  <c r="M144" i="4" s="1"/>
  <c r="B138" i="4"/>
  <c r="B140" i="4" s="1"/>
  <c r="F138" i="4"/>
  <c r="F140" i="4" s="1"/>
  <c r="D138" i="4"/>
  <c r="D140" i="4" s="1"/>
  <c r="E138" i="4"/>
  <c r="E140" i="4" s="1"/>
  <c r="G138" i="4"/>
  <c r="G140" i="4" s="1"/>
  <c r="P138" i="4"/>
  <c r="P140" i="4" s="1"/>
  <c r="P144" i="4" s="1"/>
  <c r="I138" i="4"/>
  <c r="I140" i="4" s="1"/>
  <c r="O138" i="4"/>
  <c r="O140" i="4" s="1"/>
  <c r="O144" i="4" s="1"/>
  <c r="N138" i="4"/>
  <c r="N140" i="4" s="1"/>
  <c r="N144" i="4" s="1"/>
  <c r="Q138" i="4"/>
  <c r="Q140" i="4" s="1"/>
  <c r="Q144" i="4" s="1"/>
  <c r="C138" i="4"/>
  <c r="C140" i="4" s="1"/>
  <c r="B159" i="4"/>
  <c r="I189" i="4"/>
  <c r="S168" i="4"/>
  <c r="S324" i="5"/>
  <c r="I91" i="4"/>
  <c r="J92" i="4" s="1"/>
  <c r="K93" i="4" s="1"/>
  <c r="C328" i="3"/>
  <c r="H358" i="3"/>
  <c r="E391" i="3"/>
  <c r="E392" i="3"/>
  <c r="D189" i="4"/>
  <c r="D159" i="4"/>
  <c r="I99" i="4"/>
  <c r="D105" i="4"/>
  <c r="C30" i="1"/>
  <c r="D106" i="4"/>
  <c r="C25" i="1" s="1"/>
  <c r="D241" i="4"/>
  <c r="D245" i="4" s="1"/>
  <c r="S140" i="4"/>
  <c r="S144" i="4" s="1"/>
  <c r="C23" i="1"/>
  <c r="C48" i="1" s="1"/>
  <c r="F232" i="5"/>
  <c r="F231" i="5"/>
  <c r="D328" i="3"/>
  <c r="I358" i="3"/>
  <c r="E159" i="4"/>
  <c r="I235" i="3"/>
  <c r="I92" i="4"/>
  <c r="J93" i="4" s="1"/>
  <c r="H93" i="4"/>
  <c r="F189" i="4"/>
  <c r="I96" i="5"/>
  <c r="T349" i="5"/>
  <c r="G328" i="3"/>
  <c r="E358" i="3"/>
  <c r="E189" i="5"/>
  <c r="J307" i="3"/>
  <c r="H307" i="3"/>
  <c r="H309" i="3" s="1"/>
  <c r="M307" i="3"/>
  <c r="M309" i="3" s="1"/>
  <c r="M313" i="3" s="1"/>
  <c r="P307" i="3"/>
  <c r="P309" i="3" s="1"/>
  <c r="P313" i="3" s="1"/>
  <c r="K307" i="3"/>
  <c r="K309" i="3" s="1"/>
  <c r="K313" i="3" s="1"/>
  <c r="N307" i="3"/>
  <c r="N309" i="3" s="1"/>
  <c r="N313" i="3" s="1"/>
  <c r="F307" i="3"/>
  <c r="F309" i="3" s="1"/>
  <c r="C307" i="3"/>
  <c r="C309" i="3" s="1"/>
  <c r="E307" i="3"/>
  <c r="E309" i="3" s="1"/>
  <c r="L307" i="3"/>
  <c r="L309" i="3" s="1"/>
  <c r="L313" i="3" s="1"/>
  <c r="D307" i="3"/>
  <c r="D309" i="3" s="1"/>
  <c r="Q307" i="3"/>
  <c r="Q309" i="3" s="1"/>
  <c r="Q313" i="3" s="1"/>
  <c r="O307" i="3"/>
  <c r="O309" i="3" s="1"/>
  <c r="O313" i="3" s="1"/>
  <c r="G307" i="3"/>
  <c r="G309" i="3" s="1"/>
  <c r="B307" i="3"/>
  <c r="B309" i="3" s="1"/>
  <c r="I307" i="3"/>
  <c r="I309" i="3" s="1"/>
  <c r="S353" i="5"/>
  <c r="F159" i="4"/>
  <c r="G262" i="3"/>
  <c r="S359" i="3"/>
  <c r="C189" i="4"/>
  <c r="J158" i="4"/>
  <c r="I97" i="4"/>
  <c r="J98" i="4" s="1"/>
  <c r="K99" i="4" s="1"/>
  <c r="F328" i="3"/>
  <c r="D358" i="3"/>
  <c r="J327" i="3"/>
  <c r="D345" i="5"/>
  <c r="T352" i="5"/>
  <c r="I99" i="5"/>
  <c r="S337" i="3"/>
  <c r="J128" i="4"/>
  <c r="H159" i="4"/>
  <c r="H189" i="4"/>
  <c r="I66" i="4"/>
  <c r="T344" i="5"/>
  <c r="K344" i="5" s="1"/>
  <c r="I91" i="5"/>
  <c r="J92" i="5" s="1"/>
  <c r="K93" i="5" s="1"/>
  <c r="E328" i="3"/>
  <c r="T322" i="5"/>
  <c r="P322" i="5" s="1"/>
  <c r="H97" i="5"/>
  <c r="H234" i="5" s="1"/>
  <c r="G234" i="5"/>
  <c r="C358" i="3"/>
  <c r="S190" i="4"/>
  <c r="G93" i="4"/>
  <c r="D410" i="3"/>
  <c r="D414" i="3" s="1"/>
  <c r="D274" i="3"/>
  <c r="D281" i="3"/>
  <c r="C16" i="1" s="1"/>
  <c r="C9" i="1"/>
  <c r="C47" i="1" s="1"/>
  <c r="D275" i="3"/>
  <c r="C11" i="1" s="1"/>
  <c r="S309" i="3"/>
  <c r="S313" i="3" s="1"/>
  <c r="J187" i="4"/>
  <c r="B189" i="4"/>
  <c r="E103" i="4"/>
  <c r="E112" i="4" s="1"/>
  <c r="T350" i="5"/>
  <c r="I97" i="5"/>
  <c r="J98" i="5" s="1"/>
  <c r="K99" i="5" s="1"/>
  <c r="H266" i="3"/>
  <c r="G403" i="3"/>
  <c r="I328" i="3"/>
  <c r="R323" i="5"/>
  <c r="G358" i="3"/>
  <c r="I66" i="5"/>
  <c r="H144" i="5"/>
  <c r="G144" i="5"/>
  <c r="T346" i="5"/>
  <c r="K346" i="5" s="1"/>
  <c r="I93" i="5"/>
  <c r="B189" i="5"/>
  <c r="E144" i="5"/>
  <c r="G317" i="5"/>
  <c r="C189" i="5"/>
  <c r="F189" i="5"/>
  <c r="E317" i="5"/>
  <c r="D317" i="5"/>
  <c r="K400" i="3"/>
  <c r="K401" i="3"/>
  <c r="K168" i="5"/>
  <c r="Q168" i="5"/>
  <c r="N168" i="5"/>
  <c r="I168" i="5"/>
  <c r="O168" i="5"/>
  <c r="C168" i="5"/>
  <c r="J168" i="5"/>
  <c r="D168" i="5"/>
  <c r="F168" i="5"/>
  <c r="P168" i="5"/>
  <c r="G168" i="5"/>
  <c r="B168" i="5"/>
  <c r="E168" i="5"/>
  <c r="M168" i="5"/>
  <c r="H168" i="5"/>
  <c r="L168" i="5"/>
  <c r="I265" i="3"/>
  <c r="M264" i="3"/>
  <c r="H93" i="5"/>
  <c r="T318" i="5"/>
  <c r="K318" i="5" s="1"/>
  <c r="D144" i="5"/>
  <c r="I189" i="5"/>
  <c r="D189" i="5"/>
  <c r="J158" i="5"/>
  <c r="I144" i="5"/>
  <c r="I96" i="4"/>
  <c r="H317" i="5"/>
  <c r="K94" i="5"/>
  <c r="L95" i="5" s="1"/>
  <c r="M96" i="5" s="1"/>
  <c r="G189" i="5"/>
  <c r="C317" i="5"/>
  <c r="K97" i="5"/>
  <c r="L98" i="5" s="1"/>
  <c r="M99" i="5" s="1"/>
  <c r="L348" i="5"/>
  <c r="K265" i="3"/>
  <c r="J396" i="3"/>
  <c r="B144" i="5"/>
  <c r="F317" i="5"/>
  <c r="I317" i="5"/>
  <c r="H189" i="5"/>
  <c r="C144" i="5"/>
  <c r="F144" i="5"/>
  <c r="E112" i="5"/>
  <c r="D44" i="1" s="1"/>
  <c r="E105" i="5"/>
  <c r="E106" i="5"/>
  <c r="D39" i="1" s="1"/>
  <c r="D37" i="1"/>
  <c r="D49" i="1" s="1"/>
  <c r="E241" i="5"/>
  <c r="E245" i="5" s="1"/>
  <c r="S170" i="5"/>
  <c r="S174" i="5" s="1"/>
  <c r="R362" i="3" l="1"/>
  <c r="R193" i="5"/>
  <c r="S325" i="5"/>
  <c r="Q323" i="5"/>
  <c r="S323" i="5" s="1"/>
  <c r="P352" i="5"/>
  <c r="N321" i="5"/>
  <c r="N320" i="5"/>
  <c r="N349" i="5" s="1"/>
  <c r="L320" i="5"/>
  <c r="L349" i="5" s="1"/>
  <c r="M320" i="5"/>
  <c r="M349" i="5" s="1"/>
  <c r="N369" i="3"/>
  <c r="N373" i="3" s="1"/>
  <c r="B155" i="5"/>
  <c r="B186" i="5" s="1"/>
  <c r="R193" i="4"/>
  <c r="R162" i="4"/>
  <c r="R161" i="5"/>
  <c r="R192" i="4"/>
  <c r="R161" i="4"/>
  <c r="L200" i="4"/>
  <c r="L204" i="4" s="1"/>
  <c r="M200" i="4"/>
  <c r="M204" i="4" s="1"/>
  <c r="R196" i="4"/>
  <c r="R165" i="4"/>
  <c r="R162" i="5"/>
  <c r="F155" i="5"/>
  <c r="F186" i="5" s="1"/>
  <c r="F315" i="5" s="1"/>
  <c r="F344" i="5" s="1"/>
  <c r="R836" i="2"/>
  <c r="S836" i="2" s="1"/>
  <c r="R805" i="2"/>
  <c r="S805" i="2" s="1"/>
  <c r="R835" i="2"/>
  <c r="S835" i="2" s="1"/>
  <c r="R309" i="3"/>
  <c r="R313" i="3" s="1"/>
  <c r="L369" i="3"/>
  <c r="L373" i="3" s="1"/>
  <c r="M369" i="3"/>
  <c r="M373" i="3" s="1"/>
  <c r="L339" i="3"/>
  <c r="L343" i="3" s="1"/>
  <c r="M339" i="3"/>
  <c r="M343" i="3" s="1"/>
  <c r="R802" i="2"/>
  <c r="S802" i="2" s="1"/>
  <c r="K339" i="3"/>
  <c r="K343" i="3" s="1"/>
  <c r="R831" i="2"/>
  <c r="S831" i="2" s="1"/>
  <c r="N339" i="3"/>
  <c r="N343" i="3" s="1"/>
  <c r="R833" i="2"/>
  <c r="S833" i="2" s="1"/>
  <c r="R803" i="2"/>
  <c r="S803" i="2" s="1"/>
  <c r="G780" i="2"/>
  <c r="R864" i="2"/>
  <c r="S864" i="2" s="1"/>
  <c r="G190" i="4"/>
  <c r="I359" i="3"/>
  <c r="H359" i="3"/>
  <c r="R861" i="2"/>
  <c r="R782" i="2"/>
  <c r="R786" i="2" s="1"/>
  <c r="R352" i="5"/>
  <c r="A60" i="4"/>
  <c r="A230" i="3"/>
  <c r="I155" i="5"/>
  <c r="I186" i="5" s="1"/>
  <c r="I315" i="5" s="1"/>
  <c r="I344" i="5" s="1"/>
  <c r="D346" i="5"/>
  <c r="J144" i="5"/>
  <c r="H155" i="5"/>
  <c r="H186" i="5" s="1"/>
  <c r="H315" i="5" s="1"/>
  <c r="H344" i="5" s="1"/>
  <c r="J316" i="5"/>
  <c r="C155" i="5"/>
  <c r="C186" i="5" s="1"/>
  <c r="C315" i="5" s="1"/>
  <c r="C344" i="5" s="1"/>
  <c r="J170" i="5"/>
  <c r="J174" i="5" s="1"/>
  <c r="G155" i="5"/>
  <c r="G170" i="5" s="1"/>
  <c r="D155" i="5"/>
  <c r="D170" i="5" s="1"/>
  <c r="E155" i="5"/>
  <c r="E170" i="5" s="1"/>
  <c r="S348" i="5"/>
  <c r="J159" i="4"/>
  <c r="C346" i="5"/>
  <c r="H318" i="5"/>
  <c r="I190" i="4"/>
  <c r="I318" i="5"/>
  <c r="G318" i="5"/>
  <c r="D318" i="5"/>
  <c r="J358" i="3"/>
  <c r="B346" i="5"/>
  <c r="J345" i="5"/>
  <c r="D313" i="3"/>
  <c r="E313" i="3"/>
  <c r="B144" i="4"/>
  <c r="F346" i="5"/>
  <c r="J189" i="5"/>
  <c r="F359" i="3"/>
  <c r="H313" i="3"/>
  <c r="J97" i="5"/>
  <c r="I67" i="4"/>
  <c r="G144" i="4"/>
  <c r="E346" i="5"/>
  <c r="G346" i="5"/>
  <c r="G408" i="3"/>
  <c r="G407" i="3"/>
  <c r="S170" i="4"/>
  <c r="S174" i="4" s="1"/>
  <c r="D23" i="1"/>
  <c r="D48" i="1" s="1"/>
  <c r="E105" i="4"/>
  <c r="D30" i="1"/>
  <c r="E241" i="4"/>
  <c r="E245" i="4" s="1"/>
  <c r="E106" i="4"/>
  <c r="D25" i="1" s="1"/>
  <c r="C10" i="1"/>
  <c r="D283" i="3"/>
  <c r="C313" i="3"/>
  <c r="I236" i="3"/>
  <c r="G168" i="4"/>
  <c r="E168" i="4"/>
  <c r="K168" i="4"/>
  <c r="K170" i="4" s="1"/>
  <c r="K174" i="4" s="1"/>
  <c r="O168" i="4"/>
  <c r="O170" i="4" s="1"/>
  <c r="O174" i="4" s="1"/>
  <c r="B168" i="4"/>
  <c r="J168" i="4"/>
  <c r="C168" i="4"/>
  <c r="F168" i="4"/>
  <c r="D168" i="4"/>
  <c r="H168" i="4"/>
  <c r="N168" i="4"/>
  <c r="N170" i="4" s="1"/>
  <c r="N174" i="4" s="1"/>
  <c r="M168" i="4"/>
  <c r="M170" i="4" s="1"/>
  <c r="M174" i="4" s="1"/>
  <c r="Q168" i="4"/>
  <c r="Q170" i="4" s="1"/>
  <c r="Q174" i="4" s="1"/>
  <c r="I168" i="4"/>
  <c r="P168" i="4"/>
  <c r="P170" i="4" s="1"/>
  <c r="P174" i="4" s="1"/>
  <c r="L168" i="4"/>
  <c r="L170" i="4" s="1"/>
  <c r="L174" i="4" s="1"/>
  <c r="J140" i="4"/>
  <c r="J155" i="4" s="1"/>
  <c r="J309" i="3"/>
  <c r="C324" i="3" s="1"/>
  <c r="I67" i="5"/>
  <c r="I267" i="3"/>
  <c r="J268" i="3" s="1"/>
  <c r="H403" i="3"/>
  <c r="G238" i="5"/>
  <c r="G239" i="5"/>
  <c r="H144" i="4"/>
  <c r="H239" i="4"/>
  <c r="H238" i="4"/>
  <c r="B313" i="3"/>
  <c r="F313" i="3"/>
  <c r="D359" i="3"/>
  <c r="D144" i="4"/>
  <c r="C144" i="4"/>
  <c r="G238" i="4"/>
  <c r="G239" i="4"/>
  <c r="K337" i="3"/>
  <c r="N337" i="3"/>
  <c r="C337" i="3"/>
  <c r="B337" i="3"/>
  <c r="L337" i="3"/>
  <c r="O337" i="3"/>
  <c r="G337" i="3"/>
  <c r="F337" i="3"/>
  <c r="H337" i="3"/>
  <c r="D337" i="3"/>
  <c r="Q337" i="3"/>
  <c r="E337" i="3"/>
  <c r="M337" i="3"/>
  <c r="I337" i="3"/>
  <c r="J337" i="3"/>
  <c r="P337" i="3"/>
  <c r="H346" i="5"/>
  <c r="T351" i="5"/>
  <c r="P351" i="5" s="1"/>
  <c r="I98" i="5"/>
  <c r="J99" i="5" s="1"/>
  <c r="H190" i="4"/>
  <c r="H263" i="3"/>
  <c r="G396" i="3"/>
  <c r="G313" i="3"/>
  <c r="C190" i="4"/>
  <c r="E144" i="4"/>
  <c r="C24" i="1"/>
  <c r="D114" i="4"/>
  <c r="D190" i="4"/>
  <c r="I98" i="4"/>
  <c r="J99" i="4" s="1"/>
  <c r="H238" i="5"/>
  <c r="H239" i="5"/>
  <c r="R322" i="5"/>
  <c r="F144" i="4"/>
  <c r="I94" i="4"/>
  <c r="E190" i="4"/>
  <c r="J189" i="4"/>
  <c r="C359" i="3"/>
  <c r="H94" i="4"/>
  <c r="H227" i="4" s="1"/>
  <c r="G227" i="4"/>
  <c r="F190" i="4"/>
  <c r="G359" i="3"/>
  <c r="J328" i="3"/>
  <c r="B359" i="3"/>
  <c r="D10" i="1"/>
  <c r="I346" i="5"/>
  <c r="I313" i="3"/>
  <c r="P350" i="5"/>
  <c r="Q350" i="5"/>
  <c r="R350" i="5"/>
  <c r="E359" i="3"/>
  <c r="Q322" i="5"/>
  <c r="K94" i="4"/>
  <c r="L95" i="4" s="1"/>
  <c r="M96" i="4" s="1"/>
  <c r="L94" i="4"/>
  <c r="B190" i="4"/>
  <c r="I144" i="4"/>
  <c r="E114" i="5"/>
  <c r="D38" i="1"/>
  <c r="J266" i="3"/>
  <c r="K170" i="5"/>
  <c r="K174" i="5" s="1"/>
  <c r="C318" i="5"/>
  <c r="L170" i="5"/>
  <c r="L174" i="5" s="1"/>
  <c r="L94" i="5"/>
  <c r="T347" i="5"/>
  <c r="M347" i="5" s="1"/>
  <c r="H227" i="5"/>
  <c r="I94" i="5"/>
  <c r="J95" i="5" s="1"/>
  <c r="K96" i="5" s="1"/>
  <c r="M170" i="5"/>
  <c r="M174" i="5" s="1"/>
  <c r="O170" i="5"/>
  <c r="O174" i="5" s="1"/>
  <c r="B318" i="5"/>
  <c r="J97" i="4"/>
  <c r="J94" i="5"/>
  <c r="N170" i="5"/>
  <c r="N174" i="5" s="1"/>
  <c r="F318" i="5"/>
  <c r="J317" i="5"/>
  <c r="J401" i="3"/>
  <c r="J400" i="3"/>
  <c r="L266" i="3"/>
  <c r="E318" i="5"/>
  <c r="P170" i="5"/>
  <c r="P174" i="5" s="1"/>
  <c r="Q170" i="5"/>
  <c r="Q174" i="5" s="1"/>
  <c r="F170" i="5" l="1"/>
  <c r="Q352" i="5"/>
  <c r="R170" i="4"/>
  <c r="R174" i="4" s="1"/>
  <c r="R170" i="5"/>
  <c r="R174" i="5" s="1"/>
  <c r="R834" i="2"/>
  <c r="O320" i="5"/>
  <c r="K200" i="4"/>
  <c r="K204" i="4" s="1"/>
  <c r="R191" i="4"/>
  <c r="R200" i="4" s="1"/>
  <c r="R204" i="4" s="1"/>
  <c r="N200" i="4"/>
  <c r="N204" i="4" s="1"/>
  <c r="L321" i="5"/>
  <c r="S834" i="2"/>
  <c r="B155" i="4"/>
  <c r="B170" i="4" s="1"/>
  <c r="C780" i="2"/>
  <c r="J780" i="2"/>
  <c r="J782" i="2" s="1"/>
  <c r="J786" i="2" s="1"/>
  <c r="P780" i="2"/>
  <c r="P782" i="2" s="1"/>
  <c r="P786" i="2" s="1"/>
  <c r="H780" i="2"/>
  <c r="H782" i="2" s="1"/>
  <c r="H786" i="2" s="1"/>
  <c r="R811" i="2"/>
  <c r="R815" i="2" s="1"/>
  <c r="R832" i="2"/>
  <c r="S832" i="2" s="1"/>
  <c r="K369" i="3"/>
  <c r="K373" i="3" s="1"/>
  <c r="M780" i="2"/>
  <c r="M809" i="2" s="1"/>
  <c r="M811" i="2" s="1"/>
  <c r="M815" i="2" s="1"/>
  <c r="L780" i="2"/>
  <c r="L868" i="2" s="1"/>
  <c r="L870" i="2" s="1"/>
  <c r="D780" i="2"/>
  <c r="D809" i="2" s="1"/>
  <c r="D811" i="2" s="1"/>
  <c r="D815" i="2" s="1"/>
  <c r="I780" i="2"/>
  <c r="I868" i="2" s="1"/>
  <c r="I870" i="2" s="1"/>
  <c r="N780" i="2"/>
  <c r="N868" i="2" s="1"/>
  <c r="N870" i="2" s="1"/>
  <c r="B780" i="2"/>
  <c r="B809" i="2" s="1"/>
  <c r="B811" i="2" s="1"/>
  <c r="B815" i="2" s="1"/>
  <c r="F780" i="2"/>
  <c r="F868" i="2" s="1"/>
  <c r="F870" i="2" s="1"/>
  <c r="O780" i="2"/>
  <c r="O868" i="2" s="1"/>
  <c r="O870" i="2" s="1"/>
  <c r="E780" i="2"/>
  <c r="K780" i="2"/>
  <c r="K809" i="2" s="1"/>
  <c r="K811" i="2" s="1"/>
  <c r="K815" i="2" s="1"/>
  <c r="R339" i="3"/>
  <c r="R343" i="3" s="1"/>
  <c r="Q780" i="2"/>
  <c r="Q809" i="2" s="1"/>
  <c r="Q811" i="2" s="1"/>
  <c r="Q815" i="2" s="1"/>
  <c r="R870" i="2"/>
  <c r="Q351" i="5"/>
  <c r="R351" i="5"/>
  <c r="C170" i="5"/>
  <c r="C174" i="5" s="1"/>
  <c r="S861" i="2"/>
  <c r="B170" i="5"/>
  <c r="S352" i="5"/>
  <c r="E186" i="5"/>
  <c r="E315" i="5" s="1"/>
  <c r="E344" i="5" s="1"/>
  <c r="I170" i="5"/>
  <c r="I403" i="3"/>
  <c r="I408" i="3" s="1"/>
  <c r="A61" i="4"/>
  <c r="A231" i="3"/>
  <c r="I234" i="4"/>
  <c r="I238" i="4" s="1"/>
  <c r="H170" i="5"/>
  <c r="D186" i="5"/>
  <c r="D315" i="5" s="1"/>
  <c r="D344" i="5" s="1"/>
  <c r="G186" i="5"/>
  <c r="G315" i="5" s="1"/>
  <c r="G344" i="5" s="1"/>
  <c r="I234" i="5"/>
  <c r="I239" i="5" s="1"/>
  <c r="I324" i="3"/>
  <c r="I339" i="3" s="1"/>
  <c r="J190" i="4"/>
  <c r="H155" i="4"/>
  <c r="H170" i="4" s="1"/>
  <c r="E155" i="4"/>
  <c r="E186" i="4" s="1"/>
  <c r="F155" i="4"/>
  <c r="F186" i="4" s="1"/>
  <c r="I155" i="4"/>
  <c r="I170" i="4" s="1"/>
  <c r="K227" i="4"/>
  <c r="K231" i="4" s="1"/>
  <c r="F324" i="3"/>
  <c r="F355" i="3" s="1"/>
  <c r="H324" i="3"/>
  <c r="H339" i="3" s="1"/>
  <c r="J318" i="5"/>
  <c r="J346" i="5"/>
  <c r="M95" i="4"/>
  <c r="G232" i="4"/>
  <c r="G231" i="4"/>
  <c r="C339" i="3"/>
  <c r="C355" i="3"/>
  <c r="I68" i="4"/>
  <c r="I95" i="4"/>
  <c r="J96" i="4" s="1"/>
  <c r="K97" i="4" s="1"/>
  <c r="L98" i="4" s="1"/>
  <c r="S322" i="5"/>
  <c r="G401" i="3"/>
  <c r="G400" i="3"/>
  <c r="H232" i="4"/>
  <c r="H231" i="4"/>
  <c r="I264" i="3"/>
  <c r="H396" i="3"/>
  <c r="J313" i="3"/>
  <c r="J324" i="3"/>
  <c r="J339" i="3" s="1"/>
  <c r="E324" i="3"/>
  <c r="J95" i="4"/>
  <c r="P339" i="3"/>
  <c r="P343" i="3" s="1"/>
  <c r="J170" i="4"/>
  <c r="J144" i="4"/>
  <c r="I237" i="3"/>
  <c r="I227" i="5"/>
  <c r="I232" i="5" s="1"/>
  <c r="G868" i="2"/>
  <c r="G870" i="2" s="1"/>
  <c r="G809" i="2"/>
  <c r="G811" i="2" s="1"/>
  <c r="G815" i="2" s="1"/>
  <c r="G782" i="2"/>
  <c r="G786" i="2" s="1"/>
  <c r="D155" i="4"/>
  <c r="B324" i="3"/>
  <c r="H408" i="3"/>
  <c r="H407" i="3"/>
  <c r="D24" i="1"/>
  <c r="E114" i="4"/>
  <c r="S350" i="5"/>
  <c r="O339" i="3"/>
  <c r="O343" i="3" s="1"/>
  <c r="Q339" i="3"/>
  <c r="Q343" i="3" s="1"/>
  <c r="J359" i="3"/>
  <c r="G324" i="3"/>
  <c r="C155" i="4"/>
  <c r="I68" i="5"/>
  <c r="G155" i="4"/>
  <c r="K98" i="5"/>
  <c r="L99" i="5" s="1"/>
  <c r="J234" i="5"/>
  <c r="D324" i="3"/>
  <c r="D174" i="5"/>
  <c r="M267" i="3"/>
  <c r="H232" i="5"/>
  <c r="H231" i="5"/>
  <c r="E174" i="5"/>
  <c r="M95" i="5"/>
  <c r="F174" i="5"/>
  <c r="B315" i="5"/>
  <c r="O347" i="5"/>
  <c r="K267" i="3"/>
  <c r="K98" i="4"/>
  <c r="L347" i="5"/>
  <c r="K95" i="5"/>
  <c r="J227" i="5"/>
  <c r="G174" i="5"/>
  <c r="L97" i="5"/>
  <c r="M98" i="5" s="1"/>
  <c r="N347" i="5"/>
  <c r="O349" i="5" l="1"/>
  <c r="S349" i="5" s="1"/>
  <c r="S320" i="5"/>
  <c r="B174" i="5"/>
  <c r="C809" i="2"/>
  <c r="C811" i="2" s="1"/>
  <c r="C815" i="2" s="1"/>
  <c r="S780" i="2"/>
  <c r="J868" i="2"/>
  <c r="J870" i="2" s="1"/>
  <c r="R840" i="2"/>
  <c r="R844" i="2" s="1"/>
  <c r="C782" i="2"/>
  <c r="C786" i="2" s="1"/>
  <c r="C868" i="2"/>
  <c r="C870" i="2" s="1"/>
  <c r="H868" i="2"/>
  <c r="H870" i="2" s="1"/>
  <c r="H809" i="2"/>
  <c r="H811" i="2" s="1"/>
  <c r="H815" i="2" s="1"/>
  <c r="K782" i="2"/>
  <c r="K786" i="2" s="1"/>
  <c r="K868" i="2"/>
  <c r="K870" i="2" s="1"/>
  <c r="P809" i="2"/>
  <c r="P811" i="2" s="1"/>
  <c r="P815" i="2" s="1"/>
  <c r="P868" i="2"/>
  <c r="P870" i="2" s="1"/>
  <c r="J809" i="2"/>
  <c r="J811" i="2" s="1"/>
  <c r="J815" i="2" s="1"/>
  <c r="M868" i="2"/>
  <c r="M870" i="2" s="1"/>
  <c r="L809" i="2"/>
  <c r="L811" i="2" s="1"/>
  <c r="L815" i="2" s="1"/>
  <c r="M782" i="2"/>
  <c r="M786" i="2" s="1"/>
  <c r="L782" i="2"/>
  <c r="L786" i="2" s="1"/>
  <c r="S782" i="2"/>
  <c r="S786" i="2" s="1"/>
  <c r="B782" i="2"/>
  <c r="B786" i="2" s="1"/>
  <c r="N809" i="2"/>
  <c r="N811" i="2" s="1"/>
  <c r="N815" i="2" s="1"/>
  <c r="N782" i="2"/>
  <c r="N786" i="2" s="1"/>
  <c r="B868" i="2"/>
  <c r="B870" i="2" s="1"/>
  <c r="O782" i="2"/>
  <c r="O786" i="2" s="1"/>
  <c r="D782" i="2"/>
  <c r="D786" i="2" s="1"/>
  <c r="F809" i="2"/>
  <c r="F811" i="2" s="1"/>
  <c r="F815" i="2" s="1"/>
  <c r="D868" i="2"/>
  <c r="D870" i="2" s="1"/>
  <c r="F782" i="2"/>
  <c r="F786" i="2" s="1"/>
  <c r="O809" i="2"/>
  <c r="O811" i="2" s="1"/>
  <c r="O815" i="2" s="1"/>
  <c r="I809" i="2"/>
  <c r="I811" i="2" s="1"/>
  <c r="I815" i="2" s="1"/>
  <c r="Q868" i="2"/>
  <c r="Q870" i="2" s="1"/>
  <c r="I782" i="2"/>
  <c r="I786" i="2" s="1"/>
  <c r="R369" i="3"/>
  <c r="R373" i="3" s="1"/>
  <c r="E782" i="2"/>
  <c r="E786" i="2" s="1"/>
  <c r="E868" i="2"/>
  <c r="E870" i="2" s="1"/>
  <c r="Q782" i="2"/>
  <c r="Q786" i="2" s="1"/>
  <c r="E809" i="2"/>
  <c r="E811" i="2" s="1"/>
  <c r="E815" i="2" s="1"/>
  <c r="S351" i="5"/>
  <c r="I174" i="5"/>
  <c r="I407" i="3"/>
  <c r="H174" i="5"/>
  <c r="I238" i="5"/>
  <c r="I239" i="4"/>
  <c r="A232" i="3"/>
  <c r="A62" i="4"/>
  <c r="B186" i="4"/>
  <c r="J186" i="5"/>
  <c r="H186" i="4"/>
  <c r="E170" i="4"/>
  <c r="E174" i="4" s="1"/>
  <c r="I186" i="4"/>
  <c r="I355" i="3"/>
  <c r="K234" i="5"/>
  <c r="K239" i="5" s="1"/>
  <c r="I227" i="4"/>
  <c r="I232" i="4" s="1"/>
  <c r="F170" i="4"/>
  <c r="F174" i="4" s="1"/>
  <c r="F339" i="3"/>
  <c r="F343" i="3" s="1"/>
  <c r="K232" i="4"/>
  <c r="I231" i="5"/>
  <c r="H355" i="3"/>
  <c r="B355" i="3"/>
  <c r="B339" i="3"/>
  <c r="K96" i="4"/>
  <c r="L97" i="4" s="1"/>
  <c r="M98" i="4" s="1"/>
  <c r="J227" i="4"/>
  <c r="D355" i="3"/>
  <c r="D339" i="3"/>
  <c r="D170" i="4"/>
  <c r="D186" i="4"/>
  <c r="J265" i="3"/>
  <c r="I396" i="3"/>
  <c r="H174" i="4"/>
  <c r="C343" i="3"/>
  <c r="J239" i="5"/>
  <c r="J238" i="5"/>
  <c r="C170" i="4"/>
  <c r="C186" i="4"/>
  <c r="H400" i="3"/>
  <c r="H401" i="3"/>
  <c r="G339" i="3"/>
  <c r="G355" i="3"/>
  <c r="E355" i="3"/>
  <c r="E339" i="3"/>
  <c r="H343" i="3"/>
  <c r="I69" i="5"/>
  <c r="I174" i="4"/>
  <c r="G170" i="4"/>
  <c r="G186" i="4"/>
  <c r="J174" i="4"/>
  <c r="I238" i="3"/>
  <c r="I69" i="4"/>
  <c r="J234" i="4"/>
  <c r="J239" i="4" s="1"/>
  <c r="I343" i="3"/>
  <c r="J343" i="3"/>
  <c r="B174" i="4"/>
  <c r="L96" i="5"/>
  <c r="K227" i="5"/>
  <c r="B344" i="5"/>
  <c r="J344" i="5" s="1"/>
  <c r="J315" i="5"/>
  <c r="L268" i="3"/>
  <c r="L99" i="4"/>
  <c r="J232" i="5"/>
  <c r="J231" i="5"/>
  <c r="S347" i="5"/>
  <c r="M99" i="4"/>
  <c r="C57" i="1" l="1"/>
  <c r="C59" i="1" s="1"/>
  <c r="S809" i="2"/>
  <c r="S811" i="2" s="1"/>
  <c r="S815" i="2" s="1"/>
  <c r="S868" i="2"/>
  <c r="S870" i="2" s="1"/>
  <c r="S356" i="5"/>
  <c r="I231" i="4"/>
  <c r="A63" i="4"/>
  <c r="A233" i="3"/>
  <c r="J238" i="4"/>
  <c r="K238" i="5"/>
  <c r="K234" i="4"/>
  <c r="K239" i="4" s="1"/>
  <c r="L234" i="4"/>
  <c r="L239" i="4" s="1"/>
  <c r="I401" i="3"/>
  <c r="I400" i="3"/>
  <c r="G174" i="4"/>
  <c r="K266" i="3"/>
  <c r="J403" i="3"/>
  <c r="J232" i="4"/>
  <c r="J231" i="4"/>
  <c r="E343" i="3"/>
  <c r="C174" i="4"/>
  <c r="D174" i="4"/>
  <c r="B343" i="3"/>
  <c r="D343" i="3"/>
  <c r="J355" i="3"/>
  <c r="J186" i="4"/>
  <c r="G343" i="3"/>
  <c r="M234" i="4"/>
  <c r="K231" i="5"/>
  <c r="K232" i="5"/>
  <c r="M97" i="5"/>
  <c r="M234" i="5" s="1"/>
  <c r="L234" i="5"/>
  <c r="C64" i="1" l="1"/>
  <c r="C50" i="1"/>
  <c r="C58" i="1"/>
  <c r="D57" i="1"/>
  <c r="D64" i="1" s="1"/>
  <c r="L238" i="4"/>
  <c r="A234" i="3"/>
  <c r="A64" i="4"/>
  <c r="K238" i="4"/>
  <c r="J408" i="3"/>
  <c r="J407" i="3"/>
  <c r="L267" i="3"/>
  <c r="K403" i="3"/>
  <c r="M238" i="4"/>
  <c r="M239" i="4"/>
  <c r="M238" i="5"/>
  <c r="M239" i="5"/>
  <c r="L239" i="5"/>
  <c r="L238" i="5"/>
  <c r="D58" i="1" l="1"/>
  <c r="D59" i="1"/>
  <c r="D50" i="1"/>
  <c r="A235" i="3"/>
  <c r="A65" i="4"/>
  <c r="M268" i="3"/>
  <c r="M403" i="3" s="1"/>
  <c r="L403" i="3"/>
  <c r="K408" i="3"/>
  <c r="K407" i="3"/>
  <c r="A236" i="3" l="1"/>
  <c r="A66" i="4"/>
  <c r="M407" i="3"/>
  <c r="M408" i="3"/>
  <c r="L408" i="3"/>
  <c r="L407" i="3"/>
  <c r="A67" i="4" l="1"/>
  <c r="A237" i="3"/>
  <c r="A238" i="3" l="1"/>
  <c r="A68" i="4"/>
  <c r="A69" i="4" l="1"/>
  <c r="D75" i="4" s="1"/>
  <c r="D244" i="3"/>
  <c r="N140" i="5" l="1"/>
  <c r="N144" i="5" s="1"/>
  <c r="R132" i="5"/>
  <c r="R140" i="5" s="1"/>
  <c r="R144" i="5" s="1"/>
  <c r="L231" i="3"/>
  <c r="F256" i="3" s="1"/>
  <c r="L62" i="4"/>
  <c r="F87" i="4" s="1"/>
  <c r="S185" i="4" s="1"/>
  <c r="C62" i="5"/>
  <c r="L62" i="5" s="1"/>
  <c r="F87" i="5" s="1"/>
  <c r="B185" i="4" l="1"/>
  <c r="B200" i="4" s="1"/>
  <c r="B204" i="4" s="1"/>
  <c r="C185" i="4"/>
  <c r="C200" i="4" s="1"/>
  <c r="C204" i="4" s="1"/>
  <c r="G185" i="4"/>
  <c r="G200" i="4" s="1"/>
  <c r="G204" i="4" s="1"/>
  <c r="I185" i="4"/>
  <c r="I200" i="4" s="1"/>
  <c r="I204" i="4" s="1"/>
  <c r="E185" i="4"/>
  <c r="E200" i="4" s="1"/>
  <c r="E204" i="4" s="1"/>
  <c r="H185" i="4"/>
  <c r="H200" i="4" s="1"/>
  <c r="H204" i="4" s="1"/>
  <c r="D185" i="4"/>
  <c r="D200" i="4" s="1"/>
  <c r="D204" i="4" s="1"/>
  <c r="F185" i="4"/>
  <c r="F200" i="4" s="1"/>
  <c r="F204" i="4" s="1"/>
  <c r="J185" i="4"/>
  <c r="J200" i="4" s="1"/>
  <c r="J204" i="4" s="1"/>
  <c r="F387" i="3"/>
  <c r="G257" i="3"/>
  <c r="H258" i="3" s="1"/>
  <c r="I259" i="3" s="1"/>
  <c r="J260" i="3" s="1"/>
  <c r="K261" i="3" s="1"/>
  <c r="L262" i="3" s="1"/>
  <c r="F269" i="3"/>
  <c r="F272" i="3" s="1"/>
  <c r="AD432" i="2"/>
  <c r="S354" i="3"/>
  <c r="G88" i="5"/>
  <c r="F100" i="5"/>
  <c r="F103" i="5" s="1"/>
  <c r="F218" i="5"/>
  <c r="S185" i="5"/>
  <c r="B185" i="5" s="1"/>
  <c r="G88" i="4"/>
  <c r="H89" i="4" s="1"/>
  <c r="I90" i="4" s="1"/>
  <c r="J91" i="4" s="1"/>
  <c r="K92" i="4" s="1"/>
  <c r="L93" i="4" s="1"/>
  <c r="F218" i="4"/>
  <c r="F100" i="4"/>
  <c r="F281" i="3" l="1"/>
  <c r="E16" i="1" s="1"/>
  <c r="F274" i="3"/>
  <c r="F410" i="3"/>
  <c r="F414" i="3" s="1"/>
  <c r="E9" i="1"/>
  <c r="E47" i="1" s="1"/>
  <c r="S369" i="3"/>
  <c r="S373" i="3" s="1"/>
  <c r="F275" i="3"/>
  <c r="E11" i="1" s="1"/>
  <c r="S198" i="5"/>
  <c r="F222" i="5"/>
  <c r="F223" i="5"/>
  <c r="T314" i="5"/>
  <c r="K314" i="5" s="1"/>
  <c r="H89" i="5"/>
  <c r="E354" i="3"/>
  <c r="E369" i="3" s="1"/>
  <c r="E373" i="3" s="1"/>
  <c r="B354" i="3"/>
  <c r="B369" i="3" s="1"/>
  <c r="B373" i="3" s="1"/>
  <c r="C354" i="3"/>
  <c r="C369" i="3" s="1"/>
  <c r="C373" i="3" s="1"/>
  <c r="G354" i="3"/>
  <c r="G369" i="3" s="1"/>
  <c r="G373" i="3" s="1"/>
  <c r="J354" i="3"/>
  <c r="J369" i="3" s="1"/>
  <c r="J373" i="3" s="1"/>
  <c r="H354" i="3"/>
  <c r="H369" i="3" s="1"/>
  <c r="H373" i="3" s="1"/>
  <c r="F354" i="3"/>
  <c r="F369" i="3" s="1"/>
  <c r="F373" i="3" s="1"/>
  <c r="I354" i="3"/>
  <c r="I369" i="3" s="1"/>
  <c r="I373" i="3" s="1"/>
  <c r="D354" i="3"/>
  <c r="D369" i="3" s="1"/>
  <c r="D373" i="3" s="1"/>
  <c r="H185" i="5"/>
  <c r="D185" i="5"/>
  <c r="C185" i="5"/>
  <c r="J185" i="5"/>
  <c r="F185" i="5"/>
  <c r="I185" i="5"/>
  <c r="E185" i="5"/>
  <c r="G185" i="5"/>
  <c r="F241" i="5"/>
  <c r="F245" i="5" s="1"/>
  <c r="F112" i="5"/>
  <c r="E44" i="1" s="1"/>
  <c r="F106" i="5"/>
  <c r="E39" i="1" s="1"/>
  <c r="S200" i="5"/>
  <c r="S204" i="5" s="1"/>
  <c r="F105" i="5"/>
  <c r="E37" i="1"/>
  <c r="E49" i="1" s="1"/>
  <c r="N432" i="2"/>
  <c r="F825" i="2" s="1"/>
  <c r="W432" i="2"/>
  <c r="I825" i="2" s="1"/>
  <c r="Q432" i="2"/>
  <c r="G825" i="2" s="1"/>
  <c r="T432" i="2"/>
  <c r="H825" i="2" s="1"/>
  <c r="E432" i="2"/>
  <c r="C825" i="2" s="1"/>
  <c r="K432" i="2"/>
  <c r="E825" i="2" s="1"/>
  <c r="B432" i="2"/>
  <c r="B825" i="2" s="1"/>
  <c r="Z432" i="2"/>
  <c r="J825" i="2" s="1"/>
  <c r="H432" i="2"/>
  <c r="D825" i="2" s="1"/>
  <c r="S198" i="4"/>
  <c r="M263" i="3"/>
  <c r="L396" i="3"/>
  <c r="O367" i="3"/>
  <c r="O369" i="3" s="1"/>
  <c r="O373" i="3" s="1"/>
  <c r="E367" i="3"/>
  <c r="G367" i="3"/>
  <c r="B367" i="3"/>
  <c r="P367" i="3"/>
  <c r="P369" i="3" s="1"/>
  <c r="P373" i="3" s="1"/>
  <c r="F367" i="3"/>
  <c r="N367" i="3"/>
  <c r="S367" i="3"/>
  <c r="Q367" i="3"/>
  <c r="Q369" i="3" s="1"/>
  <c r="Q373" i="3" s="1"/>
  <c r="L367" i="3"/>
  <c r="I367" i="3"/>
  <c r="M367" i="3"/>
  <c r="J367" i="3"/>
  <c r="D367" i="3"/>
  <c r="K367" i="3"/>
  <c r="C367" i="3"/>
  <c r="H367" i="3"/>
  <c r="F103" i="4"/>
  <c r="F223" i="4"/>
  <c r="F222" i="4"/>
  <c r="F392" i="3"/>
  <c r="F391" i="3"/>
  <c r="M94" i="4"/>
  <c r="L227" i="4"/>
  <c r="R354" i="5" l="1"/>
  <c r="R356" i="5" s="1"/>
  <c r="Q326" i="5"/>
  <c r="Q328" i="5" s="1"/>
  <c r="R326" i="5"/>
  <c r="R328" i="5" s="1"/>
  <c r="C326" i="5"/>
  <c r="H198" i="5"/>
  <c r="H200" i="5" s="1"/>
  <c r="D326" i="5"/>
  <c r="M326" i="5"/>
  <c r="M328" i="5" s="1"/>
  <c r="I326" i="5"/>
  <c r="J326" i="5"/>
  <c r="K198" i="5"/>
  <c r="K200" i="5" s="1"/>
  <c r="K204" i="5" s="1"/>
  <c r="Q198" i="5"/>
  <c r="Q200" i="5" s="1"/>
  <c r="Q204" i="5" s="1"/>
  <c r="J198" i="5"/>
  <c r="J200" i="5" s="1"/>
  <c r="D198" i="5"/>
  <c r="D200" i="5" s="1"/>
  <c r="L198" i="5"/>
  <c r="L200" i="5" s="1"/>
  <c r="L204" i="5" s="1"/>
  <c r="B198" i="5"/>
  <c r="B200" i="5" s="1"/>
  <c r="P326" i="5"/>
  <c r="P328" i="5" s="1"/>
  <c r="Q354" i="5"/>
  <c r="Q356" i="5" s="1"/>
  <c r="L354" i="5"/>
  <c r="L356" i="5" s="1"/>
  <c r="E354" i="5"/>
  <c r="H326" i="5"/>
  <c r="P354" i="5"/>
  <c r="P356" i="5" s="1"/>
  <c r="P198" i="5"/>
  <c r="P200" i="5" s="1"/>
  <c r="P204" i="5" s="1"/>
  <c r="K354" i="5"/>
  <c r="J354" i="5"/>
  <c r="O198" i="5"/>
  <c r="O200" i="5" s="1"/>
  <c r="O204" i="5" s="1"/>
  <c r="G198" i="5"/>
  <c r="G200" i="5" s="1"/>
  <c r="L326" i="5"/>
  <c r="L328" i="5" s="1"/>
  <c r="O326" i="5"/>
  <c r="B326" i="5"/>
  <c r="F326" i="5"/>
  <c r="C354" i="5"/>
  <c r="F198" i="5"/>
  <c r="F200" i="5" s="1"/>
  <c r="G354" i="5"/>
  <c r="K326" i="5"/>
  <c r="O354" i="5"/>
  <c r="O356" i="5" s="1"/>
  <c r="N326" i="5"/>
  <c r="N328" i="5" s="1"/>
  <c r="I198" i="5"/>
  <c r="I200" i="5" s="1"/>
  <c r="H354" i="5"/>
  <c r="N198" i="5"/>
  <c r="G326" i="5"/>
  <c r="F354" i="5"/>
  <c r="E198" i="5"/>
  <c r="E200" i="5" s="1"/>
  <c r="N354" i="5"/>
  <c r="N356" i="5" s="1"/>
  <c r="M198" i="5"/>
  <c r="M200" i="5" s="1"/>
  <c r="M204" i="5" s="1"/>
  <c r="M354" i="5"/>
  <c r="M356" i="5" s="1"/>
  <c r="E326" i="5"/>
  <c r="C198" i="5"/>
  <c r="C200" i="5" s="1"/>
  <c r="D354" i="5"/>
  <c r="I354" i="5"/>
  <c r="B354" i="5"/>
  <c r="L232" i="4"/>
  <c r="L231" i="4"/>
  <c r="C314" i="5"/>
  <c r="L400" i="3"/>
  <c r="L401" i="3"/>
  <c r="M198" i="4"/>
  <c r="O198" i="4"/>
  <c r="O200" i="4" s="1"/>
  <c r="O204" i="4" s="1"/>
  <c r="N198" i="4"/>
  <c r="L198" i="4"/>
  <c r="P198" i="4"/>
  <c r="P200" i="4" s="1"/>
  <c r="P204" i="4" s="1"/>
  <c r="I198" i="4"/>
  <c r="G198" i="4"/>
  <c r="Q198" i="4"/>
  <c r="Q200" i="4" s="1"/>
  <c r="Q204" i="4" s="1"/>
  <c r="C198" i="4"/>
  <c r="B198" i="4"/>
  <c r="D198" i="4"/>
  <c r="K198" i="4"/>
  <c r="H198" i="4"/>
  <c r="E198" i="4"/>
  <c r="J198" i="4"/>
  <c r="F198" i="4"/>
  <c r="F114" i="5"/>
  <c r="E38" i="1"/>
  <c r="D314" i="5"/>
  <c r="C234" i="3"/>
  <c r="F314" i="5"/>
  <c r="B314" i="5"/>
  <c r="L233" i="3"/>
  <c r="H256" i="3" s="1"/>
  <c r="L64" i="4"/>
  <c r="H87" i="4" s="1"/>
  <c r="C64" i="5"/>
  <c r="L64" i="5" s="1"/>
  <c r="H87" i="5" s="1"/>
  <c r="H314" i="5"/>
  <c r="L63" i="4"/>
  <c r="G87" i="4" s="1"/>
  <c r="C63" i="5"/>
  <c r="L63" i="5" s="1"/>
  <c r="G87" i="5" s="1"/>
  <c r="L232" i="3"/>
  <c r="G256" i="3" s="1"/>
  <c r="T343" i="5"/>
  <c r="I90" i="5"/>
  <c r="J91" i="5" s="1"/>
  <c r="K92" i="5" s="1"/>
  <c r="L93" i="5" s="1"/>
  <c r="S825" i="2"/>
  <c r="I314" i="5"/>
  <c r="F241" i="4"/>
  <c r="F245" i="4" s="1"/>
  <c r="F105" i="4"/>
  <c r="S200" i="4"/>
  <c r="S204" i="4" s="1"/>
  <c r="F112" i="4"/>
  <c r="E30" i="1" s="1"/>
  <c r="E23" i="1"/>
  <c r="E48" i="1" s="1"/>
  <c r="F106" i="4"/>
  <c r="E25" i="1" s="1"/>
  <c r="F283" i="3"/>
  <c r="E10" i="1"/>
  <c r="G314" i="5"/>
  <c r="E314" i="5"/>
  <c r="I343" i="5" l="1"/>
  <c r="B343" i="5"/>
  <c r="G343" i="5"/>
  <c r="D343" i="5"/>
  <c r="H343" i="5"/>
  <c r="F204" i="5"/>
  <c r="G204" i="5"/>
  <c r="C343" i="5"/>
  <c r="E204" i="5"/>
  <c r="L234" i="3"/>
  <c r="I256" i="3" s="1"/>
  <c r="L65" i="4"/>
  <c r="I87" i="4" s="1"/>
  <c r="L65" i="5"/>
  <c r="I87" i="5" s="1"/>
  <c r="T341" i="5"/>
  <c r="I88" i="5"/>
  <c r="J89" i="5" s="1"/>
  <c r="K90" i="5" s="1"/>
  <c r="L91" i="5" s="1"/>
  <c r="M92" i="5" s="1"/>
  <c r="D204" i="5"/>
  <c r="H244" i="3"/>
  <c r="H75" i="4"/>
  <c r="C235" i="3"/>
  <c r="H75" i="5"/>
  <c r="I88" i="4"/>
  <c r="J89" i="4" s="1"/>
  <c r="K90" i="4" s="1"/>
  <c r="L91" i="4" s="1"/>
  <c r="M92" i="4" s="1"/>
  <c r="J204" i="5"/>
  <c r="P332" i="5"/>
  <c r="P358" i="5"/>
  <c r="P360" i="5" s="1"/>
  <c r="K838" i="2"/>
  <c r="K840" i="2" s="1"/>
  <c r="K844" i="2" s="1"/>
  <c r="H838" i="2"/>
  <c r="H840" i="2" s="1"/>
  <c r="H844" i="2" s="1"/>
  <c r="E838" i="2"/>
  <c r="E840" i="2" s="1"/>
  <c r="E844" i="2" s="1"/>
  <c r="F838" i="2"/>
  <c r="F840" i="2" s="1"/>
  <c r="F844" i="2" s="1"/>
  <c r="I838" i="2"/>
  <c r="I840" i="2" s="1"/>
  <c r="I844" i="2" s="1"/>
  <c r="G838" i="2"/>
  <c r="G840" i="2" s="1"/>
  <c r="G844" i="2" s="1"/>
  <c r="D838" i="2"/>
  <c r="D840" i="2" s="1"/>
  <c r="D844" i="2" s="1"/>
  <c r="B838" i="2"/>
  <c r="B840" i="2" s="1"/>
  <c r="B844" i="2" s="1"/>
  <c r="O838" i="2"/>
  <c r="O840" i="2" s="1"/>
  <c r="O844" i="2" s="1"/>
  <c r="M838" i="2"/>
  <c r="M840" i="2" s="1"/>
  <c r="M844" i="2" s="1"/>
  <c r="L838" i="2"/>
  <c r="L840" i="2" s="1"/>
  <c r="L844" i="2" s="1"/>
  <c r="P838" i="2"/>
  <c r="P840" i="2" s="1"/>
  <c r="P844" i="2" s="1"/>
  <c r="C838" i="2"/>
  <c r="Q838" i="2"/>
  <c r="Q840" i="2" s="1"/>
  <c r="Q844" i="2" s="1"/>
  <c r="N838" i="2"/>
  <c r="N840" i="2" s="1"/>
  <c r="N844" i="2" s="1"/>
  <c r="J838" i="2"/>
  <c r="J840" i="2" s="1"/>
  <c r="J844" i="2" s="1"/>
  <c r="L227" i="5"/>
  <c r="M94" i="5"/>
  <c r="L358" i="5"/>
  <c r="L360" i="5" s="1"/>
  <c r="L332" i="5"/>
  <c r="R332" i="5"/>
  <c r="R358" i="5"/>
  <c r="R360" i="5" s="1"/>
  <c r="C204" i="5"/>
  <c r="Q358" i="5"/>
  <c r="Q360" i="5" s="1"/>
  <c r="Q332" i="5"/>
  <c r="H204" i="5"/>
  <c r="B204" i="5"/>
  <c r="H88" i="4"/>
  <c r="I89" i="4" s="1"/>
  <c r="J90" i="4" s="1"/>
  <c r="K91" i="4" s="1"/>
  <c r="L92" i="4" s="1"/>
  <c r="M93" i="4" s="1"/>
  <c r="M227" i="4" s="1"/>
  <c r="G218" i="4"/>
  <c r="G100" i="4"/>
  <c r="I204" i="5"/>
  <c r="J314" i="5"/>
  <c r="M358" i="5"/>
  <c r="M360" i="5" s="1"/>
  <c r="M332" i="5"/>
  <c r="G387" i="3"/>
  <c r="H257" i="3"/>
  <c r="I258" i="3" s="1"/>
  <c r="J259" i="3" s="1"/>
  <c r="K260" i="3" s="1"/>
  <c r="L261" i="3" s="1"/>
  <c r="M262" i="3" s="1"/>
  <c r="M396" i="3" s="1"/>
  <c r="G269" i="3"/>
  <c r="N358" i="5"/>
  <c r="N360" i="5" s="1"/>
  <c r="N332" i="5"/>
  <c r="I257" i="3"/>
  <c r="J258" i="3" s="1"/>
  <c r="K259" i="3" s="1"/>
  <c r="L260" i="3" s="1"/>
  <c r="M261" i="3" s="1"/>
  <c r="E343" i="5"/>
  <c r="E24" i="1"/>
  <c r="F114" i="4"/>
  <c r="T313" i="5"/>
  <c r="F313" i="5" s="1"/>
  <c r="G218" i="5"/>
  <c r="H88" i="5"/>
  <c r="G100" i="5"/>
  <c r="F343" i="5"/>
  <c r="K343" i="5"/>
  <c r="H269" i="3" l="1"/>
  <c r="I269" i="3" s="1"/>
  <c r="I272" i="3" s="1"/>
  <c r="H100" i="4"/>
  <c r="I100" i="4" s="1"/>
  <c r="I103" i="4" s="1"/>
  <c r="C313" i="5"/>
  <c r="C328" i="5" s="1"/>
  <c r="J343" i="5"/>
  <c r="E313" i="5"/>
  <c r="E328" i="5" s="1"/>
  <c r="F328" i="5"/>
  <c r="G223" i="4"/>
  <c r="G222" i="4"/>
  <c r="G272" i="3"/>
  <c r="H100" i="5"/>
  <c r="H103" i="5" s="1"/>
  <c r="T326" i="5"/>
  <c r="J257" i="3"/>
  <c r="K258" i="3" s="1"/>
  <c r="L259" i="3" s="1"/>
  <c r="M260" i="3" s="1"/>
  <c r="I387" i="3"/>
  <c r="G103" i="5"/>
  <c r="M401" i="3"/>
  <c r="M400" i="3"/>
  <c r="G391" i="3"/>
  <c r="G392" i="3"/>
  <c r="B313" i="5"/>
  <c r="D313" i="5"/>
  <c r="I218" i="4"/>
  <c r="J88" i="4"/>
  <c r="K89" i="4" s="1"/>
  <c r="L90" i="4" s="1"/>
  <c r="M91" i="4" s="1"/>
  <c r="G103" i="4"/>
  <c r="K313" i="5"/>
  <c r="L232" i="5"/>
  <c r="L231" i="5"/>
  <c r="J313" i="5"/>
  <c r="J328" i="5" s="1"/>
  <c r="G313" i="5"/>
  <c r="L66" i="5"/>
  <c r="J87" i="5" s="1"/>
  <c r="L66" i="4"/>
  <c r="J87" i="4" s="1"/>
  <c r="L235" i="3"/>
  <c r="J256" i="3" s="1"/>
  <c r="I89" i="5"/>
  <c r="J90" i="5" s="1"/>
  <c r="K91" i="5" s="1"/>
  <c r="L92" i="5" s="1"/>
  <c r="M93" i="5" s="1"/>
  <c r="M227" i="5" s="1"/>
  <c r="T342" i="5"/>
  <c r="G222" i="5"/>
  <c r="G223" i="5"/>
  <c r="M231" i="4"/>
  <c r="M232" i="4"/>
  <c r="H218" i="4"/>
  <c r="C236" i="3"/>
  <c r="H313" i="5"/>
  <c r="H387" i="3"/>
  <c r="H218" i="5"/>
  <c r="I313" i="5"/>
  <c r="S838" i="2"/>
  <c r="S840" i="2" s="1"/>
  <c r="C840" i="2"/>
  <c r="C844" i="2" s="1"/>
  <c r="J88" i="5"/>
  <c r="K89" i="5" s="1"/>
  <c r="L90" i="5" s="1"/>
  <c r="M91" i="5" s="1"/>
  <c r="C342" i="5" l="1"/>
  <c r="H103" i="4"/>
  <c r="I105" i="4" s="1"/>
  <c r="H272" i="3"/>
  <c r="I274" i="3" s="1"/>
  <c r="E342" i="5"/>
  <c r="I281" i="3"/>
  <c r="H16" i="1" s="1"/>
  <c r="H9" i="1"/>
  <c r="H47" i="1" s="1"/>
  <c r="I410" i="3"/>
  <c r="I414" i="3" s="1"/>
  <c r="C237" i="3"/>
  <c r="E332" i="5"/>
  <c r="J218" i="4"/>
  <c r="K88" i="4"/>
  <c r="L89" i="4" s="1"/>
  <c r="M90" i="4" s="1"/>
  <c r="D328" i="5"/>
  <c r="D342" i="5"/>
  <c r="G105" i="4"/>
  <c r="G106" i="4"/>
  <c r="F25" i="1" s="1"/>
  <c r="G112" i="4"/>
  <c r="F30" i="1" s="1"/>
  <c r="G241" i="4"/>
  <c r="G245" i="4" s="1"/>
  <c r="F23" i="1"/>
  <c r="F48" i="1" s="1"/>
  <c r="L236" i="3"/>
  <c r="K256" i="3" s="1"/>
  <c r="L67" i="4"/>
  <c r="K87" i="4" s="1"/>
  <c r="L67" i="5"/>
  <c r="K87" i="5" s="1"/>
  <c r="I223" i="4"/>
  <c r="I222" i="4"/>
  <c r="E57" i="1"/>
  <c r="S844" i="2"/>
  <c r="C332" i="5"/>
  <c r="I342" i="5"/>
  <c r="I328" i="5"/>
  <c r="H105" i="5"/>
  <c r="T356" i="5"/>
  <c r="H112" i="5"/>
  <c r="G44" i="1" s="1"/>
  <c r="H106" i="5"/>
  <c r="G39" i="1" s="1"/>
  <c r="H241" i="5"/>
  <c r="H245" i="5" s="1"/>
  <c r="G37" i="1"/>
  <c r="G49" i="1" s="1"/>
  <c r="K88" i="5"/>
  <c r="L89" i="5" s="1"/>
  <c r="M90" i="5" s="1"/>
  <c r="J218" i="5"/>
  <c r="B342" i="5"/>
  <c r="B328" i="5"/>
  <c r="T354" i="5"/>
  <c r="I100" i="5"/>
  <c r="J100" i="5" s="1"/>
  <c r="G328" i="5"/>
  <c r="G342" i="5"/>
  <c r="G275" i="3"/>
  <c r="F11" i="1" s="1"/>
  <c r="G410" i="3"/>
  <c r="G414" i="3" s="1"/>
  <c r="F9" i="1"/>
  <c r="F47" i="1" s="1"/>
  <c r="G274" i="3"/>
  <c r="G281" i="3"/>
  <c r="F16" i="1" s="1"/>
  <c r="I112" i="4"/>
  <c r="H30" i="1" s="1"/>
  <c r="I241" i="4"/>
  <c r="I245" i="4" s="1"/>
  <c r="H23" i="1"/>
  <c r="H48" i="1" s="1"/>
  <c r="F37" i="1"/>
  <c r="F49" i="1" s="1"/>
  <c r="T328" i="5"/>
  <c r="T332" i="5" s="1"/>
  <c r="G106" i="5"/>
  <c r="F39" i="1" s="1"/>
  <c r="G105" i="5"/>
  <c r="G241" i="5"/>
  <c r="G245" i="5" s="1"/>
  <c r="G112" i="5"/>
  <c r="F44" i="1" s="1"/>
  <c r="I218" i="5"/>
  <c r="H223" i="4"/>
  <c r="H222" i="4"/>
  <c r="M232" i="5"/>
  <c r="M231" i="5"/>
  <c r="I391" i="3"/>
  <c r="I392" i="3"/>
  <c r="K257" i="3"/>
  <c r="L258" i="3" s="1"/>
  <c r="M259" i="3" s="1"/>
  <c r="J387" i="3"/>
  <c r="J332" i="5"/>
  <c r="J100" i="4"/>
  <c r="H223" i="5"/>
  <c r="H222" i="5"/>
  <c r="H391" i="3"/>
  <c r="H392" i="3"/>
  <c r="F332" i="5"/>
  <c r="J269" i="3"/>
  <c r="H342" i="5"/>
  <c r="H328" i="5"/>
  <c r="K328" i="5"/>
  <c r="K342" i="5"/>
  <c r="F342" i="5"/>
  <c r="H112" i="4" l="1"/>
  <c r="G30" i="1" s="1"/>
  <c r="G9" i="1"/>
  <c r="G47" i="1" s="1"/>
  <c r="H281" i="3"/>
  <c r="G16" i="1" s="1"/>
  <c r="H106" i="4"/>
  <c r="G25" i="1" s="1"/>
  <c r="H241" i="4"/>
  <c r="H245" i="4" s="1"/>
  <c r="G23" i="1"/>
  <c r="G48" i="1" s="1"/>
  <c r="H105" i="4"/>
  <c r="H114" i="4" s="1"/>
  <c r="H275" i="3"/>
  <c r="G11" i="1" s="1"/>
  <c r="H410" i="3"/>
  <c r="H414" i="3" s="1"/>
  <c r="H274" i="3"/>
  <c r="H283" i="3" s="1"/>
  <c r="I106" i="4"/>
  <c r="H25" i="1" s="1"/>
  <c r="I275" i="3"/>
  <c r="H11" i="1" s="1"/>
  <c r="I103" i="5"/>
  <c r="I112" i="5" s="1"/>
  <c r="H44" i="1" s="1"/>
  <c r="J341" i="5"/>
  <c r="J356" i="5" s="1"/>
  <c r="J360" i="5" s="1"/>
  <c r="J342" i="5"/>
  <c r="K100" i="5"/>
  <c r="K103" i="5" s="1"/>
  <c r="K100" i="4"/>
  <c r="K103" i="4" s="1"/>
  <c r="F341" i="5"/>
  <c r="F356" i="5" s="1"/>
  <c r="F360" i="5" s="1"/>
  <c r="J392" i="3"/>
  <c r="J391" i="3"/>
  <c r="I341" i="5"/>
  <c r="I356" i="5" s="1"/>
  <c r="I360" i="5" s="1"/>
  <c r="I332" i="5"/>
  <c r="B341" i="5"/>
  <c r="B356" i="5" s="1"/>
  <c r="B360" i="5" s="1"/>
  <c r="B332" i="5"/>
  <c r="L237" i="3"/>
  <c r="L256" i="3" s="1"/>
  <c r="L68" i="5"/>
  <c r="L87" i="5" s="1"/>
  <c r="L68" i="4"/>
  <c r="L87" i="4" s="1"/>
  <c r="H24" i="1"/>
  <c r="I114" i="4"/>
  <c r="J222" i="5"/>
  <c r="J223" i="5"/>
  <c r="C341" i="5"/>
  <c r="C356" i="5" s="1"/>
  <c r="C360" i="5" s="1"/>
  <c r="F24" i="1"/>
  <c r="G114" i="4"/>
  <c r="C238" i="3"/>
  <c r="H332" i="5"/>
  <c r="H341" i="5"/>
  <c r="H356" i="5" s="1"/>
  <c r="H360" i="5" s="1"/>
  <c r="K269" i="3"/>
  <c r="K272" i="3" s="1"/>
  <c r="G332" i="5"/>
  <c r="G341" i="5"/>
  <c r="G356" i="5" s="1"/>
  <c r="G360" i="5" s="1"/>
  <c r="G283" i="3"/>
  <c r="F10" i="1"/>
  <c r="J103" i="5"/>
  <c r="E64" i="1"/>
  <c r="E58" i="1"/>
  <c r="E59" i="1"/>
  <c r="E50" i="1"/>
  <c r="D332" i="5"/>
  <c r="D341" i="5"/>
  <c r="D356" i="5" s="1"/>
  <c r="D360" i="5" s="1"/>
  <c r="K218" i="4"/>
  <c r="L88" i="4"/>
  <c r="M89" i="4" s="1"/>
  <c r="H114" i="5"/>
  <c r="G38" i="1"/>
  <c r="I223" i="5"/>
  <c r="I222" i="5"/>
  <c r="J103" i="4"/>
  <c r="L257" i="3"/>
  <c r="M258" i="3" s="1"/>
  <c r="K387" i="3"/>
  <c r="E341" i="5"/>
  <c r="E356" i="5" s="1"/>
  <c r="E360" i="5" s="1"/>
  <c r="K332" i="5"/>
  <c r="K341" i="5"/>
  <c r="K356" i="5" s="1"/>
  <c r="K360" i="5" s="1"/>
  <c r="J272" i="3"/>
  <c r="G114" i="5"/>
  <c r="F38" i="1"/>
  <c r="I283" i="3"/>
  <c r="H10" i="1"/>
  <c r="L88" i="5"/>
  <c r="M89" i="5" s="1"/>
  <c r="K218" i="5"/>
  <c r="J223" i="4"/>
  <c r="J222" i="4"/>
  <c r="G24" i="1" l="1"/>
  <c r="G10" i="1"/>
  <c r="I106" i="5"/>
  <c r="H39" i="1" s="1"/>
  <c r="I105" i="5"/>
  <c r="I114" i="5" s="1"/>
  <c r="H37" i="1"/>
  <c r="H49" i="1" s="1"/>
  <c r="I241" i="5"/>
  <c r="I245" i="5" s="1"/>
  <c r="L100" i="5"/>
  <c r="L103" i="5" s="1"/>
  <c r="M88" i="5"/>
  <c r="L218" i="5"/>
  <c r="L387" i="3"/>
  <c r="M257" i="3"/>
  <c r="K274" i="3"/>
  <c r="K410" i="3"/>
  <c r="K414" i="3" s="1"/>
  <c r="J9" i="1"/>
  <c r="J47" i="1" s="1"/>
  <c r="K275" i="3"/>
  <c r="J11" i="1" s="1"/>
  <c r="K281" i="3"/>
  <c r="J16" i="1" s="1"/>
  <c r="K241" i="4"/>
  <c r="K245" i="4" s="1"/>
  <c r="J23" i="1"/>
  <c r="J48" i="1" s="1"/>
  <c r="K112" i="4"/>
  <c r="J30" i="1" s="1"/>
  <c r="K105" i="4"/>
  <c r="K106" i="4"/>
  <c r="J25" i="1" s="1"/>
  <c r="K222" i="5"/>
  <c r="K223" i="5"/>
  <c r="K392" i="3"/>
  <c r="K391" i="3"/>
  <c r="L269" i="3"/>
  <c r="M88" i="4"/>
  <c r="L218" i="4"/>
  <c r="J37" i="1"/>
  <c r="J49" i="1" s="1"/>
  <c r="K112" i="5"/>
  <c r="J44" i="1" s="1"/>
  <c r="K241" i="5"/>
  <c r="K245" i="5" s="1"/>
  <c r="K105" i="5"/>
  <c r="K106" i="5"/>
  <c r="J39" i="1" s="1"/>
  <c r="J274" i="3"/>
  <c r="I9" i="1"/>
  <c r="I47" i="1" s="1"/>
  <c r="J410" i="3"/>
  <c r="J414" i="3" s="1"/>
  <c r="J275" i="3"/>
  <c r="I11" i="1" s="1"/>
  <c r="J281" i="3"/>
  <c r="I16" i="1" s="1"/>
  <c r="J105" i="4"/>
  <c r="J106" i="4"/>
  <c r="I25" i="1" s="1"/>
  <c r="J112" i="4"/>
  <c r="I30" i="1" s="1"/>
  <c r="J241" i="4"/>
  <c r="J245" i="4" s="1"/>
  <c r="I23" i="1"/>
  <c r="I48" i="1" s="1"/>
  <c r="K223" i="4"/>
  <c r="K222" i="4"/>
  <c r="L69" i="4"/>
  <c r="M87" i="4" s="1"/>
  <c r="L69" i="5"/>
  <c r="M87" i="5" s="1"/>
  <c r="L238" i="3"/>
  <c r="M256" i="3" s="1"/>
  <c r="J106" i="5"/>
  <c r="I39" i="1" s="1"/>
  <c r="J241" i="5"/>
  <c r="J245" i="5" s="1"/>
  <c r="J112" i="5"/>
  <c r="I44" i="1" s="1"/>
  <c r="J105" i="5"/>
  <c r="I37" i="1"/>
  <c r="I49" i="1" s="1"/>
  <c r="L100" i="4"/>
  <c r="L103" i="4" s="1"/>
  <c r="H38" i="1" l="1"/>
  <c r="M218" i="5"/>
  <c r="M100" i="5"/>
  <c r="M103" i="5" s="1"/>
  <c r="M387" i="3"/>
  <c r="M218" i="4"/>
  <c r="J38" i="1"/>
  <c r="K114" i="5"/>
  <c r="J10" i="1"/>
  <c r="K283" i="3"/>
  <c r="M269" i="3"/>
  <c r="M272" i="3" s="1"/>
  <c r="J283" i="3"/>
  <c r="I10" i="1"/>
  <c r="M100" i="4"/>
  <c r="M103" i="4" s="1"/>
  <c r="L272" i="3"/>
  <c r="L105" i="4"/>
  <c r="L106" i="4"/>
  <c r="K25" i="1" s="1"/>
  <c r="K23" i="1"/>
  <c r="K48" i="1" s="1"/>
  <c r="L241" i="4"/>
  <c r="L245" i="4" s="1"/>
  <c r="L112" i="4"/>
  <c r="K30" i="1" s="1"/>
  <c r="L392" i="3"/>
  <c r="L391" i="3"/>
  <c r="I38" i="1"/>
  <c r="J114" i="5"/>
  <c r="J24" i="1"/>
  <c r="K114" i="4"/>
  <c r="L241" i="5"/>
  <c r="L245" i="5" s="1"/>
  <c r="L105" i="5"/>
  <c r="K37" i="1"/>
  <c r="K49" i="1" s="1"/>
  <c r="L112" i="5"/>
  <c r="K44" i="1" s="1"/>
  <c r="L106" i="5"/>
  <c r="K39" i="1" s="1"/>
  <c r="L222" i="5"/>
  <c r="L223" i="5"/>
  <c r="I24" i="1"/>
  <c r="J114" i="4"/>
  <c r="L222" i="4"/>
  <c r="L223" i="4"/>
  <c r="M112" i="5" l="1"/>
  <c r="L44" i="1" s="1"/>
  <c r="L37" i="1"/>
  <c r="L49" i="1" s="1"/>
  <c r="M109" i="5"/>
  <c r="L41" i="1" s="1"/>
  <c r="M105" i="5"/>
  <c r="M241" i="5"/>
  <c r="M245" i="5" s="1"/>
  <c r="M106" i="5"/>
  <c r="L39" i="1" s="1"/>
  <c r="M281" i="3"/>
  <c r="L16" i="1" s="1"/>
  <c r="L9" i="1"/>
  <c r="L47" i="1" s="1"/>
  <c r="M410" i="3"/>
  <c r="M414" i="3" s="1"/>
  <c r="M274" i="3"/>
  <c r="M275" i="3"/>
  <c r="L11" i="1" s="1"/>
  <c r="M278" i="3"/>
  <c r="L13" i="1" s="1"/>
  <c r="L23" i="1"/>
  <c r="L48" i="1" s="1"/>
  <c r="M106" i="4"/>
  <c r="L25" i="1" s="1"/>
  <c r="M109" i="4"/>
  <c r="L27" i="1" s="1"/>
  <c r="M112" i="4"/>
  <c r="L30" i="1" s="1"/>
  <c r="M105" i="4"/>
  <c r="M241" i="4"/>
  <c r="M245" i="4" s="1"/>
  <c r="M223" i="4"/>
  <c r="M222" i="4"/>
  <c r="L114" i="4"/>
  <c r="K24" i="1"/>
  <c r="K9" i="1"/>
  <c r="K47" i="1" s="1"/>
  <c r="L274" i="3"/>
  <c r="L275" i="3"/>
  <c r="K11" i="1" s="1"/>
  <c r="L281" i="3"/>
  <c r="K16" i="1" s="1"/>
  <c r="L410" i="3"/>
  <c r="L414" i="3" s="1"/>
  <c r="M223" i="5"/>
  <c r="M222" i="5"/>
  <c r="L114" i="5"/>
  <c r="K38" i="1"/>
  <c r="M391" i="3"/>
  <c r="M392" i="3"/>
  <c r="L10" i="1" l="1"/>
  <c r="M283" i="3"/>
  <c r="L283" i="3"/>
  <c r="K10" i="1"/>
  <c r="M114" i="4"/>
  <c r="L24" i="1"/>
  <c r="L38" i="1"/>
  <c r="M114" i="5"/>
  <c r="O321" i="5"/>
  <c r="O328" i="5" s="1"/>
  <c r="N200" i="5"/>
  <c r="N204" i="5" s="1"/>
  <c r="R200" i="5"/>
  <c r="R204" i="5" s="1"/>
  <c r="O332" i="5" l="1"/>
  <c r="O358" i="5"/>
  <c r="S321" i="5"/>
  <c r="S328" i="5" s="1"/>
  <c r="S358" i="5" l="1"/>
  <c r="S360" i="5" s="1"/>
  <c r="S332" i="5"/>
  <c r="O360" i="5"/>
  <c r="T358" i="5" l="1"/>
  <c r="T36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AH141" authorId="0" shapeId="0" xr:uid="{00000000-0006-0000-0400-000001000000}">
      <text>
        <r>
          <rPr>
            <sz val="8"/>
            <color indexed="81"/>
            <rFont val="Tahoma"/>
            <family val="2"/>
          </rPr>
          <t>Formula failed to convert</t>
        </r>
      </text>
    </comment>
  </commentList>
</comments>
</file>

<file path=xl/sharedStrings.xml><?xml version="1.0" encoding="utf-8"?>
<sst xmlns="http://schemas.openxmlformats.org/spreadsheetml/2006/main" count="2665" uniqueCount="458">
  <si>
    <t>SUMMARY</t>
  </si>
  <si>
    <t xml:space="preserve">           OLDHAM COUNTY BOARD OF EDUCATION</t>
  </si>
  <si>
    <t xml:space="preserve">    PROJECTED ENROLLMENT END OF FIRST MONTH</t>
  </si>
  <si>
    <t>TO</t>
  </si>
  <si>
    <t>2000-01</t>
  </si>
  <si>
    <t>2001-02</t>
  </si>
  <si>
    <t>2002-03</t>
  </si>
  <si>
    <t>2003-04</t>
  </si>
  <si>
    <t>2004-05</t>
  </si>
  <si>
    <t>2005-06</t>
  </si>
  <si>
    <t>2006-07</t>
  </si>
  <si>
    <t xml:space="preserve"> PRJ. ENROLLMENT - 3 YEAR</t>
  </si>
  <si>
    <t xml:space="preserve"> CHANGE TO PRIOR YEAR</t>
  </si>
  <si>
    <t xml:space="preserve"> % CHANGE TO PRIOR YEAR</t>
  </si>
  <si>
    <t xml:space="preserve"> Urb Stu. Prj. 5-19 - MOD</t>
  </si>
  <si>
    <t xml:space="preserve"> % PUB. SCH. K-12 OF URBAN ST. PROJ 5-19</t>
  </si>
  <si>
    <t xml:space="preserve"> Urban Stu. Prj. All - MODERATE SERIES</t>
  </si>
  <si>
    <t>OC ESTIMATE OF ALL</t>
  </si>
  <si>
    <t xml:space="preserve"> PRJ. ENROLLMENT - 5 YEAR</t>
  </si>
  <si>
    <t xml:space="preserve"> PRJ. ENROLLMENT - 10 YEAR</t>
  </si>
  <si>
    <t xml:space="preserve"> 3 YEAR</t>
  </si>
  <si>
    <t xml:space="preserve"> 5 YEAR</t>
  </si>
  <si>
    <t xml:space="preserve"> 10 YEAR</t>
  </si>
  <si>
    <t>ENROLLMENT END OF FIRST MONTH</t>
  </si>
  <si>
    <t xml:space="preserve"> GRADE</t>
  </si>
  <si>
    <t xml:space="preserve">E L E M E N T A R Y </t>
  </si>
  <si>
    <t xml:space="preserve"> HIGH SCHOOL </t>
  </si>
  <si>
    <t>TOTAL</t>
  </si>
  <si>
    <t>3 YR</t>
  </si>
  <si>
    <t>%</t>
  </si>
  <si>
    <t>5 YR</t>
  </si>
  <si>
    <t>10 YR</t>
  </si>
  <si>
    <t xml:space="preserve">      CA</t>
  </si>
  <si>
    <t xml:space="preserve">      CE</t>
  </si>
  <si>
    <t xml:space="preserve">      CR</t>
  </si>
  <si>
    <t xml:space="preserve">      GO</t>
  </si>
  <si>
    <t>NOMS</t>
  </si>
  <si>
    <t>ACC</t>
  </si>
  <si>
    <t>SCH</t>
  </si>
  <si>
    <t>SPFC</t>
  </si>
  <si>
    <t xml:space="preserve"> </t>
  </si>
  <si>
    <t xml:space="preserve">   4</t>
  </si>
  <si>
    <t xml:space="preserve">   5</t>
  </si>
  <si>
    <t xml:space="preserve">   6</t>
  </si>
  <si>
    <t xml:space="preserve">   7</t>
  </si>
  <si>
    <t xml:space="preserve">   8</t>
  </si>
  <si>
    <t xml:space="preserve">   9</t>
  </si>
  <si>
    <t xml:space="preserve">  10</t>
  </si>
  <si>
    <t xml:space="preserve">  11</t>
  </si>
  <si>
    <t xml:space="preserve">  12</t>
  </si>
  <si>
    <t xml:space="preserve"> SP ED</t>
  </si>
  <si>
    <t xml:space="preserve"> TOTAL</t>
  </si>
  <si>
    <t>OVERALL</t>
  </si>
  <si>
    <t>3 YEAR TREND</t>
  </si>
  <si>
    <t>SCH ACC</t>
  </si>
  <si>
    <t>% ACCURATE</t>
  </si>
  <si>
    <t>GR ACC</t>
  </si>
  <si>
    <t>SCH/GR</t>
  </si>
  <si>
    <t>SCH SPECIFIC</t>
  </si>
  <si>
    <t>5 YEAR TREND</t>
  </si>
  <si>
    <t>10 YEAR TREND</t>
  </si>
  <si>
    <t>SCHOOL</t>
  </si>
  <si>
    <t>ELEMENTARY</t>
  </si>
  <si>
    <t>MIDDLE SCHOOL</t>
  </si>
  <si>
    <t>HIGH SCHOOL</t>
  </si>
  <si>
    <t>BY SCHOOL</t>
  </si>
  <si>
    <t>YEAR</t>
  </si>
  <si>
    <t>BUCKNER</t>
  </si>
  <si>
    <t>CAMDEN ST</t>
  </si>
  <si>
    <t>CRESTWOOD</t>
  </si>
  <si>
    <t>LAGRANGE</t>
  </si>
  <si>
    <t>% surv</t>
  </si>
  <si>
    <t>3 year</t>
  </si>
  <si>
    <t>5 year</t>
  </si>
  <si>
    <t>10 year</t>
  </si>
  <si>
    <t>3 year ave.</t>
  </si>
  <si>
    <t>5 year ave.</t>
  </si>
  <si>
    <t>FROM</t>
  </si>
  <si>
    <t>3 YR %</t>
  </si>
  <si>
    <t>%surv</t>
  </si>
  <si>
    <t>3 Year</t>
  </si>
  <si>
    <t>P-3</t>
  </si>
  <si>
    <t>4TH</t>
  </si>
  <si>
    <t>5TH</t>
  </si>
  <si>
    <t>SCHOOL OVERALL PERCENT SURVIVAL</t>
  </si>
  <si>
    <t>SCHOOL OVERALL PERCENT SURVIVAL VS DISTRICT AVERAGE PERCENT SURVIVAL</t>
  </si>
  <si>
    <t>OCMS</t>
  </si>
  <si>
    <t>6TH</t>
  </si>
  <si>
    <t>7TH</t>
  </si>
  <si>
    <t>8TH</t>
  </si>
  <si>
    <t>OCHS</t>
  </si>
  <si>
    <t>9TH</t>
  </si>
  <si>
    <t>BASED ON THREE YEAR PERCENT SURVIVAL AT THE SCHOOL LEVEL</t>
  </si>
  <si>
    <t>BLDG CAP.</t>
  </si>
  <si>
    <t>% OCCUPIED</t>
  </si>
  <si>
    <t>THREE YEAR AVERAGE PERCENTAGES OF SURVIVAL BY SCHOOL</t>
  </si>
  <si>
    <t>LEVEL/GRADE</t>
  </si>
  <si>
    <t xml:space="preserve">     BASED ON THREE YEAR PERCENT SURVIVAL AT THE SCHOOL LEVEL</t>
  </si>
  <si>
    <t>ATTENDANCE AREA FOR MIDDLE SCHOOLS</t>
  </si>
  <si>
    <t>SOMS</t>
  </si>
  <si>
    <t>5TH TO 6TH GRADE SURVIVAL</t>
  </si>
  <si>
    <t>4TH TO 5TH GRADE SURVIVAL</t>
  </si>
  <si>
    <t>HIGH SCHOOL ATTENDANCE AREA</t>
  </si>
  <si>
    <t>SOHS</t>
  </si>
  <si>
    <t>8TH TO 9TH GRADE SURVIVAL</t>
  </si>
  <si>
    <t>7TH TO 8TH GRADE SURVIVAL</t>
  </si>
  <si>
    <t>6TH TO 7TH GRADE SURVIVAL</t>
  </si>
  <si>
    <t>PROJECTIONS FOR HIGH SCHOOL AREA USING SCHOOL'S 3 YEAR SURVIVAL RATE</t>
  </si>
  <si>
    <t>OLDHAM COUNTY BOARD OF EDUCATION</t>
  </si>
  <si>
    <t>+/-</t>
  </si>
  <si>
    <t>PERCENT</t>
  </si>
  <si>
    <t>ACCURATE</t>
  </si>
  <si>
    <t xml:space="preserve"> PROJECTED</t>
  </si>
  <si>
    <t xml:space="preserve"> +/-</t>
  </si>
  <si>
    <t xml:space="preserve"> % ACC.</t>
  </si>
  <si>
    <t xml:space="preserve"> BLDG CAP.</t>
  </si>
  <si>
    <t xml:space="preserve"> % OCCUPIED</t>
  </si>
  <si>
    <t xml:space="preserve">      ENROLLMENT BY GRADE</t>
  </si>
  <si>
    <t xml:space="preserve">   END OF FIRST SCHOOL MONTH</t>
  </si>
  <si>
    <t xml:space="preserve">  A</t>
  </si>
  <si>
    <t xml:space="preserve">  B</t>
  </si>
  <si>
    <t xml:space="preserve">  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</si>
  <si>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</si>
  <si>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</si>
  <si>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</si>
  <si>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</si>
  <si>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</si>
  <si>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</si>
  <si>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</si>
  <si>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</si>
  <si>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</si>
  <si>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</si>
  <si>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SUBTOTAL</t>
  </si>
  <si>
    <t>SP. ED.</t>
  </si>
  <si>
    <t>GROWTH K-12</t>
  </si>
  <si>
    <t>SYSTEM-WIDE PERCENTAGE OF SURVIVAL BY GRADE</t>
  </si>
  <si>
    <t xml:space="preserve">     END OF FIRST SCHOOL MONTH</t>
  </si>
  <si>
    <t>A</t>
  </si>
  <si>
    <t xml:space="preserve">   C</t>
  </si>
  <si>
    <t>N</t>
  </si>
  <si>
    <t>GRADE</t>
  </si>
  <si>
    <t>MOVEMENT</t>
  </si>
  <si>
    <t>AVERAGE</t>
  </si>
  <si>
    <t>BUILDING PERMITS TRANSLATED INTO ACTUAL GROWTH</t>
  </si>
  <si>
    <t>B</t>
  </si>
  <si>
    <t>C</t>
  </si>
  <si>
    <t xml:space="preserve"> G</t>
  </si>
  <si>
    <t xml:space="preserve">   SINGLE UNIT</t>
  </si>
  <si>
    <t xml:space="preserve">    MULT. UNIT</t>
  </si>
  <si>
    <t xml:space="preserve">    MOBILE UNIT</t>
  </si>
  <si>
    <t xml:space="preserve"> GROWTH</t>
  </si>
  <si>
    <t xml:space="preserve">           NUMBER NEW</t>
  </si>
  <si>
    <t xml:space="preserve"> YEAR</t>
  </si>
  <si>
    <t xml:space="preserve">     BUILDING</t>
  </si>
  <si>
    <t>BUILDING</t>
  </si>
  <si>
    <t xml:space="preserve">           PUPILS PER </t>
  </si>
  <si>
    <t xml:space="preserve">     PERMITS</t>
  </si>
  <si>
    <t>PERMITS</t>
  </si>
  <si>
    <t xml:space="preserve">           PERMIT - F/E</t>
  </si>
  <si>
    <t>MOST RECENT THREE YEAR TOTALS</t>
  </si>
  <si>
    <t>MOST RECENT FIVE YEAR TOTALS</t>
  </si>
  <si>
    <t>MOST RECENT TEN YEAR TOTALS</t>
  </si>
  <si>
    <t>THREE YEAR AVERAGE NUMBER NEW PUPILS PER BUILDING PERMIT =</t>
  </si>
  <si>
    <t>FIVE YEAR AVERAGE NUMBER NEW PUPILS PER BUILDING PERMIT =</t>
  </si>
  <si>
    <t>TEN YEAR AVERAGE NUMBER NEW PUPILS PER BUILDING PERMIT =</t>
  </si>
  <si>
    <t xml:space="preserve"> IS</t>
  </si>
  <si>
    <t>WAS</t>
  </si>
  <si>
    <t xml:space="preserve"> * SOURCE: OLDHAM COUNTY PLANNING AND ZONING</t>
  </si>
  <si>
    <t>PUBLIC SCHOOL POPULATION VS. GENERAL POPULATION</t>
  </si>
  <si>
    <t xml:space="preserve">   A</t>
  </si>
  <si>
    <t xml:space="preserve">   D</t>
  </si>
  <si>
    <t xml:space="preserve"> E</t>
  </si>
  <si>
    <t>CENSUS</t>
  </si>
  <si>
    <t xml:space="preserve">     GENERAL</t>
  </si>
  <si>
    <t xml:space="preserve">   PUBLIC SCHOOL</t>
  </si>
  <si>
    <t xml:space="preserve"> RATIO</t>
  </si>
  <si>
    <t xml:space="preserve">                PUBLIC SCHOOL ENROLLED</t>
  </si>
  <si>
    <t xml:space="preserve">    POPULATION  </t>
  </si>
  <si>
    <t xml:space="preserve">    ENROLLMENT</t>
  </si>
  <si>
    <t xml:space="preserve">  B/C</t>
  </si>
  <si>
    <t xml:space="preserve">                AS PERCENT OF GEN. POP.</t>
  </si>
  <si>
    <t>C/B</t>
  </si>
  <si>
    <t>AVERAGE SINCE 1970 =</t>
  </si>
  <si>
    <t>AVERAGE SINCE 1980 =</t>
  </si>
  <si>
    <t>SOURCE: GENERAL POPULATION - UNIVERSITY OF LOUISVILLE URBAN STUDIES CENTER</t>
  </si>
  <si>
    <t xml:space="preserve">  PUBLIC SCHOOL ENROLLMENT - OLDHAM COUNTY BOARD OF EDUCATION</t>
  </si>
  <si>
    <t xml:space="preserve">POPULATION AGE 5-19 IN </t>
  </si>
  <si>
    <t>=</t>
  </si>
  <si>
    <t xml:space="preserve">    A</t>
  </si>
  <si>
    <t xml:space="preserve"> YEAR OF</t>
  </si>
  <si>
    <t xml:space="preserve"> NUMBER</t>
  </si>
  <si>
    <t>YEAR OF</t>
  </si>
  <si>
    <t>PUBLIC</t>
  </si>
  <si>
    <t xml:space="preserve"> PERCENTAGE OF LIVE</t>
  </si>
  <si>
    <t xml:space="preserve">  BIRTH</t>
  </si>
  <si>
    <t xml:space="preserve">  LIVE</t>
  </si>
  <si>
    <t xml:space="preserve"> ENTRY</t>
  </si>
  <si>
    <t xml:space="preserve"> BIRTHS</t>
  </si>
  <si>
    <t>ENROLLED</t>
  </si>
  <si>
    <t xml:space="preserve"> D/B</t>
  </si>
  <si>
    <t>YEAR OF ENTRY THREE YEAR AVERAGE =</t>
  </si>
  <si>
    <t>YEAR OF ENTRY FIVE YEAR AVERAGE =</t>
  </si>
  <si>
    <t>YEAR OF ENTRY TEN YEAR AVERAGE =</t>
  </si>
  <si>
    <t>TEN YEAR ENROLLMENT PROJECTION BASED ON THE</t>
  </si>
  <si>
    <t xml:space="preserve">    THREE YEAR AVERAGE PERCENTAGE OF SURVIVAL</t>
  </si>
  <si>
    <t>PROJECTED SIZE OF PRIMARY KINDERGARTEN CLASSES</t>
  </si>
  <si>
    <t xml:space="preserve">     D</t>
  </si>
  <si>
    <t xml:space="preserve">      E</t>
  </si>
  <si>
    <t xml:space="preserve">   F</t>
  </si>
  <si>
    <t xml:space="preserve">     G</t>
  </si>
  <si>
    <t>NUMBER</t>
  </si>
  <si>
    <t>ESTIMATED</t>
  </si>
  <si>
    <t>LIVE BIRTHS</t>
  </si>
  <si>
    <t>3 YEAR AVE.</t>
  </si>
  <si>
    <t xml:space="preserve">  ENTRY</t>
  </si>
  <si>
    <t xml:space="preserve"> LIVE</t>
  </si>
  <si>
    <t xml:space="preserve"> GENERAL</t>
  </si>
  <si>
    <t>AS PERCENT</t>
  </si>
  <si>
    <t>% SURVIVAL</t>
  </si>
  <si>
    <t xml:space="preserve">  YEAR</t>
  </si>
  <si>
    <t xml:space="preserve"> P-K/G ENROLLMT</t>
  </si>
  <si>
    <t>BIRTHS</t>
  </si>
  <si>
    <t>POPULATION</t>
  </si>
  <si>
    <t>GEN. POP - B/C</t>
  </si>
  <si>
    <t xml:space="preserve">     B x E</t>
  </si>
  <si>
    <t>*</t>
  </si>
  <si>
    <t>ARE PROJECTED TO BE</t>
  </si>
  <si>
    <t>PROJECTED ENROLLMENT END OF FIRST MONTH</t>
  </si>
  <si>
    <t>2007-08</t>
  </si>
  <si>
    <t xml:space="preserve">   ACTUAL</t>
  </si>
  <si>
    <t>SURVIVAL</t>
  </si>
  <si>
    <t xml:space="preserve">  ENROLLED</t>
  </si>
  <si>
    <t xml:space="preserve"> (BASED ON</t>
  </si>
  <si>
    <t xml:space="preserve"> ANNUAL %)</t>
  </si>
  <si>
    <t xml:space="preserve"> PRJ. ENROLLMENT</t>
  </si>
  <si>
    <t xml:space="preserve"> ESTIMATED BLDG.</t>
  </si>
  <si>
    <t xml:space="preserve"> PERMITS</t>
  </si>
  <si>
    <t>10 Year Ave. #</t>
  </si>
  <si>
    <t xml:space="preserve"> NEW PUPILS</t>
  </si>
  <si>
    <t xml:space="preserve"> PER BLDG PMT</t>
  </si>
  <si>
    <t xml:space="preserve">     FOR EACH OLDHAM COUNTY SCHOOL BASED ON THE</t>
  </si>
  <si>
    <t xml:space="preserve">  MIDDLE SCH.</t>
  </si>
  <si>
    <t xml:space="preserve"> HIGH SCHOOL</t>
  </si>
  <si>
    <t xml:space="preserve">   TOTAL</t>
  </si>
  <si>
    <t xml:space="preserve"> % OCC.</t>
  </si>
  <si>
    <t xml:space="preserve">        COMPARED TO BUILDING CAPACITY</t>
  </si>
  <si>
    <t xml:space="preserve">     B</t>
  </si>
  <si>
    <t xml:space="preserve">  D</t>
  </si>
  <si>
    <t xml:space="preserve">  E</t>
  </si>
  <si>
    <t xml:space="preserve">  F</t>
  </si>
  <si>
    <t xml:space="preserve">  G</t>
  </si>
  <si>
    <t xml:space="preserve">  H</t>
  </si>
  <si>
    <t xml:space="preserve">  I</t>
  </si>
  <si>
    <t xml:space="preserve">  J</t>
  </si>
  <si>
    <t xml:space="preserve">  K</t>
  </si>
  <si>
    <t xml:space="preserve">  L</t>
  </si>
  <si>
    <t xml:space="preserve"> ACTUAL</t>
  </si>
  <si>
    <t xml:space="preserve"> COMB. ELEM BLDG.</t>
  </si>
  <si>
    <t xml:space="preserve"> # Schools</t>
  </si>
  <si>
    <t>AVE ENROLLED PER SCHOOL</t>
  </si>
  <si>
    <t xml:space="preserve"> 6-8 </t>
  </si>
  <si>
    <t xml:space="preserve"> COMB. M/S BLDG.</t>
  </si>
  <si>
    <t xml:space="preserve"> 9-12</t>
  </si>
  <si>
    <t xml:space="preserve"> COMB. H/S BLDG.</t>
  </si>
  <si>
    <t xml:space="preserve"> # Schools </t>
  </si>
  <si>
    <t xml:space="preserve"> K-12</t>
  </si>
  <si>
    <t xml:space="preserve"> COMB. ALL BLDG.</t>
  </si>
  <si>
    <t xml:space="preserve">    FIVE YEAR AVERAGE PERCENTAGE OF SURVIVAL</t>
  </si>
  <si>
    <t>5 YEAR AVE.</t>
  </si>
  <si>
    <t xml:space="preserve">    TEN YEAR AVERAGE PERCENTAGE OF SURVIVAL</t>
  </si>
  <si>
    <t xml:space="preserve">        CE</t>
  </si>
  <si>
    <t xml:space="preserve">        CR</t>
  </si>
  <si>
    <t>CENTERFIELD</t>
  </si>
  <si>
    <t>GOSHEN</t>
  </si>
  <si>
    <t>ANALYSIS OF FIFTH TO SIXTH GRADE PERCENT OF SURVIVAL</t>
  </si>
  <si>
    <t>ANALYSIS OF SIXTH TO SEVENTH GRADE PERCENT OF SURVIVAL</t>
  </si>
  <si>
    <t>ANALYSIS OF SEVENTH TO EIGHTH GRADE PERCENT OF SURVIVAL</t>
  </si>
  <si>
    <t>ANALYSIS OF FOURTH TO FIFTH GRADE PERCENT OF SURVIVAL</t>
  </si>
  <si>
    <t>ANALYSIS OF EIGHTH TO NINTH GRADE PERCENT OF SURVIVAL</t>
  </si>
  <si>
    <t>ANALYSIS OF NINTH TO TENTH GRADE PERCENT OF SURVIVAL</t>
  </si>
  <si>
    <t>ANALYSIS OF TENTH TO ELEVENTH GRADE PERCENT OF SURVIVAL</t>
  </si>
  <si>
    <t>ANALYSIS OF ELEVENTH TO TWELFTH GRADE PERCENT OF SURVIVAL</t>
  </si>
  <si>
    <t xml:space="preserve">     C</t>
  </si>
  <si>
    <t xml:space="preserve">        C</t>
  </si>
  <si>
    <t xml:space="preserve">            D</t>
  </si>
  <si>
    <t xml:space="preserve">          E</t>
  </si>
  <si>
    <t xml:space="preserve">     F</t>
  </si>
  <si>
    <t xml:space="preserve">         G</t>
  </si>
  <si>
    <t>2008-09</t>
  </si>
  <si>
    <t>BU</t>
  </si>
  <si>
    <t>PROJECTED P-1 (KINDERGARTEN) ENROLLMENT BY SCHOOL THREE YEAR % SURVIVAL</t>
  </si>
  <si>
    <t>P-4</t>
  </si>
  <si>
    <t xml:space="preserve"> P-1</t>
  </si>
  <si>
    <t xml:space="preserve"> P-2</t>
  </si>
  <si>
    <t xml:space="preserve"> P-3</t>
  </si>
  <si>
    <t xml:space="preserve"> P-4</t>
  </si>
  <si>
    <t>10TH</t>
  </si>
  <si>
    <t>11TH</t>
  </si>
  <si>
    <t>12TH</t>
  </si>
  <si>
    <t>P-1 to P-2</t>
  </si>
  <si>
    <t>P-2 to P-3</t>
  </si>
  <si>
    <t>P-3 to P-4</t>
  </si>
  <si>
    <t>P-4 to P-5</t>
  </si>
  <si>
    <t>4 to 5</t>
  </si>
  <si>
    <t>5 to 6</t>
  </si>
  <si>
    <t>6 to 7</t>
  </si>
  <si>
    <t>7 to 8</t>
  </si>
  <si>
    <t>8 to 9</t>
  </si>
  <si>
    <t>9 to 10</t>
  </si>
  <si>
    <t>10 to 11</t>
  </si>
  <si>
    <t>11 to 12</t>
  </si>
  <si>
    <t>P-4 TO 4TH GRADE SURVIVAL</t>
  </si>
  <si>
    <t>P-12</t>
  </si>
  <si>
    <t>through</t>
  </si>
  <si>
    <t xml:space="preserve">     GRADES P-12</t>
  </si>
  <si>
    <t>PROJECTED SIZE OF P-1 CLASSES</t>
  </si>
  <si>
    <t>LIVE</t>
  </si>
  <si>
    <t xml:space="preserve">   *   Number of Live Births, General Population, and Live Births as Percent of General Population for these years are estimates or projections.</t>
  </si>
  <si>
    <t>OF THE ESTIMATED GENERAL POPULATION.</t>
  </si>
  <si>
    <t xml:space="preserve"> COMB. ELEM BLDG. CAP.</t>
  </si>
  <si>
    <t xml:space="preserve"> COMB. M/S BLDG. CAP.</t>
  </si>
  <si>
    <t xml:space="preserve"> COMB. H/S BLDG. CAP.</t>
  </si>
  <si>
    <t xml:space="preserve"> P-5</t>
  </si>
  <si>
    <t xml:space="preserve">  MIDDLE SCHOOL </t>
  </si>
  <si>
    <t xml:space="preserve"> P-12</t>
  </si>
  <si>
    <t xml:space="preserve">       C</t>
  </si>
  <si>
    <t xml:space="preserve"> 10 YEAR AVE.</t>
  </si>
  <si>
    <t xml:space="preserve"> % SURVIVAL</t>
  </si>
  <si>
    <t xml:space="preserve"> LIVE BIRTHS</t>
  </si>
  <si>
    <t xml:space="preserve">         E</t>
  </si>
  <si>
    <t>ENTRY</t>
  </si>
  <si>
    <t xml:space="preserve">        B</t>
  </si>
  <si>
    <t xml:space="preserve">           B</t>
  </si>
  <si>
    <t xml:space="preserve">       BU</t>
  </si>
  <si>
    <t xml:space="preserve">       CA</t>
  </si>
  <si>
    <t xml:space="preserve">  </t>
  </si>
  <si>
    <t>O</t>
  </si>
  <si>
    <t>2009-10</t>
  </si>
  <si>
    <t>PROJECTED ADA END OF FIRST MONTH -  @ 96%</t>
  </si>
  <si>
    <t xml:space="preserve">PROJECTED ENROLLMENT END OF FIRST MONTH - </t>
  </si>
  <si>
    <t>2010-11</t>
  </si>
  <si>
    <t>2011-12</t>
  </si>
  <si>
    <t xml:space="preserve">THIS IS EQUAL TO THE AVERAGE PERCENT OF THE GENERAL POPULATION FOR LIVE BIRTHS FROM </t>
  </si>
  <si>
    <t>BAHS</t>
  </si>
  <si>
    <t>2012-13</t>
  </si>
  <si>
    <t>ACTUAL</t>
  </si>
  <si>
    <t>NOHS</t>
  </si>
  <si>
    <t>9th</t>
  </si>
  <si>
    <t>8th</t>
  </si>
  <si>
    <t>7th</t>
  </si>
  <si>
    <t>6th</t>
  </si>
  <si>
    <t>5th</t>
  </si>
  <si>
    <t>2013-14</t>
  </si>
  <si>
    <t>LIVE BIRTHS FOR</t>
  </si>
  <si>
    <t>PUBLIC K/G ENROLLMENT - OLDHAM COUNTY BOARD OF EDUCATION</t>
  </si>
  <si>
    <t>SOURCE: LIVE BIRTHS - BUREAU OF VITAL STATISTICS, COMMONWEALTH OF KENTUCKY</t>
  </si>
  <si>
    <t>KW</t>
  </si>
  <si>
    <t>CA</t>
  </si>
  <si>
    <t>CE</t>
  </si>
  <si>
    <t>CR</t>
  </si>
  <si>
    <t>GO</t>
  </si>
  <si>
    <t>LA</t>
  </si>
  <si>
    <t>LI</t>
  </si>
  <si>
    <t>EOMS</t>
  </si>
  <si>
    <t xml:space="preserve">HIGH SCHOOL </t>
  </si>
  <si>
    <t>KENWOOD</t>
  </si>
  <si>
    <t>2014-15</t>
  </si>
  <si>
    <t>PRO-</t>
  </si>
  <si>
    <t>JECTED</t>
  </si>
  <si>
    <t>P-3 TO P-4 GRADE SURVIVAL</t>
  </si>
  <si>
    <t>HA</t>
  </si>
  <si>
    <t>HARMONY</t>
  </si>
  <si>
    <t>KENWOOD STATION</t>
  </si>
  <si>
    <t>2015-16</t>
  </si>
  <si>
    <t>FISCAL</t>
  </si>
  <si>
    <t>(JULY TO JUNE)</t>
  </si>
  <si>
    <t>2016-17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</si>
  <si>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</si>
  <si>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</si>
  <si>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</si>
  <si>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</si>
  <si>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</si>
  <si>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</si>
  <si>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</si>
  <si>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</si>
  <si>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</si>
  <si>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SP ED</t>
  </si>
  <si>
    <t>1 to 2</t>
  </si>
  <si>
    <t>2 to 3</t>
  </si>
  <si>
    <t>3 to 4</t>
  </si>
  <si>
    <t xml:space="preserve">  K --&gt; 12</t>
  </si>
  <si>
    <t>K/G</t>
  </si>
  <si>
    <t>PERCENT KINDERGARTEN ENROLLMENT BY SCHOOL</t>
  </si>
  <si>
    <t xml:space="preserve"> ANALYSIS OFKINDERGARTEN TO FIRST GRADE PERCENT OF SURVIVAL</t>
  </si>
  <si>
    <t xml:space="preserve"> ANALYSIS OF FIRST TO SECOND GRADE PERCENT OF SURVIVAL</t>
  </si>
  <si>
    <t>ANALYSIS OF SECOND TO THIRD GRADE PERCENT OF SURVIVAL</t>
  </si>
  <si>
    <t>ANALYSIS OF THIRD TO FOURTH GRADE PERCENT OF SURVIVAL</t>
  </si>
  <si>
    <t>1ST</t>
  </si>
  <si>
    <t>2ND</t>
  </si>
  <si>
    <t>3RD</t>
  </si>
  <si>
    <t>K/G to 1</t>
  </si>
  <si>
    <t>K/G ENROLLMENT</t>
  </si>
  <si>
    <t>K-5</t>
  </si>
  <si>
    <t xml:space="preserve"> BIRTHS ENTERING K/G</t>
  </si>
  <si>
    <t>2017-18</t>
  </si>
  <si>
    <t xml:space="preserve">SOURCE: LIVE BIRTHS - BUREAU OF VITAL STATISTICS, COMMONWEALTH OF KENTUCKY. </t>
  </si>
  <si>
    <t>LO</t>
  </si>
  <si>
    <t>LOCUST GROVE</t>
  </si>
  <si>
    <t>**368**</t>
  </si>
  <si>
    <t>2018-19</t>
  </si>
  <si>
    <t>PRJ. ENROLLMENT - 3 YEAR (SL)</t>
  </si>
  <si>
    <t>2019-20</t>
  </si>
  <si>
    <t>3 YR AV.</t>
  </si>
  <si>
    <t>5 YR AV.</t>
  </si>
  <si>
    <t>10 YR AV.</t>
  </si>
  <si>
    <t>3 YEAR SS</t>
  </si>
  <si>
    <t>2022-23</t>
  </si>
  <si>
    <t xml:space="preserve">               CRESTWOOD, KENTUCKY</t>
  </si>
  <si>
    <t xml:space="preserve"> POP @ `10 RATIO</t>
  </si>
  <si>
    <t xml:space="preserve"> % PUB. SCH. K-12 OF KSDC Pop. Proj PROJ 5-19</t>
  </si>
  <si>
    <t>KSDC Pop Proj 5-19</t>
  </si>
  <si>
    <t>2023-24</t>
  </si>
  <si>
    <t>2024-25</t>
  </si>
  <si>
    <t>2025-26</t>
  </si>
  <si>
    <t>THE ACTUAL NUMBER ISSUED FOR THE PERIOD JULY - SEPTEMBER</t>
  </si>
  <si>
    <t xml:space="preserve">THE TOTAL PERMITS PROJECTED FOR </t>
  </si>
  <si>
    <t>2026-27</t>
  </si>
  <si>
    <t>DIVIDED BY 2010 AGE 5-19 POPULATION OF</t>
  </si>
  <si>
    <t>PERCENTAGE OF LIVE BIRTHS ACTUALLY ENTERING PRIMARY KINDERGARTEN</t>
  </si>
  <si>
    <t xml:space="preserve">GENERAL POPULATION-"How Many Kentuckians: </t>
  </si>
  <si>
    <t>Population Forecasts 2015-2050"--2011Edition; Kentucky State Data Ctr</t>
  </si>
  <si>
    <t>2027-28</t>
  </si>
  <si>
    <t>15/16 to</t>
  </si>
  <si>
    <t>GENERAL POPULATION-"How Many Kentuckians:</t>
  </si>
  <si>
    <t xml:space="preserve"> Population Forecasts 2015-2050"--2011Edition; Kentucky State Data Ctr</t>
  </si>
  <si>
    <t>2028-29</t>
  </si>
  <si>
    <t>AVERAGE SINCE 1990 =</t>
  </si>
  <si>
    <t>2029-30</t>
  </si>
  <si>
    <t>2030-31</t>
  </si>
  <si>
    <t>18/19 to</t>
  </si>
  <si>
    <t>20/21</t>
  </si>
  <si>
    <t xml:space="preserve">11/12 to </t>
  </si>
  <si>
    <t>2020-21</t>
  </si>
  <si>
    <t>2031-32</t>
  </si>
  <si>
    <t xml:space="preserve">                              CRESTWOOD,  KENTUCKY</t>
  </si>
  <si>
    <t>2021-22</t>
  </si>
  <si>
    <t>2019/2020 P-12 PUBLIC SCHOOL ENROLLMENT OF</t>
  </si>
  <si>
    <t>AVERAGE SINCE 2000 =</t>
  </si>
  <si>
    <t xml:space="preserve">AVERAGE SINCE 2010 = </t>
  </si>
  <si>
    <t>2032-33</t>
  </si>
  <si>
    <t>2020-2021</t>
  </si>
  <si>
    <t>2021-2022</t>
  </si>
  <si>
    <t>2022-2023</t>
  </si>
  <si>
    <t>2019-2020</t>
  </si>
  <si>
    <t>2033-34</t>
  </si>
  <si>
    <t>2034-35</t>
  </si>
  <si>
    <t>2035-36</t>
  </si>
  <si>
    <t>2025-26 Current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</si>
</sst>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dd\-mmm\-yy_)"/>
    <numFmt numFmtId="165" formatCode="0.0%"/>
    <numFmt numFmtId="166" formatCode="General_)"/>
    <numFmt numFmtId="167" formatCode="mm/dd/yy_)"/>
    <numFmt numFmtId="168" formatCode="0.0_)"/>
    <numFmt numFmtId="169" formatCode="#,##0.0_);\(#,##0.0\)"/>
    <numFmt numFmtId="170" formatCode="#,##0.000_);\(#,##0.000\)"/>
    <numFmt numFmtId="171" formatCode="0.000%"/>
    <numFmt numFmtId="172" formatCode="0.000"/>
    <numFmt numFmtId="173" formatCode="0_);\(0\)"/>
    <numFmt numFmtId="174" formatCode="_(* #,##0.000_);_(* \(#,##0.000\);_(* &quot;-&quot;??_);_(@_)"/>
  </numFmts>
  <fonts count="32">
    <font>
      <sz val="10"/>
      <name val="Arial MT"/>
    </font>
    <font>
      <sz val="10"/>
      <name val="Arial"/>
      <family val="2"/>
    </font>
    <font>
      <sz val="8"/>
      <name val="TimesNewRomanPS"/>
    </font>
    <font>
      <b/>
      <sz val="12"/>
      <name val="TimesNewRomanPS"/>
    </font>
    <font>
      <b/>
      <sz val="14"/>
      <name val="Arial MT"/>
    </font>
    <font>
      <b/>
      <sz val="9"/>
      <name val="Arial MT"/>
    </font>
    <font>
      <b/>
      <sz val="6"/>
      <name val="TimesNewRomanPS"/>
    </font>
    <font>
      <b/>
      <sz val="10"/>
      <name val="Arial MT"/>
    </font>
    <font>
      <b/>
      <sz val="8"/>
      <name val="TimesNewRomanPS"/>
    </font>
    <font>
      <b/>
      <sz val="10"/>
      <name val="TimesNewRomanPS"/>
    </font>
    <font>
      <sz val="12"/>
      <name val="TimesNewRomanPS"/>
    </font>
    <font>
      <b/>
      <sz val="14"/>
      <name val="TimesNewRomanPS"/>
    </font>
    <font>
      <sz val="14"/>
      <name val="Arial MT"/>
    </font>
    <font>
      <b/>
      <sz val="14"/>
      <name val="Arial MT"/>
      <family val="2"/>
    </font>
    <font>
      <sz val="9"/>
      <color indexed="9"/>
      <name val="Arial MT"/>
    </font>
    <font>
      <sz val="8"/>
      <color indexed="81"/>
      <name val="Tahoma"/>
      <family val="2"/>
    </font>
    <font>
      <sz val="12"/>
      <name val="Times New Roman"/>
      <family val="1"/>
    </font>
    <font>
      <sz val="10"/>
      <name val="TimesNewRomanPS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0"/>
      <name val="Arial MT"/>
    </font>
    <font>
      <sz val="12"/>
      <name val="Arial"/>
      <family val="2"/>
    </font>
    <font>
      <sz val="12"/>
      <name val="Arial MT"/>
    </font>
    <font>
      <b/>
      <sz val="12"/>
      <name val="Arial MT"/>
    </font>
    <font>
      <sz val="18"/>
      <name val="Arial MT"/>
    </font>
    <font>
      <b/>
      <sz val="9"/>
      <name val="TimesNewRomanPS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indexed="20"/>
        <bgColor indexed="2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double">
        <color indexed="8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64"/>
      </right>
      <top/>
      <bottom style="double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double">
        <color indexed="8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</borders>
  <cellStyleXfs count="3">
    <xf numFmtId="0" fontId="0" fillId="0" borderId="0" applyFill="0" applyBorder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3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/>
    <xf numFmtId="37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/>
    <xf numFmtId="165" fontId="0" fillId="0" borderId="0" xfId="0" applyNumberFormat="1"/>
    <xf numFmtId="0" fontId="7" fillId="0" borderId="1" xfId="0" applyFont="1" applyBorder="1"/>
    <xf numFmtId="0" fontId="7" fillId="0" borderId="2" xfId="0" applyFont="1" applyBorder="1" applyAlignment="1">
      <alignment horizontal="left"/>
    </xf>
    <xf numFmtId="0" fontId="7" fillId="0" borderId="3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164" fontId="0" fillId="0" borderId="0" xfId="0" applyNumberFormat="1"/>
    <xf numFmtId="0" fontId="11" fillId="0" borderId="0" xfId="0" applyFont="1"/>
    <xf numFmtId="0" fontId="11" fillId="0" borderId="0" xfId="0" applyFont="1" applyAlignment="1">
      <alignment horizontal="left"/>
    </xf>
    <xf numFmtId="0" fontId="4" fillId="0" borderId="0" xfId="0" applyFont="1"/>
    <xf numFmtId="0" fontId="7" fillId="0" borderId="4" xfId="0" applyFont="1" applyBorder="1" applyAlignment="1">
      <alignment horizontal="left"/>
    </xf>
    <xf numFmtId="0" fontId="7" fillId="0" borderId="4" xfId="0" applyFont="1" applyBorder="1"/>
    <xf numFmtId="0" fontId="7" fillId="0" borderId="0" xfId="0" applyFont="1" applyAlignment="1">
      <alignment horizontal="center"/>
    </xf>
    <xf numFmtId="0" fontId="7" fillId="0" borderId="5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6" xfId="0" applyFont="1" applyBorder="1"/>
    <xf numFmtId="170" fontId="7" fillId="0" borderId="4" xfId="0" applyNumberFormat="1" applyFont="1" applyBorder="1" applyAlignment="1">
      <alignment horizontal="left"/>
    </xf>
    <xf numFmtId="170" fontId="0" fillId="0" borderId="0" xfId="0" applyNumberFormat="1"/>
    <xf numFmtId="0" fontId="0" fillId="0" borderId="7" xfId="0" applyBorder="1"/>
    <xf numFmtId="0" fontId="4" fillId="0" borderId="0" xfId="0" applyFont="1" applyAlignment="1">
      <alignment horizontal="center"/>
    </xf>
    <xf numFmtId="0" fontId="12" fillId="0" borderId="0" xfId="0" applyFont="1"/>
    <xf numFmtId="0" fontId="0" fillId="0" borderId="0" xfId="0" applyFill="1" applyBorder="1"/>
    <xf numFmtId="0" fontId="0" fillId="0" borderId="0" xfId="0" quotePrefix="1"/>
    <xf numFmtId="0" fontId="0" fillId="0" borderId="8" xfId="0" applyFill="1" applyBorder="1"/>
    <xf numFmtId="0" fontId="0" fillId="0" borderId="9" xfId="0" applyFill="1" applyBorder="1"/>
    <xf numFmtId="3" fontId="0" fillId="0" borderId="0" xfId="0" applyNumberFormat="1" applyFill="1" applyBorder="1"/>
    <xf numFmtId="165" fontId="0" fillId="0" borderId="0" xfId="0" applyNumberFormat="1" applyFill="1" applyBorder="1"/>
    <xf numFmtId="0" fontId="0" fillId="0" borderId="0" xfId="0" applyBorder="1"/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37" fontId="0" fillId="0" borderId="0" xfId="0" applyNumberFormat="1" applyAlignment="1">
      <alignment horizontal="centerContinuous"/>
    </xf>
    <xf numFmtId="0" fontId="7" fillId="0" borderId="0" xfId="0" applyFont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10" fontId="0" fillId="0" borderId="0" xfId="0" applyNumberFormat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0" xfId="0" applyAlignment="1">
      <alignment horizontal="right"/>
    </xf>
    <xf numFmtId="0" fontId="0" fillId="0" borderId="12" xfId="0" applyBorder="1"/>
    <xf numFmtId="0" fontId="7" fillId="0" borderId="0" xfId="0" applyFont="1" applyBorder="1" applyAlignment="1">
      <alignment horizontal="centerContinuous"/>
    </xf>
    <xf numFmtId="0" fontId="7" fillId="0" borderId="2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37" fontId="0" fillId="0" borderId="0" xfId="0" applyNumberFormat="1" applyAlignment="1">
      <alignment horizontal="left"/>
    </xf>
    <xf numFmtId="0" fontId="0" fillId="0" borderId="13" xfId="0" applyBorder="1" applyAlignment="1">
      <alignment horizontal="centerContinuous"/>
    </xf>
    <xf numFmtId="0" fontId="0" fillId="0" borderId="14" xfId="0" applyBorder="1" applyAlignment="1">
      <alignment horizontal="centerContinuous"/>
    </xf>
    <xf numFmtId="170" fontId="7" fillId="0" borderId="4" xfId="0" applyNumberFormat="1" applyFont="1" applyBorder="1" applyAlignment="1">
      <alignment horizontal="centerContinuous"/>
    </xf>
    <xf numFmtId="0" fontId="0" fillId="0" borderId="15" xfId="0" applyBorder="1" applyAlignment="1">
      <alignment horizontal="centerContinuous"/>
    </xf>
    <xf numFmtId="37" fontId="7" fillId="0" borderId="0" xfId="0" applyNumberFormat="1" applyFont="1" applyBorder="1"/>
    <xf numFmtId="170" fontId="0" fillId="0" borderId="0" xfId="0" applyNumberFormat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left"/>
    </xf>
    <xf numFmtId="164" fontId="2" fillId="0" borderId="0" xfId="0" applyNumberFormat="1" applyFont="1" applyFill="1"/>
    <xf numFmtId="0" fontId="2" fillId="0" borderId="0" xfId="0" applyFont="1" applyFill="1"/>
    <xf numFmtId="0" fontId="3" fillId="0" borderId="0" xfId="0" applyFont="1" applyFill="1"/>
    <xf numFmtId="0" fontId="13" fillId="0" borderId="0" xfId="0" applyFont="1" applyFill="1" applyBorder="1"/>
    <xf numFmtId="0" fontId="4" fillId="0" borderId="0" xfId="0" applyFont="1" applyFill="1"/>
    <xf numFmtId="0" fontId="5" fillId="0" borderId="1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6" fillId="0" borderId="0" xfId="0" applyFont="1" applyFill="1"/>
    <xf numFmtId="0" fontId="0" fillId="0" borderId="1" xfId="0" applyFill="1" applyBorder="1" applyAlignment="1">
      <alignment horizontal="right"/>
    </xf>
    <xf numFmtId="0" fontId="0" fillId="0" borderId="3" xfId="0" applyFill="1" applyBorder="1" applyAlignment="1">
      <alignment horizontal="center"/>
    </xf>
    <xf numFmtId="0" fontId="5" fillId="0" borderId="11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Continuous"/>
    </xf>
    <xf numFmtId="0" fontId="5" fillId="0" borderId="4" xfId="0" applyFont="1" applyFill="1" applyBorder="1"/>
    <xf numFmtId="0" fontId="5" fillId="0" borderId="5" xfId="0" applyFont="1" applyFill="1" applyBorder="1"/>
    <xf numFmtId="0" fontId="0" fillId="0" borderId="10" xfId="0" applyFill="1" applyBorder="1"/>
    <xf numFmtId="0" fontId="0" fillId="0" borderId="6" xfId="0" applyFill="1" applyBorder="1" applyAlignment="1">
      <alignment horizontal="right"/>
    </xf>
    <xf numFmtId="0" fontId="0" fillId="0" borderId="16" xfId="0" applyFill="1" applyBorder="1"/>
    <xf numFmtId="0" fontId="0" fillId="0" borderId="17" xfId="0" applyFill="1" applyBorder="1"/>
    <xf numFmtId="0" fontId="0" fillId="0" borderId="0" xfId="0" applyFill="1" applyAlignment="1">
      <alignment horizontal="center"/>
    </xf>
    <xf numFmtId="165" fontId="2" fillId="0" borderId="6" xfId="0" applyNumberFormat="1" applyFont="1" applyFill="1" applyBorder="1"/>
    <xf numFmtId="37" fontId="0" fillId="0" borderId="10" xfId="0" applyNumberFormat="1" applyFill="1" applyBorder="1"/>
    <xf numFmtId="0" fontId="7" fillId="0" borderId="1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3" xfId="0" applyFont="1" applyFill="1" applyBorder="1"/>
    <xf numFmtId="0" fontId="7" fillId="0" borderId="0" xfId="0" applyFont="1" applyFill="1"/>
    <xf numFmtId="0" fontId="7" fillId="0" borderId="11" xfId="0" applyFont="1" applyFill="1" applyBorder="1"/>
    <xf numFmtId="37" fontId="7" fillId="0" borderId="4" xfId="0" applyNumberFormat="1" applyFont="1" applyFill="1" applyBorder="1"/>
    <xf numFmtId="37" fontId="7" fillId="0" borderId="5" xfId="0" applyNumberFormat="1" applyFont="1" applyFill="1" applyBorder="1"/>
    <xf numFmtId="37" fontId="0" fillId="0" borderId="11" xfId="0" applyNumberFormat="1" applyFill="1" applyBorder="1"/>
    <xf numFmtId="37" fontId="0" fillId="0" borderId="0" xfId="0" applyNumberFormat="1" applyFill="1"/>
    <xf numFmtId="37" fontId="2" fillId="0" borderId="18" xfId="0" applyNumberFormat="1" applyFont="1" applyFill="1" applyBorder="1"/>
    <xf numFmtId="37" fontId="2" fillId="0" borderId="19" xfId="0" applyNumberFormat="1" applyFont="1" applyFill="1" applyBorder="1"/>
    <xf numFmtId="10" fontId="0" fillId="0" borderId="20" xfId="0" applyNumberFormat="1" applyFill="1" applyBorder="1"/>
    <xf numFmtId="0" fontId="2" fillId="0" borderId="21" xfId="0" applyFont="1" applyFill="1" applyBorder="1"/>
    <xf numFmtId="10" fontId="0" fillId="0" borderId="22" xfId="0" applyNumberFormat="1" applyFill="1" applyBorder="1"/>
    <xf numFmtId="0" fontId="0" fillId="0" borderId="22" xfId="0" applyFill="1" applyBorder="1"/>
    <xf numFmtId="10" fontId="0" fillId="0" borderId="23" xfId="0" applyNumberFormat="1" applyFill="1" applyBorder="1"/>
    <xf numFmtId="0" fontId="2" fillId="0" borderId="19" xfId="0" applyFont="1" applyFill="1" applyBorder="1"/>
    <xf numFmtId="10" fontId="0" fillId="0" borderId="4" xfId="0" applyNumberFormat="1" applyFill="1" applyBorder="1"/>
    <xf numFmtId="10" fontId="0" fillId="0" borderId="4" xfId="2" applyNumberFormat="1" applyFont="1" applyFill="1" applyBorder="1" applyAlignment="1"/>
    <xf numFmtId="10" fontId="0" fillId="0" borderId="5" xfId="0" applyNumberFormat="1" applyFill="1" applyBorder="1"/>
    <xf numFmtId="0" fontId="2" fillId="0" borderId="24" xfId="0" applyFont="1" applyFill="1" applyBorder="1"/>
    <xf numFmtId="10" fontId="0" fillId="0" borderId="19" xfId="0" applyNumberFormat="1" applyFill="1" applyBorder="1"/>
    <xf numFmtId="0" fontId="0" fillId="0" borderId="25" xfId="0" applyFill="1" applyBorder="1"/>
    <xf numFmtId="0" fontId="0" fillId="0" borderId="22" xfId="0" applyFill="1" applyBorder="1" applyAlignment="1">
      <alignment horizontal="right"/>
    </xf>
    <xf numFmtId="0" fontId="0" fillId="0" borderId="26" xfId="0" applyFill="1" applyBorder="1" applyAlignment="1">
      <alignment horizontal="right"/>
    </xf>
    <xf numFmtId="0" fontId="0" fillId="0" borderId="23" xfId="0" applyFill="1" applyBorder="1" applyAlignment="1">
      <alignment horizontal="right"/>
    </xf>
    <xf numFmtId="0" fontId="0" fillId="0" borderId="27" xfId="0" applyFill="1" applyBorder="1" applyAlignment="1">
      <alignment horizontal="right"/>
    </xf>
    <xf numFmtId="0" fontId="0" fillId="0" borderId="10" xfId="0" applyFill="1" applyBorder="1" applyAlignment="1">
      <alignment horizontal="left"/>
    </xf>
    <xf numFmtId="37" fontId="0" fillId="0" borderId="0" xfId="0" applyNumberFormat="1" applyFill="1" applyBorder="1"/>
    <xf numFmtId="37" fontId="0" fillId="0" borderId="6" xfId="0" applyNumberFormat="1" applyFill="1" applyBorder="1"/>
    <xf numFmtId="0" fontId="0" fillId="0" borderId="28" xfId="0" applyFill="1" applyBorder="1"/>
    <xf numFmtId="37" fontId="0" fillId="0" borderId="28" xfId="0" applyNumberFormat="1" applyFill="1" applyBorder="1"/>
    <xf numFmtId="37" fontId="0" fillId="0" borderId="17" xfId="0" applyNumberFormat="1" applyFill="1" applyBorder="1"/>
    <xf numFmtId="0" fontId="7" fillId="0" borderId="4" xfId="0" applyFont="1" applyFill="1" applyBorder="1"/>
    <xf numFmtId="37" fontId="7" fillId="0" borderId="10" xfId="0" applyNumberFormat="1" applyFont="1" applyFill="1" applyBorder="1"/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65" fontId="2" fillId="0" borderId="0" xfId="0" applyNumberFormat="1" applyFont="1" applyFill="1"/>
    <xf numFmtId="0" fontId="7" fillId="0" borderId="11" xfId="0" applyFont="1" applyFill="1" applyBorder="1" applyAlignment="1">
      <alignment horizontal="left"/>
    </xf>
    <xf numFmtId="37" fontId="7" fillId="0" borderId="0" xfId="0" applyNumberFormat="1" applyFont="1" applyFill="1"/>
    <xf numFmtId="10" fontId="0" fillId="0" borderId="0" xfId="0" applyNumberFormat="1" applyFill="1"/>
    <xf numFmtId="10" fontId="7" fillId="0" borderId="0" xfId="0" applyNumberFormat="1" applyFont="1" applyFill="1"/>
    <xf numFmtId="165" fontId="0" fillId="0" borderId="0" xfId="0" applyNumberFormat="1" applyFill="1"/>
    <xf numFmtId="166" fontId="0" fillId="0" borderId="0" xfId="0" applyNumberFormat="1" applyFill="1"/>
    <xf numFmtId="0" fontId="4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8" fillId="0" borderId="29" xfId="0" applyFont="1" applyFill="1" applyBorder="1" applyAlignment="1">
      <alignment horizontal="center"/>
    </xf>
    <xf numFmtId="0" fontId="0" fillId="0" borderId="6" xfId="0" applyFill="1" applyBorder="1"/>
    <xf numFmtId="10" fontId="0" fillId="0" borderId="0" xfId="0" applyNumberFormat="1" applyFill="1" applyBorder="1"/>
    <xf numFmtId="10" fontId="0" fillId="0" borderId="14" xfId="0" applyNumberFormat="1" applyFill="1" applyBorder="1"/>
    <xf numFmtId="0" fontId="0" fillId="0" borderId="12" xfId="0" applyFill="1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3" fillId="0" borderId="2" xfId="0" applyFont="1" applyFill="1" applyBorder="1" applyAlignment="1">
      <alignment horizontal="left"/>
    </xf>
    <xf numFmtId="9" fontId="0" fillId="0" borderId="0" xfId="0" applyNumberFormat="1" applyFill="1"/>
    <xf numFmtId="9" fontId="0" fillId="0" borderId="30" xfId="0" applyNumberFormat="1" applyFill="1" applyBorder="1"/>
    <xf numFmtId="9" fontId="0" fillId="0" borderId="14" xfId="0" applyNumberFormat="1" applyFill="1" applyBorder="1"/>
    <xf numFmtId="9" fontId="0" fillId="0" borderId="0" xfId="0" applyNumberFormat="1" applyFill="1" applyBorder="1"/>
    <xf numFmtId="9" fontId="0" fillId="0" borderId="6" xfId="0" applyNumberFormat="1" applyFill="1" applyBorder="1"/>
    <xf numFmtId="9" fontId="0" fillId="0" borderId="12" xfId="0" applyNumberFormat="1" applyFill="1" applyBorder="1"/>
    <xf numFmtId="9" fontId="0" fillId="0" borderId="17" xfId="0" applyNumberFormat="1" applyFill="1" applyBorder="1"/>
    <xf numFmtId="0" fontId="0" fillId="0" borderId="1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9" fontId="0" fillId="0" borderId="4" xfId="0" applyNumberFormat="1" applyFill="1" applyBorder="1"/>
    <xf numFmtId="0" fontId="0" fillId="0" borderId="4" xfId="0" applyFill="1" applyBorder="1" applyAlignment="1">
      <alignment horizontal="left"/>
    </xf>
    <xf numFmtId="0" fontId="0" fillId="0" borderId="4" xfId="0" applyFill="1" applyBorder="1"/>
    <xf numFmtId="9" fontId="0" fillId="0" borderId="5" xfId="0" applyNumberFormat="1" applyFill="1" applyBorder="1"/>
    <xf numFmtId="0" fontId="3" fillId="0" borderId="2" xfId="0" applyFont="1" applyFill="1" applyBorder="1"/>
    <xf numFmtId="0" fontId="0" fillId="0" borderId="31" xfId="0" applyFill="1" applyBorder="1"/>
    <xf numFmtId="0" fontId="0" fillId="0" borderId="32" xfId="0" applyFill="1" applyBorder="1"/>
    <xf numFmtId="0" fontId="0" fillId="0" borderId="13" xfId="0" applyFill="1" applyBorder="1"/>
    <xf numFmtId="0" fontId="0" fillId="0" borderId="33" xfId="0" applyFill="1" applyBorder="1"/>
    <xf numFmtId="0" fontId="0" fillId="0" borderId="34" xfId="0" applyFill="1" applyBorder="1"/>
    <xf numFmtId="0" fontId="0" fillId="0" borderId="2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7" fontId="0" fillId="0" borderId="0" xfId="0" applyNumberFormat="1" applyFill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0" fillId="0" borderId="12" xfId="0" applyFill="1" applyBorder="1" applyAlignment="1">
      <alignment horizontal="right"/>
    </xf>
    <xf numFmtId="37" fontId="0" fillId="0" borderId="0" xfId="0" applyNumberFormat="1" applyFill="1" applyBorder="1" applyAlignment="1">
      <alignment horizontal="right"/>
    </xf>
    <xf numFmtId="10" fontId="0" fillId="0" borderId="12" xfId="0" applyNumberFormat="1" applyFill="1" applyBorder="1"/>
    <xf numFmtId="0" fontId="0" fillId="0" borderId="35" xfId="0" applyFill="1" applyBorder="1" applyAlignment="1">
      <alignment horizontal="left"/>
    </xf>
    <xf numFmtId="0" fontId="0" fillId="0" borderId="36" xfId="0" applyFill="1" applyBorder="1"/>
    <xf numFmtId="0" fontId="0" fillId="0" borderId="37" xfId="0" applyFill="1" applyBorder="1"/>
    <xf numFmtId="0" fontId="0" fillId="0" borderId="38" xfId="0" applyFill="1" applyBorder="1"/>
    <xf numFmtId="0" fontId="0" fillId="0" borderId="39" xfId="0" applyFill="1" applyBorder="1"/>
    <xf numFmtId="0" fontId="0" fillId="0" borderId="38" xfId="0" applyFill="1" applyBorder="1" applyAlignment="1">
      <alignment horizontal="left"/>
    </xf>
    <xf numFmtId="0" fontId="0" fillId="0" borderId="4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10" fontId="0" fillId="0" borderId="9" xfId="0" applyNumberFormat="1" applyFill="1" applyBorder="1"/>
    <xf numFmtId="0" fontId="0" fillId="0" borderId="40" xfId="0" applyFill="1" applyBorder="1"/>
    <xf numFmtId="0" fontId="0" fillId="0" borderId="41" xfId="0" applyFill="1" applyBorder="1"/>
    <xf numFmtId="0" fontId="7" fillId="0" borderId="42" xfId="0" applyFont="1" applyFill="1" applyBorder="1" applyAlignment="1">
      <alignment horizontal="center"/>
    </xf>
    <xf numFmtId="0" fontId="7" fillId="0" borderId="42" xfId="0" applyFont="1" applyFill="1" applyBorder="1"/>
    <xf numFmtId="0" fontId="7" fillId="0" borderId="2" xfId="0" applyFont="1" applyFill="1" applyBorder="1" applyAlignment="1">
      <alignment horizontal="left"/>
    </xf>
    <xf numFmtId="0" fontId="7" fillId="0" borderId="43" xfId="0" applyFont="1" applyFill="1" applyBorder="1"/>
    <xf numFmtId="0" fontId="7" fillId="0" borderId="44" xfId="0" applyFont="1" applyFill="1" applyBorder="1"/>
    <xf numFmtId="0" fontId="0" fillId="0" borderId="45" xfId="0" applyFill="1" applyBorder="1" applyAlignment="1">
      <alignment horizontal="left"/>
    </xf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 applyAlignment="1">
      <alignment horizontal="left"/>
    </xf>
    <xf numFmtId="0" fontId="0" fillId="0" borderId="48" xfId="0" applyFill="1" applyBorder="1"/>
    <xf numFmtId="0" fontId="0" fillId="0" borderId="49" xfId="0" applyFill="1" applyBorder="1"/>
    <xf numFmtId="167" fontId="0" fillId="0" borderId="0" xfId="0" applyNumberFormat="1" applyFill="1"/>
    <xf numFmtId="0" fontId="0" fillId="0" borderId="50" xfId="0" applyFill="1" applyBorder="1"/>
    <xf numFmtId="10" fontId="0" fillId="0" borderId="34" xfId="0" applyNumberFormat="1" applyFill="1" applyBorder="1"/>
    <xf numFmtId="0" fontId="7" fillId="0" borderId="22" xfId="0" applyFont="1" applyFill="1" applyBorder="1" applyAlignment="1">
      <alignment horizontal="left"/>
    </xf>
    <xf numFmtId="0" fontId="8" fillId="0" borderId="51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3" xfId="0" applyFont="1" applyFill="1" applyBorder="1"/>
    <xf numFmtId="0" fontId="3" fillId="0" borderId="11" xfId="0" applyFont="1" applyFill="1" applyBorder="1" applyAlignment="1">
      <alignment horizontal="left"/>
    </xf>
    <xf numFmtId="37" fontId="3" fillId="0" borderId="4" xfId="0" applyNumberFormat="1" applyFont="1" applyFill="1" applyBorder="1"/>
    <xf numFmtId="37" fontId="3" fillId="0" borderId="5" xfId="0" applyNumberFormat="1" applyFont="1" applyFill="1" applyBorder="1"/>
    <xf numFmtId="37" fontId="10" fillId="0" borderId="0" xfId="0" applyNumberFormat="1" applyFont="1" applyFill="1"/>
    <xf numFmtId="165" fontId="10" fillId="0" borderId="0" xfId="0" applyNumberFormat="1" applyFont="1" applyFill="1"/>
    <xf numFmtId="0" fontId="0" fillId="0" borderId="0" xfId="0" applyFill="1" applyAlignment="1">
      <alignment wrapText="1"/>
    </xf>
    <xf numFmtId="0" fontId="10" fillId="0" borderId="0" xfId="0" applyFont="1" applyFill="1" applyBorder="1" applyAlignment="1">
      <alignment horizontal="right"/>
    </xf>
    <xf numFmtId="1" fontId="10" fillId="0" borderId="0" xfId="0" applyNumberFormat="1" applyFont="1" applyFill="1"/>
    <xf numFmtId="168" fontId="0" fillId="0" borderId="0" xfId="0" applyNumberFormat="1" applyFill="1"/>
    <xf numFmtId="169" fontId="0" fillId="0" borderId="0" xfId="0" applyNumberFormat="1" applyFill="1"/>
    <xf numFmtId="169" fontId="7" fillId="0" borderId="2" xfId="0" applyNumberFormat="1" applyFont="1" applyFill="1" applyBorder="1"/>
    <xf numFmtId="169" fontId="7" fillId="0" borderId="3" xfId="0" applyNumberFormat="1" applyFont="1" applyFill="1" applyBorder="1"/>
    <xf numFmtId="169" fontId="7" fillId="0" borderId="4" xfId="0" applyNumberFormat="1" applyFont="1" applyFill="1" applyBorder="1"/>
    <xf numFmtId="169" fontId="7" fillId="0" borderId="5" xfId="0" applyNumberFormat="1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52" xfId="0" applyFill="1" applyBorder="1"/>
    <xf numFmtId="0" fontId="18" fillId="0" borderId="53" xfId="0" applyFont="1" applyFill="1" applyBorder="1" applyAlignment="1">
      <alignment horizontal="left"/>
    </xf>
    <xf numFmtId="0" fontId="0" fillId="0" borderId="54" xfId="0" applyFill="1" applyBorder="1" applyAlignment="1">
      <alignment horizontal="left"/>
    </xf>
    <xf numFmtId="0" fontId="0" fillId="0" borderId="55" xfId="0" applyFill="1" applyBorder="1" applyAlignment="1">
      <alignment horizontal="center"/>
    </xf>
    <xf numFmtId="0" fontId="0" fillId="0" borderId="14" xfId="0" applyFill="1" applyBorder="1"/>
    <xf numFmtId="0" fontId="0" fillId="0" borderId="56" xfId="0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8" fillId="0" borderId="28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0" fillId="0" borderId="57" xfId="0" applyFill="1" applyBorder="1"/>
    <xf numFmtId="165" fontId="0" fillId="0" borderId="14" xfId="2" applyNumberFormat="1" applyFont="1" applyFill="1" applyBorder="1"/>
    <xf numFmtId="0" fontId="0" fillId="0" borderId="58" xfId="0" applyFill="1" applyBorder="1"/>
    <xf numFmtId="165" fontId="0" fillId="0" borderId="34" xfId="2" applyNumberFormat="1" applyFont="1" applyFill="1" applyBorder="1"/>
    <xf numFmtId="0" fontId="0" fillId="0" borderId="57" xfId="0" applyFill="1" applyBorder="1" applyAlignment="1">
      <alignment horizontal="left"/>
    </xf>
    <xf numFmtId="10" fontId="0" fillId="0" borderId="14" xfId="2" applyNumberFormat="1" applyFont="1" applyFill="1" applyBorder="1"/>
    <xf numFmtId="0" fontId="0" fillId="0" borderId="58" xfId="0" applyFill="1" applyBorder="1" applyAlignment="1">
      <alignment horizontal="left"/>
    </xf>
    <xf numFmtId="10" fontId="0" fillId="0" borderId="34" xfId="2" applyNumberFormat="1" applyFont="1" applyFill="1" applyBorder="1"/>
    <xf numFmtId="0" fontId="7" fillId="0" borderId="59" xfId="0" applyFont="1" applyFill="1" applyBorder="1" applyAlignment="1">
      <alignment horizontal="center"/>
    </xf>
    <xf numFmtId="0" fontId="0" fillId="0" borderId="6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61" xfId="0" applyFill="1" applyBorder="1" applyAlignment="1">
      <alignment horizontal="center"/>
    </xf>
    <xf numFmtId="0" fontId="0" fillId="0" borderId="53" xfId="0" applyFill="1" applyBorder="1"/>
    <xf numFmtId="0" fontId="0" fillId="0" borderId="53" xfId="0" applyFill="1" applyBorder="1" applyAlignment="1">
      <alignment horizontal="center"/>
    </xf>
    <xf numFmtId="1" fontId="0" fillId="0" borderId="53" xfId="0" applyNumberFormat="1" applyFill="1" applyBorder="1" applyAlignment="1">
      <alignment horizontal="center"/>
    </xf>
    <xf numFmtId="0" fontId="7" fillId="0" borderId="53" xfId="0" applyFont="1" applyFill="1" applyBorder="1"/>
    <xf numFmtId="0" fontId="0" fillId="0" borderId="53" xfId="0" applyFill="1" applyBorder="1" applyAlignment="1">
      <alignment horizontal="left"/>
    </xf>
    <xf numFmtId="0" fontId="7" fillId="0" borderId="62" xfId="0" applyFont="1" applyFill="1" applyBorder="1" applyAlignment="1">
      <alignment horizontal="center"/>
    </xf>
    <xf numFmtId="0" fontId="7" fillId="0" borderId="61" xfId="0" applyFont="1" applyFill="1" applyBorder="1"/>
    <xf numFmtId="0" fontId="0" fillId="0" borderId="63" xfId="0" applyFill="1" applyBorder="1"/>
    <xf numFmtId="165" fontId="0" fillId="0" borderId="0" xfId="2" applyNumberFormat="1" applyFont="1" applyFill="1" applyBorder="1"/>
    <xf numFmtId="0" fontId="0" fillId="0" borderId="64" xfId="0" applyFill="1" applyBorder="1"/>
    <xf numFmtId="1" fontId="0" fillId="0" borderId="53" xfId="0" applyNumberFormat="1" applyFill="1" applyBorder="1"/>
    <xf numFmtId="0" fontId="0" fillId="0" borderId="16" xfId="0" applyFill="1" applyBorder="1" applyAlignment="1">
      <alignment horizontal="left"/>
    </xf>
    <xf numFmtId="0" fontId="0" fillId="0" borderId="28" xfId="0" applyFill="1" applyBorder="1" applyAlignment="1">
      <alignment horizontal="left"/>
    </xf>
    <xf numFmtId="0" fontId="0" fillId="0" borderId="65" xfId="0" applyFill="1" applyBorder="1" applyAlignment="1">
      <alignment horizontal="left"/>
    </xf>
    <xf numFmtId="49" fontId="4" fillId="0" borderId="0" xfId="0" applyNumberFormat="1" applyFont="1" applyFill="1"/>
    <xf numFmtId="0" fontId="7" fillId="0" borderId="66" xfId="0" applyFont="1" applyBorder="1"/>
    <xf numFmtId="37" fontId="7" fillId="0" borderId="4" xfId="0" applyNumberFormat="1" applyFont="1" applyFill="1" applyBorder="1" applyAlignment="1">
      <alignment horizontal="right"/>
    </xf>
    <xf numFmtId="37" fontId="3" fillId="0" borderId="4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10" fontId="12" fillId="0" borderId="0" xfId="0" applyNumberFormat="1" applyFont="1"/>
    <xf numFmtId="0" fontId="12" fillId="0" borderId="0" xfId="0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11" xfId="0" applyFont="1" applyFill="1" applyBorder="1" applyAlignment="1">
      <alignment horizontal="left"/>
    </xf>
    <xf numFmtId="37" fontId="4" fillId="2" borderId="4" xfId="0" applyNumberFormat="1" applyFont="1" applyFill="1" applyBorder="1" applyAlignment="1">
      <alignment horizontal="center"/>
    </xf>
    <xf numFmtId="37" fontId="4" fillId="2" borderId="4" xfId="0" applyNumberFormat="1" applyFont="1" applyFill="1" applyBorder="1"/>
    <xf numFmtId="10" fontId="12" fillId="0" borderId="15" xfId="0" applyNumberFormat="1" applyFont="1" applyBorder="1"/>
    <xf numFmtId="37" fontId="4" fillId="2" borderId="0" xfId="0" applyNumberFormat="1" applyFont="1" applyFill="1" applyBorder="1" applyAlignment="1">
      <alignment horizontal="center"/>
    </xf>
    <xf numFmtId="37" fontId="12" fillId="0" borderId="0" xfId="0" applyNumberFormat="1" applyFont="1"/>
    <xf numFmtId="0" fontId="12" fillId="0" borderId="0" xfId="0" applyFont="1" applyBorder="1" applyAlignment="1">
      <alignment horizontal="center"/>
    </xf>
    <xf numFmtId="37" fontId="12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37" fontId="12" fillId="0" borderId="0" xfId="0" applyNumberFormat="1" applyFont="1" applyAlignment="1">
      <alignment horizontal="right"/>
    </xf>
    <xf numFmtId="0" fontId="12" fillId="0" borderId="0" xfId="0" applyFont="1" applyAlignment="1">
      <alignment wrapText="1"/>
    </xf>
    <xf numFmtId="165" fontId="12" fillId="0" borderId="0" xfId="0" applyNumberFormat="1" applyFont="1"/>
    <xf numFmtId="0" fontId="4" fillId="0" borderId="11" xfId="0" applyFont="1" applyBorder="1" applyAlignment="1">
      <alignment horizontal="left"/>
    </xf>
    <xf numFmtId="0" fontId="4" fillId="0" borderId="3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37" fontId="4" fillId="0" borderId="4" xfId="0" applyNumberFormat="1" applyFont="1" applyBorder="1" applyAlignment="1">
      <alignment horizontal="center"/>
    </xf>
    <xf numFmtId="37" fontId="4" fillId="0" borderId="5" xfId="0" applyNumberFormat="1" applyFont="1" applyBorder="1" applyAlignment="1">
      <alignment horizontal="center"/>
    </xf>
    <xf numFmtId="37" fontId="4" fillId="2" borderId="5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/>
    <xf numFmtId="0" fontId="4" fillId="0" borderId="10" xfId="0" applyFont="1" applyBorder="1" applyAlignment="1">
      <alignment horizontal="centerContinuous"/>
    </xf>
    <xf numFmtId="0" fontId="4" fillId="0" borderId="6" xfId="0" applyFont="1" applyBorder="1"/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171" fontId="12" fillId="0" borderId="0" xfId="0" applyNumberFormat="1" applyFont="1"/>
    <xf numFmtId="0" fontId="12" fillId="0" borderId="7" xfId="0" applyFont="1" applyBorder="1"/>
    <xf numFmtId="0" fontId="12" fillId="0" borderId="0" xfId="0" applyFont="1" applyBorder="1"/>
    <xf numFmtId="0" fontId="4" fillId="0" borderId="3" xfId="0" applyFont="1" applyBorder="1" applyAlignment="1">
      <alignment horizontal="right"/>
    </xf>
    <xf numFmtId="0" fontId="4" fillId="0" borderId="10" xfId="0" applyFont="1" applyBorder="1"/>
    <xf numFmtId="0" fontId="4" fillId="0" borderId="1" xfId="0" applyFont="1" applyBorder="1"/>
    <xf numFmtId="37" fontId="4" fillId="0" borderId="4" xfId="0" applyNumberFormat="1" applyFont="1" applyBorder="1"/>
    <xf numFmtId="37" fontId="4" fillId="0" borderId="5" xfId="0" applyNumberFormat="1" applyFont="1" applyBorder="1"/>
    <xf numFmtId="0" fontId="4" fillId="2" borderId="2" xfId="0" applyFont="1" applyFill="1" applyBorder="1" applyAlignment="1">
      <alignment horizontal="center"/>
    </xf>
    <xf numFmtId="1" fontId="12" fillId="0" borderId="0" xfId="0" applyNumberFormat="1" applyFont="1"/>
    <xf numFmtId="170" fontId="7" fillId="0" borderId="4" xfId="0" applyNumberFormat="1" applyFont="1" applyBorder="1" applyAlignment="1">
      <alignment horizontal="center"/>
    </xf>
    <xf numFmtId="3" fontId="12" fillId="0" borderId="0" xfId="0" applyNumberFormat="1" applyFont="1"/>
    <xf numFmtId="0" fontId="4" fillId="0" borderId="5" xfId="0" applyFont="1" applyBorder="1" applyAlignment="1">
      <alignment horizontal="left"/>
    </xf>
    <xf numFmtId="0" fontId="7" fillId="0" borderId="0" xfId="0" applyFont="1" applyFill="1" applyBorder="1"/>
    <xf numFmtId="0" fontId="26" fillId="0" borderId="10" xfId="0" applyFont="1" applyFill="1" applyBorder="1"/>
    <xf numFmtId="37" fontId="26" fillId="0" borderId="6" xfId="0" applyNumberFormat="1" applyFont="1" applyFill="1" applyBorder="1"/>
    <xf numFmtId="10" fontId="0" fillId="0" borderId="50" xfId="0" applyNumberFormat="1" applyFill="1" applyBorder="1"/>
    <xf numFmtId="0" fontId="8" fillId="0" borderId="0" xfId="0" applyFont="1" applyFill="1" applyBorder="1" applyAlignment="1">
      <alignment horizontal="right"/>
    </xf>
    <xf numFmtId="37" fontId="26" fillId="0" borderId="0" xfId="0" applyNumberFormat="1" applyFont="1" applyFill="1" applyBorder="1"/>
    <xf numFmtId="165" fontId="0" fillId="0" borderId="12" xfId="2" applyNumberFormat="1" applyFont="1" applyFill="1" applyBorder="1"/>
    <xf numFmtId="1" fontId="0" fillId="0" borderId="0" xfId="2" applyNumberFormat="1" applyFont="1" applyFill="1" applyBorder="1"/>
    <xf numFmtId="1" fontId="0" fillId="0" borderId="33" xfId="2" applyNumberFormat="1" applyFont="1" applyFill="1" applyBorder="1"/>
    <xf numFmtId="1" fontId="0" fillId="0" borderId="0" xfId="0" applyNumberFormat="1" applyFill="1" applyBorder="1"/>
    <xf numFmtId="1" fontId="0" fillId="0" borderId="33" xfId="0" applyNumberFormat="1" applyFill="1" applyBorder="1"/>
    <xf numFmtId="1" fontId="0" fillId="0" borderId="12" xfId="2" applyNumberFormat="1" applyFont="1" applyFill="1" applyBorder="1"/>
    <xf numFmtId="1" fontId="0" fillId="0" borderId="12" xfId="0" applyNumberFormat="1" applyFill="1" applyBorder="1"/>
    <xf numFmtId="1" fontId="0" fillId="0" borderId="50" xfId="0" applyNumberFormat="1" applyFill="1" applyBorder="1"/>
    <xf numFmtId="0" fontId="0" fillId="0" borderId="67" xfId="0" applyFill="1" applyBorder="1"/>
    <xf numFmtId="0" fontId="28" fillId="0" borderId="0" xfId="0" applyFont="1" applyAlignment="1">
      <alignment horizontal="left"/>
    </xf>
    <xf numFmtId="0" fontId="28" fillId="0" borderId="0" xfId="0" applyFont="1"/>
    <xf numFmtId="0" fontId="28" fillId="0" borderId="0" xfId="0" applyFont="1" applyAlignment="1">
      <alignment horizontal="center"/>
    </xf>
    <xf numFmtId="171" fontId="28" fillId="0" borderId="0" xfId="0" applyNumberFormat="1" applyFont="1"/>
    <xf numFmtId="0" fontId="0" fillId="0" borderId="66" xfId="0" applyFill="1" applyBorder="1"/>
    <xf numFmtId="0" fontId="0" fillId="0" borderId="68" xfId="0" applyFill="1" applyBorder="1"/>
    <xf numFmtId="0" fontId="0" fillId="0" borderId="33" xfId="0" applyFill="1" applyBorder="1" applyAlignment="1">
      <alignment horizontal="center"/>
    </xf>
    <xf numFmtId="0" fontId="29" fillId="0" borderId="0" xfId="0" applyFont="1" applyFill="1" applyAlignment="1">
      <alignment horizontal="left"/>
    </xf>
    <xf numFmtId="0" fontId="8" fillId="0" borderId="12" xfId="0" applyFont="1" applyFill="1" applyBorder="1" applyAlignment="1">
      <alignment horizontal="right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37" fontId="12" fillId="0" borderId="0" xfId="0" applyNumberFormat="1" applyFont="1" applyFill="1"/>
    <xf numFmtId="37" fontId="4" fillId="0" borderId="0" xfId="0" applyNumberFormat="1" applyFont="1" applyFill="1" applyBorder="1" applyAlignment="1">
      <alignment horizontal="right"/>
    </xf>
    <xf numFmtId="0" fontId="30" fillId="0" borderId="0" xfId="0" applyFont="1"/>
    <xf numFmtId="0" fontId="29" fillId="0" borderId="2" xfId="0" applyFont="1" applyBorder="1" applyAlignment="1">
      <alignment horizontal="center"/>
    </xf>
    <xf numFmtId="37" fontId="0" fillId="0" borderId="12" xfId="0" applyNumberFormat="1" applyFill="1" applyBorder="1"/>
    <xf numFmtId="0" fontId="7" fillId="0" borderId="31" xfId="0" applyFont="1" applyFill="1" applyBorder="1" applyAlignment="1">
      <alignment horizontal="center"/>
    </xf>
    <xf numFmtId="0" fontId="18" fillId="0" borderId="50" xfId="0" applyFont="1" applyFill="1" applyBorder="1" applyAlignment="1">
      <alignment horizontal="left"/>
    </xf>
    <xf numFmtId="0" fontId="7" fillId="0" borderId="69" xfId="0" applyFont="1" applyFill="1" applyBorder="1" applyAlignment="1">
      <alignment horizontal="center"/>
    </xf>
    <xf numFmtId="0" fontId="0" fillId="0" borderId="52" xfId="0" applyFill="1" applyBorder="1" applyAlignment="1">
      <alignment horizontal="center"/>
    </xf>
    <xf numFmtId="37" fontId="0" fillId="0" borderId="52" xfId="0" applyNumberFormat="1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52" xfId="0" applyFill="1" applyBorder="1" applyAlignment="1">
      <alignment horizontal="left"/>
    </xf>
    <xf numFmtId="0" fontId="7" fillId="0" borderId="31" xfId="0" applyFont="1" applyFill="1" applyBorder="1" applyAlignment="1">
      <alignment horizontal="centerContinuous"/>
    </xf>
    <xf numFmtId="0" fontId="7" fillId="0" borderId="32" xfId="0" applyFont="1" applyFill="1" applyBorder="1" applyAlignment="1">
      <alignment horizontal="centerContinuous"/>
    </xf>
    <xf numFmtId="0" fontId="7" fillId="0" borderId="13" xfId="0" applyFont="1" applyFill="1" applyBorder="1" applyAlignment="1">
      <alignment horizontal="centerContinuous"/>
    </xf>
    <xf numFmtId="10" fontId="0" fillId="0" borderId="15" xfId="0" applyNumberFormat="1" applyFill="1" applyBorder="1"/>
    <xf numFmtId="37" fontId="0" fillId="0" borderId="50" xfId="0" applyNumberFormat="1" applyFill="1" applyBorder="1"/>
    <xf numFmtId="37" fontId="0" fillId="0" borderId="65" xfId="0" applyNumberFormat="1" applyFill="1" applyBorder="1"/>
    <xf numFmtId="37" fontId="0" fillId="0" borderId="66" xfId="0" applyNumberFormat="1" applyFill="1" applyBorder="1"/>
    <xf numFmtId="10" fontId="0" fillId="0" borderId="66" xfId="0" applyNumberFormat="1" applyFill="1" applyBorder="1"/>
    <xf numFmtId="0" fontId="7" fillId="0" borderId="70" xfId="0" applyFont="1" applyFill="1" applyBorder="1" applyAlignment="1">
      <alignment horizontal="centerContinuous"/>
    </xf>
    <xf numFmtId="0" fontId="7" fillId="0" borderId="33" xfId="0" applyFont="1" applyFill="1" applyBorder="1" applyAlignment="1">
      <alignment horizontal="right"/>
    </xf>
    <xf numFmtId="0" fontId="7" fillId="0" borderId="12" xfId="0" applyFont="1" applyFill="1" applyBorder="1" applyAlignment="1">
      <alignment horizontal="right"/>
    </xf>
    <xf numFmtId="0" fontId="7" fillId="0" borderId="34" xfId="0" applyFont="1" applyFill="1" applyBorder="1" applyAlignment="1">
      <alignment horizontal="centerContinuous"/>
    </xf>
    <xf numFmtId="0" fontId="8" fillId="0" borderId="34" xfId="0" applyFont="1" applyFill="1" applyBorder="1" applyAlignment="1">
      <alignment horizontal="centerContinuous"/>
    </xf>
    <xf numFmtId="0" fontId="8" fillId="0" borderId="34" xfId="0" applyFont="1" applyFill="1" applyBorder="1" applyAlignment="1">
      <alignment horizontal="center"/>
    </xf>
    <xf numFmtId="0" fontId="0" fillId="0" borderId="70" xfId="0" applyFill="1" applyBorder="1" applyAlignment="1">
      <alignment horizontal="center"/>
    </xf>
    <xf numFmtId="0" fontId="0" fillId="0" borderId="71" xfId="0" applyFill="1" applyBorder="1"/>
    <xf numFmtId="0" fontId="0" fillId="0" borderId="31" xfId="0" applyFill="1" applyBorder="1" applyAlignment="1">
      <alignment horizontal="center"/>
    </xf>
    <xf numFmtId="0" fontId="0" fillId="0" borderId="72" xfId="0" applyFill="1" applyBorder="1"/>
    <xf numFmtId="0" fontId="0" fillId="0" borderId="2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10" fontId="0" fillId="0" borderId="0" xfId="0" applyNumberFormat="1" applyFill="1" applyBorder="1" applyAlignment="1">
      <alignment horizontal="right"/>
    </xf>
    <xf numFmtId="0" fontId="8" fillId="0" borderId="12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Continuous"/>
    </xf>
    <xf numFmtId="0" fontId="7" fillId="0" borderId="36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7" fillId="0" borderId="63" xfId="0" applyFont="1" applyFill="1" applyBorder="1" applyAlignment="1">
      <alignment horizontal="right"/>
    </xf>
    <xf numFmtId="0" fontId="8" fillId="0" borderId="73" xfId="0" applyFont="1" applyFill="1" applyBorder="1" applyAlignment="1">
      <alignment horizontal="center"/>
    </xf>
    <xf numFmtId="1" fontId="0" fillId="0" borderId="38" xfId="1" applyNumberFormat="1" applyFont="1" applyFill="1" applyBorder="1"/>
    <xf numFmtId="10" fontId="0" fillId="0" borderId="39" xfId="0" applyNumberFormat="1" applyFill="1" applyBorder="1"/>
    <xf numFmtId="1" fontId="0" fillId="0" borderId="63" xfId="1" applyNumberFormat="1" applyFont="1" applyFill="1" applyBorder="1"/>
    <xf numFmtId="10" fontId="0" fillId="0" borderId="73" xfId="0" applyNumberFormat="1" applyFill="1" applyBorder="1"/>
    <xf numFmtId="1" fontId="0" fillId="0" borderId="40" xfId="1" applyNumberFormat="1" applyFont="1" applyFill="1" applyBorder="1"/>
    <xf numFmtId="10" fontId="0" fillId="0" borderId="41" xfId="0" applyNumberFormat="1" applyFill="1" applyBorder="1"/>
    <xf numFmtId="0" fontId="8" fillId="0" borderId="14" xfId="0" applyFont="1" applyFill="1" applyBorder="1" applyAlignment="1">
      <alignment horizontal="right"/>
    </xf>
    <xf numFmtId="0" fontId="0" fillId="0" borderId="50" xfId="0" applyFill="1" applyBorder="1" applyAlignment="1">
      <alignment horizontal="centerContinuous"/>
    </xf>
    <xf numFmtId="0" fontId="0" fillId="0" borderId="14" xfId="0" applyFill="1" applyBorder="1" applyAlignment="1">
      <alignment horizontal="right"/>
    </xf>
    <xf numFmtId="0" fontId="0" fillId="0" borderId="50" xfId="0" applyFill="1" applyBorder="1" applyAlignment="1">
      <alignment horizontal="center"/>
    </xf>
    <xf numFmtId="10" fontId="0" fillId="0" borderId="14" xfId="0" applyNumberFormat="1" applyFill="1" applyBorder="1" applyAlignment="1">
      <alignment horizontal="right"/>
    </xf>
    <xf numFmtId="37" fontId="0" fillId="0" borderId="66" xfId="0" applyNumberFormat="1" applyFill="1" applyBorder="1" applyAlignment="1">
      <alignment horizontal="right"/>
    </xf>
    <xf numFmtId="0" fontId="7" fillId="0" borderId="33" xfId="0" applyFont="1" applyFill="1" applyBorder="1" applyAlignment="1">
      <alignment horizontal="centerContinuous"/>
    </xf>
    <xf numFmtId="0" fontId="8" fillId="0" borderId="34" xfId="0" applyFont="1" applyFill="1" applyBorder="1" applyAlignment="1">
      <alignment horizontal="right"/>
    </xf>
    <xf numFmtId="0" fontId="0" fillId="0" borderId="50" xfId="0" applyFill="1" applyBorder="1" applyAlignment="1">
      <alignment horizontal="right"/>
    </xf>
    <xf numFmtId="0" fontId="0" fillId="0" borderId="14" xfId="0" applyFill="1" applyBorder="1" applyAlignment="1">
      <alignment horizontal="centerContinuous"/>
    </xf>
    <xf numFmtId="37" fontId="0" fillId="0" borderId="50" xfId="0" applyNumberFormat="1" applyFill="1" applyBorder="1" applyAlignment="1">
      <alignment horizontal="right"/>
    </xf>
    <xf numFmtId="37" fontId="0" fillId="0" borderId="65" xfId="0" applyNumberFormat="1" applyFill="1" applyBorder="1" applyAlignment="1">
      <alignment horizontal="right"/>
    </xf>
    <xf numFmtId="10" fontId="0" fillId="0" borderId="14" xfId="0" applyNumberFormat="1" applyFill="1" applyBorder="1" applyAlignment="1">
      <alignment horizontal="centerContinuous"/>
    </xf>
    <xf numFmtId="0" fontId="0" fillId="0" borderId="52" xfId="0" applyFill="1" applyBorder="1" applyAlignment="1">
      <alignment horizontal="centerContinuous"/>
    </xf>
    <xf numFmtId="0" fontId="7" fillId="0" borderId="34" xfId="0" applyFont="1" applyFill="1" applyBorder="1" applyAlignment="1">
      <alignment horizontal="right"/>
    </xf>
    <xf numFmtId="0" fontId="0" fillId="0" borderId="14" xfId="0" applyFill="1" applyBorder="1" applyAlignment="1">
      <alignment horizontal="center"/>
    </xf>
    <xf numFmtId="0" fontId="0" fillId="0" borderId="33" xfId="0" applyFill="1" applyBorder="1" applyAlignment="1">
      <alignment horizontal="right"/>
    </xf>
    <xf numFmtId="0" fontId="8" fillId="0" borderId="73" xfId="0" applyFont="1" applyFill="1" applyBorder="1" applyAlignment="1">
      <alignment horizontal="right"/>
    </xf>
    <xf numFmtId="0" fontId="0" fillId="0" borderId="38" xfId="0" applyFill="1" applyBorder="1" applyAlignment="1">
      <alignment horizontal="right"/>
    </xf>
    <xf numFmtId="0" fontId="0" fillId="0" borderId="39" xfId="0" applyFill="1" applyBorder="1" applyAlignment="1">
      <alignment horizontal="right"/>
    </xf>
    <xf numFmtId="10" fontId="0" fillId="0" borderId="39" xfId="0" applyNumberFormat="1" applyFill="1" applyBorder="1" applyAlignment="1">
      <alignment horizontal="right"/>
    </xf>
    <xf numFmtId="0" fontId="0" fillId="0" borderId="63" xfId="0" applyFill="1" applyBorder="1" applyAlignment="1">
      <alignment horizontal="right"/>
    </xf>
    <xf numFmtId="37" fontId="0" fillId="0" borderId="38" xfId="0" applyNumberFormat="1" applyFill="1" applyBorder="1" applyAlignment="1">
      <alignment horizontal="right"/>
    </xf>
    <xf numFmtId="37" fontId="0" fillId="0" borderId="40" xfId="0" applyNumberFormat="1" applyFill="1" applyBorder="1" applyAlignment="1">
      <alignment horizontal="right"/>
    </xf>
    <xf numFmtId="0" fontId="0" fillId="0" borderId="50" xfId="0" applyFill="1" applyBorder="1" applyAlignment="1">
      <alignment horizontal="left"/>
    </xf>
    <xf numFmtId="0" fontId="0" fillId="0" borderId="9" xfId="0" applyFill="1" applyBorder="1" applyAlignment="1">
      <alignment horizontal="right"/>
    </xf>
    <xf numFmtId="0" fontId="0" fillId="0" borderId="40" xfId="0" applyFill="1" applyBorder="1" applyAlignment="1">
      <alignment horizontal="right"/>
    </xf>
    <xf numFmtId="0" fontId="0" fillId="0" borderId="70" xfId="0" applyFill="1" applyBorder="1"/>
    <xf numFmtId="0" fontId="0" fillId="0" borderId="73" xfId="0" applyFill="1" applyBorder="1"/>
    <xf numFmtId="37" fontId="0" fillId="0" borderId="68" xfId="0" applyNumberFormat="1" applyFill="1" applyBorder="1"/>
    <xf numFmtId="0" fontId="0" fillId="0" borderId="74" xfId="0" applyFill="1" applyBorder="1"/>
    <xf numFmtId="37" fontId="0" fillId="0" borderId="68" xfId="0" applyNumberFormat="1" applyFill="1" applyBorder="1" applyAlignment="1">
      <alignment horizontal="right"/>
    </xf>
    <xf numFmtId="0" fontId="0" fillId="0" borderId="68" xfId="0" applyFill="1" applyBorder="1" applyAlignment="1">
      <alignment horizontal="left"/>
    </xf>
    <xf numFmtId="0" fontId="0" fillId="0" borderId="74" xfId="0" applyFill="1" applyBorder="1" applyAlignment="1">
      <alignment horizontal="left"/>
    </xf>
    <xf numFmtId="10" fontId="0" fillId="0" borderId="68" xfId="0" applyNumberFormat="1" applyFill="1" applyBorder="1"/>
    <xf numFmtId="10" fontId="0" fillId="0" borderId="74" xfId="0" applyNumberFormat="1" applyFill="1" applyBorder="1"/>
    <xf numFmtId="0" fontId="0" fillId="0" borderId="46" xfId="0" applyFill="1" applyBorder="1" applyAlignment="1">
      <alignment horizontal="left"/>
    </xf>
    <xf numFmtId="0" fontId="7" fillId="0" borderId="52" xfId="0" applyFont="1" applyFill="1" applyBorder="1"/>
    <xf numFmtId="0" fontId="18" fillId="0" borderId="65" xfId="0" applyFont="1" applyFill="1" applyBorder="1" applyAlignment="1">
      <alignment horizontal="left"/>
    </xf>
    <xf numFmtId="0" fontId="7" fillId="0" borderId="50" xfId="0" applyFont="1" applyFill="1" applyBorder="1"/>
    <xf numFmtId="0" fontId="18" fillId="0" borderId="31" xfId="0" applyFont="1" applyFill="1" applyBorder="1" applyAlignment="1">
      <alignment horizontal="left"/>
    </xf>
    <xf numFmtId="0" fontId="18" fillId="0" borderId="56" xfId="0" applyFont="1" applyFill="1" applyBorder="1" applyAlignment="1">
      <alignment horizontal="left"/>
    </xf>
    <xf numFmtId="0" fontId="0" fillId="0" borderId="56" xfId="0" applyFill="1" applyBorder="1" applyAlignment="1">
      <alignment horizontal="left"/>
    </xf>
    <xf numFmtId="0" fontId="7" fillId="0" borderId="14" xfId="0" applyFont="1" applyFill="1" applyBorder="1"/>
    <xf numFmtId="0" fontId="18" fillId="0" borderId="55" xfId="0" applyFont="1" applyFill="1" applyBorder="1" applyAlignment="1">
      <alignment horizontal="center"/>
    </xf>
    <xf numFmtId="0" fontId="18" fillId="0" borderId="75" xfId="0" applyFont="1" applyFill="1" applyBorder="1" applyAlignment="1">
      <alignment horizontal="center"/>
    </xf>
    <xf numFmtId="0" fontId="8" fillId="0" borderId="67" xfId="0" applyFont="1" applyFill="1" applyBorder="1" applyAlignment="1">
      <alignment horizontal="center"/>
    </xf>
    <xf numFmtId="0" fontId="7" fillId="0" borderId="65" xfId="0" applyFont="1" applyFill="1" applyBorder="1"/>
    <xf numFmtId="0" fontId="0" fillId="0" borderId="65" xfId="0" applyFill="1" applyBorder="1"/>
    <xf numFmtId="0" fontId="7" fillId="0" borderId="66" xfId="0" applyFont="1" applyFill="1" applyBorder="1"/>
    <xf numFmtId="0" fontId="7" fillId="0" borderId="15" xfId="0" applyFont="1" applyFill="1" applyBorder="1"/>
    <xf numFmtId="0" fontId="0" fillId="0" borderId="76" xfId="0" applyFill="1" applyBorder="1"/>
    <xf numFmtId="0" fontId="18" fillId="0" borderId="32" xfId="0" applyFont="1" applyFill="1" applyBorder="1" applyAlignment="1">
      <alignment horizontal="center"/>
    </xf>
    <xf numFmtId="10" fontId="0" fillId="0" borderId="0" xfId="2" applyNumberFormat="1" applyFont="1" applyFill="1" applyBorder="1"/>
    <xf numFmtId="10" fontId="0" fillId="0" borderId="12" xfId="2" applyNumberFormat="1" applyFont="1" applyFill="1" applyBorder="1"/>
    <xf numFmtId="0" fontId="8" fillId="0" borderId="33" xfId="0" applyFont="1" applyFill="1" applyBorder="1" applyAlignment="1">
      <alignment horizontal="center"/>
    </xf>
    <xf numFmtId="0" fontId="7" fillId="0" borderId="33" xfId="0" applyFont="1" applyFill="1" applyBorder="1"/>
    <xf numFmtId="0" fontId="0" fillId="0" borderId="53" xfId="0" applyBorder="1"/>
    <xf numFmtId="0" fontId="7" fillId="0" borderId="70" xfId="0" applyFont="1" applyFill="1" applyBorder="1"/>
    <xf numFmtId="0" fontId="8" fillId="0" borderId="33" xfId="0" applyFont="1" applyFill="1" applyBorder="1" applyAlignment="1">
      <alignment horizontal="right"/>
    </xf>
    <xf numFmtId="0" fontId="18" fillId="0" borderId="52" xfId="0" applyFont="1" applyFill="1" applyBorder="1" applyAlignment="1">
      <alignment horizontal="right"/>
    </xf>
    <xf numFmtId="0" fontId="18" fillId="0" borderId="50" xfId="0" applyFont="1" applyFill="1" applyBorder="1" applyAlignment="1">
      <alignment horizontal="right"/>
    </xf>
    <xf numFmtId="0" fontId="0" fillId="0" borderId="52" xfId="0" applyFill="1" applyBorder="1" applyAlignment="1">
      <alignment horizontal="right"/>
    </xf>
    <xf numFmtId="0" fontId="0" fillId="0" borderId="65" xfId="0" applyFill="1" applyBorder="1" applyAlignment="1">
      <alignment horizontal="right"/>
    </xf>
    <xf numFmtId="0" fontId="0" fillId="0" borderId="54" xfId="0" applyFill="1" applyBorder="1" applyAlignment="1">
      <alignment horizontal="right"/>
    </xf>
    <xf numFmtId="0" fontId="0" fillId="0" borderId="66" xfId="0" applyFill="1" applyBorder="1" applyAlignment="1">
      <alignment horizontal="right"/>
    </xf>
    <xf numFmtId="0" fontId="18" fillId="0" borderId="54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69" xfId="0" applyFill="1" applyBorder="1"/>
    <xf numFmtId="0" fontId="0" fillId="0" borderId="54" xfId="0" applyFill="1" applyBorder="1"/>
    <xf numFmtId="165" fontId="0" fillId="0" borderId="66" xfId="2" applyNumberFormat="1" applyFont="1" applyFill="1" applyBorder="1"/>
    <xf numFmtId="1" fontId="0" fillId="0" borderId="50" xfId="2" applyNumberFormat="1" applyFont="1" applyFill="1" applyBorder="1"/>
    <xf numFmtId="1" fontId="0" fillId="0" borderId="53" xfId="0" applyNumberFormat="1" applyFill="1" applyBorder="1" applyAlignment="1">
      <alignment horizontal="right"/>
    </xf>
    <xf numFmtId="1" fontId="0" fillId="0" borderId="50" xfId="1" applyNumberFormat="1" applyFont="1" applyFill="1" applyBorder="1"/>
    <xf numFmtId="1" fontId="0" fillId="0" borderId="33" xfId="1" applyNumberFormat="1" applyFont="1" applyFill="1" applyBorder="1"/>
    <xf numFmtId="165" fontId="0" fillId="0" borderId="49" xfId="0" applyNumberFormat="1" applyFill="1" applyBorder="1"/>
    <xf numFmtId="37" fontId="0" fillId="0" borderId="36" xfId="0" applyNumberFormat="1" applyFill="1" applyBorder="1"/>
    <xf numFmtId="10" fontId="0" fillId="0" borderId="36" xfId="0" applyNumberFormat="1" applyFill="1" applyBorder="1"/>
    <xf numFmtId="10" fontId="0" fillId="0" borderId="37" xfId="0" applyNumberFormat="1" applyFill="1" applyBorder="1"/>
    <xf numFmtId="37" fontId="0" fillId="0" borderId="9" xfId="0" applyNumberFormat="1" applyFill="1" applyBorder="1"/>
    <xf numFmtId="0" fontId="0" fillId="0" borderId="77" xfId="0" applyFill="1" applyBorder="1" applyAlignment="1">
      <alignment horizontal="left"/>
    </xf>
    <xf numFmtId="37" fontId="0" fillId="0" borderId="78" xfId="0" applyNumberFormat="1" applyFill="1" applyBorder="1"/>
    <xf numFmtId="10" fontId="0" fillId="0" borderId="79" xfId="0" applyNumberFormat="1" applyFill="1" applyBorder="1"/>
    <xf numFmtId="0" fontId="0" fillId="0" borderId="80" xfId="0" applyFill="1" applyBorder="1" applyAlignment="1">
      <alignment horizontal="left"/>
    </xf>
    <xf numFmtId="0" fontId="0" fillId="0" borderId="81" xfId="0" applyFill="1" applyBorder="1" applyAlignment="1">
      <alignment horizontal="left"/>
    </xf>
    <xf numFmtId="37" fontId="0" fillId="0" borderId="74" xfId="0" applyNumberFormat="1" applyFill="1" applyBorder="1"/>
    <xf numFmtId="10" fontId="0" fillId="0" borderId="82" xfId="0" applyNumberFormat="1" applyFill="1" applyBorder="1"/>
    <xf numFmtId="0" fontId="0" fillId="0" borderId="36" xfId="0" applyFill="1" applyBorder="1" applyAlignment="1">
      <alignment horizontal="left"/>
    </xf>
    <xf numFmtId="0" fontId="0" fillId="0" borderId="78" xfId="0" applyFill="1" applyBorder="1" applyAlignment="1">
      <alignment horizontal="left"/>
    </xf>
    <xf numFmtId="0" fontId="0" fillId="0" borderId="78" xfId="0" applyFill="1" applyBorder="1"/>
    <xf numFmtId="0" fontId="18" fillId="0" borderId="14" xfId="0" applyFont="1" applyFill="1" applyBorder="1" applyAlignment="1">
      <alignment horizontal="right"/>
    </xf>
    <xf numFmtId="0" fontId="18" fillId="0" borderId="50" xfId="0" applyFont="1" applyFill="1" applyBorder="1"/>
    <xf numFmtId="0" fontId="18" fillId="0" borderId="0" xfId="0" applyFont="1" applyFill="1" applyBorder="1"/>
    <xf numFmtId="0" fontId="26" fillId="0" borderId="0" xfId="0" applyFont="1" applyFill="1" applyBorder="1"/>
    <xf numFmtId="10" fontId="18" fillId="0" borderId="14" xfId="0" applyNumberFormat="1" applyFont="1" applyFill="1" applyBorder="1"/>
    <xf numFmtId="1" fontId="18" fillId="0" borderId="50" xfId="0" applyNumberFormat="1" applyFont="1" applyFill="1" applyBorder="1"/>
    <xf numFmtId="1" fontId="18" fillId="0" borderId="0" xfId="0" applyNumberFormat="1" applyFont="1" applyFill="1" applyBorder="1"/>
    <xf numFmtId="0" fontId="23" fillId="0" borderId="33" xfId="0" applyFont="1" applyFill="1" applyBorder="1" applyAlignment="1">
      <alignment horizontal="right"/>
    </xf>
    <xf numFmtId="0" fontId="23" fillId="0" borderId="12" xfId="0" applyFont="1" applyFill="1" applyBorder="1" applyAlignment="1">
      <alignment horizontal="right"/>
    </xf>
    <xf numFmtId="0" fontId="23" fillId="0" borderId="34" xfId="0" applyFont="1" applyFill="1" applyBorder="1" applyAlignment="1">
      <alignment horizontal="right"/>
    </xf>
    <xf numFmtId="1" fontId="26" fillId="0" borderId="0" xfId="0" applyNumberFormat="1" applyFont="1" applyFill="1" applyBorder="1"/>
    <xf numFmtId="0" fontId="23" fillId="0" borderId="69" xfId="0" applyFont="1" applyFill="1" applyBorder="1" applyAlignment="1">
      <alignment horizontal="center"/>
    </xf>
    <xf numFmtId="0" fontId="26" fillId="0" borderId="50" xfId="0" applyFont="1" applyFill="1" applyBorder="1"/>
    <xf numFmtId="10" fontId="26" fillId="0" borderId="14" xfId="0" applyNumberFormat="1" applyFont="1" applyFill="1" applyBorder="1"/>
    <xf numFmtId="1" fontId="26" fillId="0" borderId="50" xfId="0" applyNumberFormat="1" applyFont="1" applyFill="1" applyBorder="1"/>
    <xf numFmtId="0" fontId="23" fillId="0" borderId="70" xfId="0" applyFont="1" applyFill="1" applyBorder="1"/>
    <xf numFmtId="0" fontId="0" fillId="0" borderId="31" xfId="0" applyFill="1" applyBorder="1" applyAlignment="1">
      <alignment horizontal="left"/>
    </xf>
    <xf numFmtId="37" fontId="0" fillId="0" borderId="32" xfId="0" applyNumberFormat="1" applyFill="1" applyBorder="1"/>
    <xf numFmtId="10" fontId="0" fillId="0" borderId="32" xfId="0" applyNumberFormat="1" applyFill="1" applyBorder="1"/>
    <xf numFmtId="10" fontId="0" fillId="0" borderId="13" xfId="0" applyNumberFormat="1" applyFill="1" applyBorder="1"/>
    <xf numFmtId="0" fontId="0" fillId="0" borderId="33" xfId="0" applyFill="1" applyBorder="1" applyAlignment="1">
      <alignment horizontal="left"/>
    </xf>
    <xf numFmtId="37" fontId="0" fillId="0" borderId="31" xfId="0" applyNumberFormat="1" applyFill="1" applyBorder="1"/>
    <xf numFmtId="0" fontId="31" fillId="0" borderId="83" xfId="0" applyFont="1" applyFill="1" applyBorder="1" applyAlignment="1">
      <alignment horizontal="center"/>
    </xf>
    <xf numFmtId="0" fontId="5" fillId="0" borderId="83" xfId="0" applyFont="1" applyFill="1" applyBorder="1" applyAlignment="1">
      <alignment horizontal="center"/>
    </xf>
    <xf numFmtId="0" fontId="5" fillId="0" borderId="84" xfId="0" applyFont="1" applyFill="1" applyBorder="1" applyAlignment="1">
      <alignment horizontal="center"/>
    </xf>
    <xf numFmtId="0" fontId="24" fillId="0" borderId="20" xfId="0" applyFont="1" applyFill="1" applyBorder="1" applyAlignment="1">
      <alignment horizontal="center"/>
    </xf>
    <xf numFmtId="10" fontId="24" fillId="0" borderId="0" xfId="0" applyNumberFormat="1" applyFont="1" applyFill="1"/>
    <xf numFmtId="10" fontId="24" fillId="0" borderId="0" xfId="0" applyNumberFormat="1" applyFont="1" applyFill="1" applyBorder="1"/>
    <xf numFmtId="0" fontId="24" fillId="0" borderId="0" xfId="0" applyFont="1" applyFill="1" applyBorder="1"/>
    <xf numFmtId="0" fontId="24" fillId="0" borderId="0" xfId="0" applyFont="1" applyFill="1"/>
    <xf numFmtId="0" fontId="24" fillId="0" borderId="0" xfId="0" applyFont="1" applyFill="1" applyBorder="1" applyAlignment="1">
      <alignment horizontal="center"/>
    </xf>
    <xf numFmtId="0" fontId="24" fillId="0" borderId="19" xfId="0" applyFont="1" applyFill="1" applyBorder="1" applyAlignment="1">
      <alignment horizontal="center"/>
    </xf>
    <xf numFmtId="0" fontId="24" fillId="0" borderId="4" xfId="0" applyFont="1" applyFill="1" applyBorder="1" applyAlignment="1">
      <alignment horizontal="center"/>
    </xf>
    <xf numFmtId="10" fontId="24" fillId="0" borderId="4" xfId="0" applyNumberFormat="1" applyFont="1" applyFill="1" applyBorder="1"/>
    <xf numFmtId="10" fontId="24" fillId="0" borderId="66" xfId="0" applyNumberFormat="1" applyFont="1" applyFill="1" applyBorder="1"/>
    <xf numFmtId="0" fontId="29" fillId="0" borderId="1" xfId="0" applyFont="1" applyBorder="1" applyAlignment="1">
      <alignment horizontal="left"/>
    </xf>
    <xf numFmtId="0" fontId="29" fillId="0" borderId="2" xfId="0" applyFont="1" applyBorder="1" applyAlignment="1">
      <alignment horizontal="right"/>
    </xf>
    <xf numFmtId="0" fontId="29" fillId="0" borderId="10" xfId="0" applyFont="1" applyBorder="1"/>
    <xf numFmtId="0" fontId="29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29" fillId="0" borderId="0" xfId="0" applyFont="1"/>
    <xf numFmtId="0" fontId="28" fillId="0" borderId="14" xfId="0" applyFont="1" applyBorder="1"/>
    <xf numFmtId="0" fontId="29" fillId="0" borderId="11" xfId="0" applyFont="1" applyBorder="1"/>
    <xf numFmtId="0" fontId="29" fillId="0" borderId="4" xfId="0" applyFont="1" applyBorder="1" applyAlignment="1">
      <alignment horizontal="right"/>
    </xf>
    <xf numFmtId="0" fontId="29" fillId="0" borderId="4" xfId="0" applyFont="1" applyBorder="1" applyAlignment="1">
      <alignment horizontal="left"/>
    </xf>
    <xf numFmtId="0" fontId="29" fillId="0" borderId="4" xfId="0" applyFont="1" applyBorder="1"/>
    <xf numFmtId="0" fontId="28" fillId="0" borderId="15" xfId="0" applyFont="1" applyBorder="1"/>
    <xf numFmtId="0" fontId="0" fillId="0" borderId="66" xfId="0" applyBorder="1"/>
    <xf numFmtId="37" fontId="4" fillId="0" borderId="5" xfId="0" applyNumberFormat="1" applyFont="1" applyBorder="1" applyAlignment="1">
      <alignment horizontal="right"/>
    </xf>
    <xf numFmtId="0" fontId="26" fillId="0" borderId="0" xfId="0" applyFont="1" applyAlignment="1">
      <alignment horizontal="center"/>
    </xf>
    <xf numFmtId="170" fontId="12" fillId="0" borderId="0" xfId="0" applyNumberFormat="1" applyFont="1"/>
    <xf numFmtId="0" fontId="14" fillId="0" borderId="0" xfId="0" applyFont="1" applyFill="1" applyBorder="1" applyAlignment="1">
      <alignment horizontal="right"/>
    </xf>
    <xf numFmtId="49" fontId="0" fillId="0" borderId="0" xfId="0" applyNumberFormat="1" applyFill="1" applyAlignment="1">
      <alignment horizontal="left" indent="1"/>
    </xf>
    <xf numFmtId="0" fontId="0" fillId="0" borderId="0" xfId="0" applyFill="1" applyAlignment="1">
      <alignment horizontal="left" indent="1"/>
    </xf>
    <xf numFmtId="0" fontId="12" fillId="0" borderId="0" xfId="0" applyFont="1" applyAlignment="1">
      <alignment horizontal="left" indent="1"/>
    </xf>
    <xf numFmtId="0" fontId="16" fillId="0" borderId="0" xfId="0" applyFont="1" applyFill="1" applyAlignment="1">
      <alignment horizontal="left" indent="1"/>
    </xf>
    <xf numFmtId="0" fontId="5" fillId="0" borderId="66" xfId="0" applyFont="1" applyFill="1" applyBorder="1" applyAlignment="1">
      <alignment horizontal="center"/>
    </xf>
    <xf numFmtId="1" fontId="0" fillId="0" borderId="9" xfId="0" applyNumberFormat="1" applyFill="1" applyBorder="1"/>
    <xf numFmtId="10" fontId="0" fillId="0" borderId="0" xfId="2" applyNumberFormat="1" applyFont="1" applyFill="1"/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12" fillId="0" borderId="32" xfId="0" applyFont="1" applyFill="1" applyBorder="1"/>
    <xf numFmtId="0" fontId="4" fillId="0" borderId="3" xfId="0" applyFont="1" applyFill="1" applyBorder="1" applyAlignment="1">
      <alignment horizontal="left"/>
    </xf>
    <xf numFmtId="0" fontId="4" fillId="0" borderId="11" xfId="0" applyFont="1" applyFill="1" applyBorder="1"/>
    <xf numFmtId="0" fontId="4" fillId="0" borderId="4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66" xfId="0" applyFont="1" applyFill="1" applyBorder="1" applyAlignment="1">
      <alignment horizontal="center"/>
    </xf>
    <xf numFmtId="0" fontId="4" fillId="0" borderId="5" xfId="0" applyFont="1" applyFill="1" applyBorder="1"/>
    <xf numFmtId="49" fontId="12" fillId="0" borderId="0" xfId="0" applyNumberFormat="1" applyFont="1" applyFill="1" applyAlignment="1">
      <alignment horizontal="left" indent="1"/>
    </xf>
    <xf numFmtId="0" fontId="12" fillId="0" borderId="0" xfId="0" applyFont="1" applyFill="1" applyAlignment="1">
      <alignment horizontal="right"/>
    </xf>
    <xf numFmtId="0" fontId="12" fillId="0" borderId="0" xfId="0" applyFont="1" applyFill="1" applyAlignment="1">
      <alignment horizontal="left" indent="1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37" fontId="4" fillId="0" borderId="4" xfId="0" applyNumberFormat="1" applyFont="1" applyFill="1" applyBorder="1" applyAlignment="1">
      <alignment horizontal="right"/>
    </xf>
    <xf numFmtId="37" fontId="4" fillId="0" borderId="4" xfId="0" applyNumberFormat="1" applyFont="1" applyFill="1" applyBorder="1"/>
    <xf numFmtId="37" fontId="4" fillId="0" borderId="5" xfId="0" applyNumberFormat="1" applyFont="1" applyFill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37" fontId="4" fillId="0" borderId="0" xfId="0" applyNumberFormat="1" applyFont="1" applyBorder="1"/>
    <xf numFmtId="37" fontId="4" fillId="0" borderId="0" xfId="0" applyNumberFormat="1" applyFont="1" applyBorder="1" applyAlignment="1">
      <alignment horizontal="right"/>
    </xf>
    <xf numFmtId="10" fontId="12" fillId="0" borderId="0" xfId="0" applyNumberFormat="1" applyFont="1" applyFill="1"/>
    <xf numFmtId="170" fontId="0" fillId="0" borderId="0" xfId="0" applyNumberFormat="1" applyFill="1" applyAlignment="1">
      <alignment horizontal="center"/>
    </xf>
    <xf numFmtId="3" fontId="0" fillId="0" borderId="53" xfId="0" applyNumberFormat="1" applyFill="1" applyBorder="1"/>
    <xf numFmtId="165" fontId="0" fillId="0" borderId="53" xfId="0" applyNumberFormat="1" applyFill="1" applyBorder="1"/>
    <xf numFmtId="0" fontId="7" fillId="0" borderId="0" xfId="0" quotePrefix="1" applyFont="1"/>
    <xf numFmtId="0" fontId="7" fillId="0" borderId="0" xfId="0" applyFont="1" applyBorder="1"/>
    <xf numFmtId="0" fontId="0" fillId="0" borderId="9" xfId="0" applyBorder="1"/>
    <xf numFmtId="3" fontId="0" fillId="0" borderId="85" xfId="0" applyNumberFormat="1" applyFill="1" applyBorder="1"/>
    <xf numFmtId="0" fontId="14" fillId="3" borderId="86" xfId="0" applyFont="1" applyFill="1" applyBorder="1" applyAlignment="1">
      <alignment horizontal="right"/>
    </xf>
    <xf numFmtId="0" fontId="14" fillId="3" borderId="87" xfId="0" applyFont="1" applyFill="1" applyBorder="1" applyAlignment="1">
      <alignment horizontal="right"/>
    </xf>
    <xf numFmtId="0" fontId="14" fillId="3" borderId="88" xfId="0" applyFont="1" applyFill="1" applyBorder="1" applyAlignment="1">
      <alignment horizontal="right"/>
    </xf>
    <xf numFmtId="0" fontId="0" fillId="0" borderId="89" xfId="0" applyFill="1" applyBorder="1"/>
    <xf numFmtId="3" fontId="0" fillId="0" borderId="90" xfId="0" applyNumberFormat="1" applyFill="1" applyBorder="1"/>
    <xf numFmtId="0" fontId="0" fillId="0" borderId="91" xfId="0" applyFill="1" applyBorder="1"/>
    <xf numFmtId="3" fontId="0" fillId="0" borderId="92" xfId="0" applyNumberFormat="1" applyFill="1" applyBorder="1"/>
    <xf numFmtId="0" fontId="0" fillId="0" borderId="93" xfId="0" applyFill="1" applyBorder="1"/>
    <xf numFmtId="0" fontId="0" fillId="0" borderId="94" xfId="0" applyFill="1" applyBorder="1"/>
    <xf numFmtId="0" fontId="0" fillId="0" borderId="90" xfId="0" applyFill="1" applyBorder="1"/>
    <xf numFmtId="0" fontId="0" fillId="0" borderId="89" xfId="0" quotePrefix="1" applyFill="1" applyBorder="1"/>
    <xf numFmtId="165" fontId="0" fillId="0" borderId="90" xfId="0" applyNumberFormat="1" applyFill="1" applyBorder="1"/>
    <xf numFmtId="0" fontId="0" fillId="0" borderId="87" xfId="0" applyFill="1" applyBorder="1"/>
    <xf numFmtId="0" fontId="0" fillId="0" borderId="88" xfId="0" applyFill="1" applyBorder="1"/>
    <xf numFmtId="170" fontId="0" fillId="0" borderId="10" xfId="0" applyNumberFormat="1" applyFill="1" applyBorder="1"/>
    <xf numFmtId="0" fontId="18" fillId="0" borderId="0" xfId="0" applyFont="1" applyFill="1"/>
    <xf numFmtId="0" fontId="21" fillId="0" borderId="0" xfId="0" applyFont="1" applyFill="1" applyAlignment="1">
      <alignment horizontal="left"/>
    </xf>
    <xf numFmtId="0" fontId="19" fillId="0" borderId="0" xfId="0" applyFont="1" applyFill="1"/>
    <xf numFmtId="0" fontId="20" fillId="0" borderId="0" xfId="0" applyFont="1" applyFill="1"/>
    <xf numFmtId="0" fontId="25" fillId="0" borderId="0" xfId="0" applyFont="1" applyFill="1"/>
    <xf numFmtId="0" fontId="21" fillId="0" borderId="0" xfId="0" applyFont="1" applyFill="1"/>
    <xf numFmtId="0" fontId="4" fillId="0" borderId="2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22" fillId="0" borderId="0" xfId="0" applyFont="1" applyFill="1"/>
    <xf numFmtId="0" fontId="22" fillId="0" borderId="0" xfId="0" applyFont="1" applyFill="1" applyAlignment="1">
      <alignment horizontal="left" indent="1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/>
    </xf>
    <xf numFmtId="0" fontId="21" fillId="0" borderId="1" xfId="0" applyFont="1" applyFill="1" applyBorder="1"/>
    <xf numFmtId="0" fontId="21" fillId="0" borderId="2" xfId="0" applyFont="1" applyFill="1" applyBorder="1"/>
    <xf numFmtId="0" fontId="21" fillId="0" borderId="2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left"/>
    </xf>
    <xf numFmtId="37" fontId="21" fillId="0" borderId="4" xfId="0" applyNumberFormat="1" applyFont="1" applyFill="1" applyBorder="1" applyAlignment="1">
      <alignment horizontal="center"/>
    </xf>
    <xf numFmtId="37" fontId="21" fillId="0" borderId="15" xfId="0" applyNumberFormat="1" applyFont="1" applyFill="1" applyBorder="1" applyAlignment="1">
      <alignment horizontal="center"/>
    </xf>
    <xf numFmtId="37" fontId="18" fillId="0" borderId="0" xfId="0" applyNumberFormat="1" applyFont="1" applyFill="1"/>
    <xf numFmtId="37" fontId="22" fillId="0" borderId="0" xfId="0" applyNumberFormat="1" applyFont="1" applyFill="1" applyAlignment="1">
      <alignment horizontal="center"/>
    </xf>
    <xf numFmtId="165" fontId="22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wrapText="1"/>
    </xf>
    <xf numFmtId="165" fontId="22" fillId="0" borderId="0" xfId="0" applyNumberFormat="1" applyFont="1" applyFill="1"/>
    <xf numFmtId="0" fontId="18" fillId="0" borderId="0" xfId="0" applyFont="1" applyFill="1" applyAlignment="1">
      <alignment horizontal="center"/>
    </xf>
    <xf numFmtId="0" fontId="29" fillId="0" borderId="32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43" xfId="0" applyFont="1" applyBorder="1" applyAlignment="1">
      <alignment horizontal="right"/>
    </xf>
    <xf numFmtId="0" fontId="29" fillId="0" borderId="3" xfId="0" applyFont="1" applyBorder="1" applyAlignment="1">
      <alignment horizontal="center"/>
    </xf>
    <xf numFmtId="0" fontId="29" fillId="0" borderId="43" xfId="0" applyFont="1" applyBorder="1" applyAlignment="1">
      <alignment horizontal="center"/>
    </xf>
    <xf numFmtId="0" fontId="29" fillId="0" borderId="10" xfId="0" applyFont="1" applyBorder="1" applyAlignment="1">
      <alignment horizontal="left"/>
    </xf>
    <xf numFmtId="0" fontId="29" fillId="0" borderId="95" xfId="0" applyFont="1" applyBorder="1"/>
    <xf numFmtId="0" fontId="29" fillId="0" borderId="6" xfId="0" applyFont="1" applyBorder="1" applyAlignment="1">
      <alignment horizontal="center"/>
    </xf>
    <xf numFmtId="0" fontId="29" fillId="0" borderId="95" xfId="0" applyFont="1" applyBorder="1" applyAlignment="1">
      <alignment horizontal="center"/>
    </xf>
    <xf numFmtId="0" fontId="29" fillId="0" borderId="96" xfId="0" applyFont="1" applyBorder="1"/>
    <xf numFmtId="0" fontId="28" fillId="0" borderId="95" xfId="0" applyFont="1" applyBorder="1"/>
    <xf numFmtId="0" fontId="28" fillId="0" borderId="6" xfId="0" applyFont="1" applyBorder="1"/>
    <xf numFmtId="0" fontId="10" fillId="0" borderId="10" xfId="0" applyFont="1" applyBorder="1" applyAlignment="1">
      <alignment horizontal="left"/>
    </xf>
    <xf numFmtId="165" fontId="28" fillId="0" borderId="0" xfId="0" applyNumberFormat="1" applyFont="1"/>
    <xf numFmtId="165" fontId="28" fillId="0" borderId="0" xfId="0" applyNumberFormat="1" applyFont="1" applyBorder="1"/>
    <xf numFmtId="165" fontId="28" fillId="0" borderId="97" xfId="0" applyNumberFormat="1" applyFont="1" applyBorder="1"/>
    <xf numFmtId="165" fontId="28" fillId="0" borderId="6" xfId="0" applyNumberFormat="1" applyFont="1" applyBorder="1"/>
    <xf numFmtId="165" fontId="28" fillId="0" borderId="95" xfId="0" applyNumberFormat="1" applyFont="1" applyBorder="1"/>
    <xf numFmtId="0" fontId="28" fillId="0" borderId="1" xfId="0" applyFont="1" applyBorder="1"/>
    <xf numFmtId="0" fontId="28" fillId="0" borderId="2" xfId="0" applyFont="1" applyBorder="1"/>
    <xf numFmtId="0" fontId="28" fillId="0" borderId="43" xfId="0" applyFont="1" applyBorder="1"/>
    <xf numFmtId="0" fontId="28" fillId="0" borderId="3" xfId="0" applyFont="1" applyBorder="1"/>
    <xf numFmtId="0" fontId="28" fillId="0" borderId="11" xfId="0" applyFont="1" applyBorder="1" applyAlignment="1">
      <alignment horizontal="left"/>
    </xf>
    <xf numFmtId="165" fontId="28" fillId="0" borderId="4" xfId="0" applyNumberFormat="1" applyFont="1" applyBorder="1"/>
    <xf numFmtId="165" fontId="28" fillId="0" borderId="96" xfId="0" applyNumberFormat="1" applyFont="1" applyBorder="1"/>
    <xf numFmtId="165" fontId="28" fillId="0" borderId="5" xfId="0" applyNumberFormat="1" applyFont="1" applyBorder="1"/>
    <xf numFmtId="49" fontId="29" fillId="0" borderId="5" xfId="0" applyNumberFormat="1" applyFont="1" applyBorder="1" applyAlignment="1">
      <alignment horizontal="center"/>
    </xf>
    <xf numFmtId="0" fontId="0" fillId="0" borderId="75" xfId="0" applyFill="1" applyBorder="1"/>
    <xf numFmtId="0" fontId="0" fillId="0" borderId="104" xfId="0" applyFill="1" applyBorder="1"/>
    <xf numFmtId="0" fontId="0" fillId="0" borderId="105" xfId="0" applyFill="1" applyBorder="1"/>
    <xf numFmtId="0" fontId="0" fillId="0" borderId="55" xfId="0" applyFill="1" applyBorder="1"/>
    <xf numFmtId="0" fontId="0" fillId="0" borderId="106" xfId="0" applyFill="1" applyBorder="1"/>
    <xf numFmtId="0" fontId="0" fillId="0" borderId="86" xfId="0" applyFill="1" applyBorder="1"/>
    <xf numFmtId="3" fontId="0" fillId="0" borderId="89" xfId="0" applyNumberFormat="1" applyFill="1" applyBorder="1"/>
    <xf numFmtId="165" fontId="0" fillId="0" borderId="89" xfId="0" applyNumberFormat="1" applyFill="1" applyBorder="1"/>
    <xf numFmtId="3" fontId="0" fillId="0" borderId="91" xfId="0" applyNumberFormat="1" applyFill="1" applyBorder="1"/>
    <xf numFmtId="37" fontId="0" fillId="0" borderId="55" xfId="0" quotePrefix="1" applyNumberFormat="1" applyFill="1" applyBorder="1"/>
    <xf numFmtId="37" fontId="0" fillId="0" borderId="75" xfId="0" applyNumberFormat="1" applyFill="1" applyBorder="1"/>
    <xf numFmtId="0" fontId="14" fillId="3" borderId="105" xfId="0" applyFont="1" applyFill="1" applyBorder="1" applyAlignment="1">
      <alignment horizontal="right"/>
    </xf>
    <xf numFmtId="37" fontId="0" fillId="0" borderId="56" xfId="0" applyNumberFormat="1" applyFill="1" applyBorder="1"/>
    <xf numFmtId="37" fontId="0" fillId="0" borderId="107" xfId="0" applyNumberFormat="1" applyFill="1" applyBorder="1"/>
    <xf numFmtId="49" fontId="12" fillId="0" borderId="0" xfId="0" applyNumberFormat="1" applyFont="1" applyAlignment="1">
      <alignment horizontal="left"/>
    </xf>
    <xf numFmtId="0" fontId="12" fillId="0" borderId="66" xfId="0" applyFont="1" applyBorder="1" applyAlignment="1">
      <alignment horizontal="left"/>
    </xf>
    <xf numFmtId="165" fontId="12" fillId="0" borderId="0" xfId="2" applyNumberFormat="1" applyFont="1"/>
    <xf numFmtId="0" fontId="12" fillId="0" borderId="12" xfId="0" applyFont="1" applyBorder="1"/>
    <xf numFmtId="0" fontId="12" fillId="0" borderId="12" xfId="0" applyFont="1" applyBorder="1" applyAlignment="1">
      <alignment horizontal="left"/>
    </xf>
    <xf numFmtId="171" fontId="12" fillId="0" borderId="12" xfId="0" applyNumberFormat="1" applyFont="1" applyBorder="1"/>
    <xf numFmtId="10" fontId="12" fillId="0" borderId="12" xfId="0" applyNumberFormat="1" applyFont="1" applyBorder="1"/>
    <xf numFmtId="0" fontId="0" fillId="0" borderId="12" xfId="0" applyFill="1" applyBorder="1" applyAlignment="1">
      <alignment horizontal="left"/>
    </xf>
    <xf numFmtId="37" fontId="0" fillId="0" borderId="108" xfId="0" applyNumberFormat="1" applyFill="1" applyBorder="1"/>
    <xf numFmtId="0" fontId="12" fillId="0" borderId="0" xfId="0" applyFont="1" applyFill="1" applyAlignment="1">
      <alignment horizontal="center"/>
    </xf>
    <xf numFmtId="1" fontId="12" fillId="0" borderId="0" xfId="0" applyNumberFormat="1" applyFont="1" applyFill="1"/>
    <xf numFmtId="165" fontId="12" fillId="0" borderId="0" xfId="0" applyNumberFormat="1" applyFont="1" applyFill="1"/>
    <xf numFmtId="165" fontId="12" fillId="0" borderId="0" xfId="0" applyNumberFormat="1" applyFont="1" applyFill="1" applyAlignment="1">
      <alignment horizontal="center"/>
    </xf>
    <xf numFmtId="37" fontId="12" fillId="0" borderId="0" xfId="0" applyNumberFormat="1" applyFont="1" applyFill="1" applyAlignment="1">
      <alignment horizontal="right"/>
    </xf>
    <xf numFmtId="164" fontId="0" fillId="0" borderId="0" xfId="0" applyNumberFormat="1" applyFill="1"/>
    <xf numFmtId="0" fontId="11" fillId="0" borderId="0" xfId="0" applyFont="1" applyFill="1"/>
    <xf numFmtId="0" fontId="11" fillId="0" borderId="0" xfId="0" applyFont="1" applyFill="1" applyAlignment="1">
      <alignment horizontal="left"/>
    </xf>
    <xf numFmtId="9" fontId="0" fillId="0" borderId="0" xfId="2" applyFont="1" applyFill="1"/>
    <xf numFmtId="0" fontId="29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29" fillId="0" borderId="4" xfId="0" applyFont="1" applyFill="1" applyBorder="1"/>
    <xf numFmtId="0" fontId="4" fillId="0" borderId="4" xfId="0" applyFont="1" applyFill="1" applyBorder="1"/>
    <xf numFmtId="0" fontId="4" fillId="0" borderId="5" xfId="0" applyFont="1" applyFill="1" applyBorder="1" applyAlignment="1">
      <alignment horizontal="left"/>
    </xf>
    <xf numFmtId="37" fontId="4" fillId="0" borderId="4" xfId="0" applyNumberFormat="1" applyFont="1" applyFill="1" applyBorder="1" applyAlignment="1">
      <alignment horizontal="center"/>
    </xf>
    <xf numFmtId="10" fontId="12" fillId="0" borderId="15" xfId="0" applyNumberFormat="1" applyFont="1" applyFill="1" applyBorder="1"/>
    <xf numFmtId="37" fontId="4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37" fontId="12" fillId="0" borderId="0" xfId="0" applyNumberFormat="1" applyFont="1" applyFill="1" applyAlignment="1">
      <alignment horizontal="center"/>
    </xf>
    <xf numFmtId="165" fontId="12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wrapText="1"/>
    </xf>
    <xf numFmtId="0" fontId="7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6" xfId="0" applyFont="1" applyFill="1" applyBorder="1"/>
    <xf numFmtId="0" fontId="4" fillId="0" borderId="4" xfId="0" applyFont="1" applyFill="1" applyBorder="1" applyAlignment="1">
      <alignment horizontal="left"/>
    </xf>
    <xf numFmtId="3" fontId="12" fillId="0" borderId="0" xfId="0" applyNumberFormat="1" applyFont="1" applyFill="1"/>
    <xf numFmtId="171" fontId="12" fillId="0" borderId="0" xfId="0" applyNumberFormat="1" applyFont="1" applyFill="1"/>
    <xf numFmtId="0" fontId="12" fillId="0" borderId="0" xfId="0" applyFont="1" applyFill="1" applyAlignment="1">
      <alignment horizontal="centerContinuous"/>
    </xf>
    <xf numFmtId="0" fontId="12" fillId="0" borderId="12" xfId="0" applyFont="1" applyFill="1" applyBorder="1"/>
    <xf numFmtId="0" fontId="12" fillId="0" borderId="12" xfId="0" applyFont="1" applyFill="1" applyBorder="1" applyAlignment="1">
      <alignment horizontal="left"/>
    </xf>
    <xf numFmtId="3" fontId="12" fillId="0" borderId="12" xfId="0" applyNumberFormat="1" applyFont="1" applyFill="1" applyBorder="1"/>
    <xf numFmtId="171" fontId="12" fillId="0" borderId="12" xfId="0" applyNumberFormat="1" applyFont="1" applyFill="1" applyBorder="1"/>
    <xf numFmtId="10" fontId="12" fillId="0" borderId="12" xfId="0" applyNumberFormat="1" applyFont="1" applyFill="1" applyBorder="1"/>
    <xf numFmtId="0" fontId="12" fillId="0" borderId="0" xfId="0" applyFont="1" applyFill="1" applyBorder="1"/>
    <xf numFmtId="0" fontId="28" fillId="0" borderId="0" xfId="0" applyFont="1" applyFill="1" applyAlignment="1">
      <alignment horizontal="left"/>
    </xf>
    <xf numFmtId="0" fontId="28" fillId="0" borderId="0" xfId="0" applyFont="1" applyFill="1"/>
    <xf numFmtId="0" fontId="28" fillId="0" borderId="0" xfId="0" applyFont="1" applyFill="1" applyAlignment="1">
      <alignment horizontal="center"/>
    </xf>
    <xf numFmtId="171" fontId="28" fillId="0" borderId="0" xfId="0" applyNumberFormat="1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10" xfId="0" applyFont="1" applyFill="1" applyBorder="1"/>
    <xf numFmtId="0" fontId="4" fillId="0" borderId="11" xfId="0" applyFont="1" applyFill="1" applyBorder="1" applyAlignment="1">
      <alignment horizontal="left"/>
    </xf>
    <xf numFmtId="172" fontId="12" fillId="0" borderId="0" xfId="0" applyNumberFormat="1" applyFont="1" applyFill="1"/>
    <xf numFmtId="1" fontId="12" fillId="0" borderId="0" xfId="0" applyNumberFormat="1" applyFont="1" applyFill="1" applyAlignment="1">
      <alignment horizontal="center"/>
    </xf>
    <xf numFmtId="37" fontId="12" fillId="0" borderId="0" xfId="0" applyNumberFormat="1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12" fillId="0" borderId="7" xfId="0" applyFont="1" applyFill="1" applyBorder="1"/>
    <xf numFmtId="165" fontId="12" fillId="0" borderId="0" xfId="2" applyNumberFormat="1" applyFont="1" applyFill="1"/>
    <xf numFmtId="0" fontId="18" fillId="0" borderId="0" xfId="0" applyFont="1" applyFill="1" applyAlignment="1">
      <alignment horizontal="left"/>
    </xf>
    <xf numFmtId="164" fontId="18" fillId="0" borderId="0" xfId="0" applyNumberFormat="1" applyFont="1" applyFill="1"/>
    <xf numFmtId="0" fontId="19" fillId="0" borderId="0" xfId="0" applyFont="1" applyFill="1" applyAlignment="1">
      <alignment horizontal="left"/>
    </xf>
    <xf numFmtId="0" fontId="18" fillId="0" borderId="66" xfId="0" applyFont="1" applyFill="1" applyBorder="1"/>
    <xf numFmtId="165" fontId="18" fillId="0" borderId="0" xfId="0" applyNumberFormat="1" applyFont="1" applyFill="1" applyAlignment="1">
      <alignment horizont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left"/>
    </xf>
    <xf numFmtId="0" fontId="23" fillId="0" borderId="0" xfId="0" applyFont="1" applyFill="1"/>
    <xf numFmtId="0" fontId="23" fillId="0" borderId="0" xfId="0" applyFont="1" applyFill="1" applyAlignment="1">
      <alignment horizontal="centerContinuous"/>
    </xf>
    <xf numFmtId="0" fontId="21" fillId="0" borderId="1" xfId="0" applyFont="1" applyFill="1" applyBorder="1" applyAlignment="1">
      <alignment horizontal="left"/>
    </xf>
    <xf numFmtId="0" fontId="21" fillId="0" borderId="2" xfId="0" applyFont="1" applyFill="1" applyBorder="1" applyAlignment="1">
      <alignment horizontal="centerContinuous"/>
    </xf>
    <xf numFmtId="0" fontId="21" fillId="0" borderId="2" xfId="0" applyFont="1" applyFill="1" applyBorder="1" applyAlignment="1">
      <alignment horizontal="left"/>
    </xf>
    <xf numFmtId="0" fontId="21" fillId="0" borderId="3" xfId="0" applyFont="1" applyFill="1" applyBorder="1"/>
    <xf numFmtId="0" fontId="21" fillId="0" borderId="10" xfId="0" applyFont="1" applyFill="1" applyBorder="1" applyAlignment="1">
      <alignment horizontal="left"/>
    </xf>
    <xf numFmtId="0" fontId="21" fillId="0" borderId="6" xfId="0" applyFont="1" applyFill="1" applyBorder="1"/>
    <xf numFmtId="0" fontId="21" fillId="0" borderId="11" xfId="0" applyFont="1" applyFill="1" applyBorder="1"/>
    <xf numFmtId="0" fontId="21" fillId="0" borderId="4" xfId="0" applyFont="1" applyFill="1" applyBorder="1"/>
    <xf numFmtId="0" fontId="21" fillId="0" borderId="4" xfId="0" applyFont="1" applyFill="1" applyBorder="1" applyAlignment="1">
      <alignment horizontal="centerContinuous"/>
    </xf>
    <xf numFmtId="0" fontId="21" fillId="0" borderId="4" xfId="0" applyFont="1" applyFill="1" applyBorder="1" applyAlignment="1">
      <alignment horizontal="left"/>
    </xf>
    <xf numFmtId="0" fontId="21" fillId="0" borderId="5" xfId="0" applyFont="1" applyFill="1" applyBorder="1"/>
    <xf numFmtId="171" fontId="22" fillId="0" borderId="0" xfId="0" applyNumberFormat="1" applyFont="1" applyFill="1"/>
    <xf numFmtId="10" fontId="22" fillId="0" borderId="0" xfId="0" applyNumberFormat="1" applyFont="1" applyFill="1"/>
    <xf numFmtId="0" fontId="22" fillId="0" borderId="12" xfId="0" applyFont="1" applyFill="1" applyBorder="1"/>
    <xf numFmtId="0" fontId="22" fillId="0" borderId="12" xfId="0" applyFont="1" applyFill="1" applyBorder="1" applyAlignment="1">
      <alignment horizontal="left"/>
    </xf>
    <xf numFmtId="0" fontId="18" fillId="0" borderId="12" xfId="0" applyFont="1" applyFill="1" applyBorder="1"/>
    <xf numFmtId="171" fontId="22" fillId="0" borderId="12" xfId="0" applyNumberFormat="1" applyFont="1" applyFill="1" applyBorder="1"/>
    <xf numFmtId="10" fontId="22" fillId="0" borderId="12" xfId="0" applyNumberFormat="1" applyFont="1" applyFill="1" applyBorder="1"/>
    <xf numFmtId="0" fontId="24" fillId="0" borderId="0" xfId="0" applyFont="1" applyFill="1" applyAlignment="1">
      <alignment horizontal="left"/>
    </xf>
    <xf numFmtId="37" fontId="24" fillId="0" borderId="0" xfId="0" applyNumberFormat="1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23" fillId="0" borderId="66" xfId="0" applyFont="1" applyFill="1" applyBorder="1"/>
    <xf numFmtId="0" fontId="21" fillId="0" borderId="10" xfId="0" applyFont="1" applyFill="1" applyBorder="1"/>
    <xf numFmtId="0" fontId="21" fillId="0" borderId="4" xfId="0" applyFont="1" applyFill="1" applyBorder="1" applyAlignment="1">
      <alignment horizontal="center"/>
    </xf>
    <xf numFmtId="37" fontId="21" fillId="0" borderId="4" xfId="0" applyNumberFormat="1" applyFont="1" applyFill="1" applyBorder="1" applyAlignment="1">
      <alignment horizontal="right"/>
    </xf>
    <xf numFmtId="37" fontId="21" fillId="0" borderId="5" xfId="0" applyNumberFormat="1" applyFont="1" applyFill="1" applyBorder="1" applyAlignment="1">
      <alignment horizontal="right"/>
    </xf>
    <xf numFmtId="37" fontId="22" fillId="0" borderId="0" xfId="0" applyNumberFormat="1" applyFont="1" applyFill="1"/>
    <xf numFmtId="3" fontId="22" fillId="0" borderId="0" xfId="0" applyNumberFormat="1" applyFont="1" applyFill="1"/>
    <xf numFmtId="172" fontId="22" fillId="0" borderId="0" xfId="0" applyNumberFormat="1" applyFont="1" applyFill="1"/>
    <xf numFmtId="0" fontId="18" fillId="0" borderId="0" xfId="0" applyFont="1" applyFill="1" applyBorder="1" applyAlignment="1">
      <alignment horizontal="left"/>
    </xf>
    <xf numFmtId="37" fontId="21" fillId="0" borderId="5" xfId="0" applyNumberFormat="1" applyFont="1" applyFill="1" applyBorder="1" applyAlignment="1">
      <alignment horizontal="center"/>
    </xf>
    <xf numFmtId="0" fontId="21" fillId="0" borderId="2" xfId="0" applyFont="1" applyFill="1" applyBorder="1" applyAlignment="1">
      <alignment horizontal="right"/>
    </xf>
    <xf numFmtId="0" fontId="21" fillId="0" borderId="0" xfId="0" applyFont="1" applyFill="1" applyBorder="1" applyAlignment="1">
      <alignment horizontal="left"/>
    </xf>
    <xf numFmtId="0" fontId="27" fillId="0" borderId="0" xfId="0" applyFont="1" applyFill="1" applyAlignment="1">
      <alignment horizontal="left"/>
    </xf>
    <xf numFmtId="0" fontId="22" fillId="0" borderId="7" xfId="0" applyFont="1" applyFill="1" applyBorder="1"/>
    <xf numFmtId="165" fontId="17" fillId="0" borderId="6" xfId="0" applyNumberFormat="1" applyFont="1" applyFill="1" applyBorder="1"/>
    <xf numFmtId="37" fontId="26" fillId="0" borderId="10" xfId="0" applyNumberFormat="1" applyFont="1" applyFill="1" applyBorder="1"/>
    <xf numFmtId="10" fontId="0" fillId="0" borderId="24" xfId="0" applyNumberFormat="1" applyFill="1" applyBorder="1"/>
    <xf numFmtId="10" fontId="2" fillId="0" borderId="5" xfId="0" applyNumberFormat="1" applyFont="1" applyFill="1" applyBorder="1"/>
    <xf numFmtId="37" fontId="12" fillId="0" borderId="0" xfId="0" applyNumberFormat="1" applyFont="1" applyFill="1" applyBorder="1"/>
    <xf numFmtId="37" fontId="12" fillId="0" borderId="12" xfId="0" applyNumberFormat="1" applyFont="1" applyFill="1" applyBorder="1"/>
    <xf numFmtId="1" fontId="0" fillId="0" borderId="0" xfId="0" applyNumberFormat="1"/>
    <xf numFmtId="1" fontId="12" fillId="0" borderId="0" xfId="0" applyNumberFormat="1" applyFont="1" applyFill="1" applyAlignment="1">
      <alignment horizontal="right"/>
    </xf>
    <xf numFmtId="0" fontId="29" fillId="0" borderId="0" xfId="0" quotePrefix="1" applyFont="1"/>
    <xf numFmtId="0" fontId="0" fillId="4" borderId="0" xfId="0" applyFill="1"/>
    <xf numFmtId="0" fontId="5" fillId="0" borderId="32" xfId="0" applyFont="1" applyFill="1" applyBorder="1" applyAlignment="1">
      <alignment horizontal="center"/>
    </xf>
    <xf numFmtId="173" fontId="12" fillId="0" borderId="0" xfId="0" applyNumberFormat="1" applyFont="1" applyAlignment="1">
      <alignment horizontal="center"/>
    </xf>
    <xf numFmtId="173" fontId="12" fillId="0" borderId="0" xfId="0" applyNumberFormat="1" applyFont="1" applyAlignment="1">
      <alignment horizontal="right"/>
    </xf>
    <xf numFmtId="173" fontId="12" fillId="0" borderId="0" xfId="0" applyNumberFormat="1" applyFont="1" applyFill="1"/>
    <xf numFmtId="0" fontId="12" fillId="0" borderId="32" xfId="0" applyFont="1" applyBorder="1"/>
    <xf numFmtId="0" fontId="12" fillId="0" borderId="66" xfId="0" applyFont="1" applyBorder="1"/>
    <xf numFmtId="174" fontId="0" fillId="0" borderId="0" xfId="1" applyNumberFormat="1" applyFont="1"/>
    <xf numFmtId="172" fontId="12" fillId="0" borderId="0" xfId="0" applyNumberFormat="1" applyFont="1"/>
    <xf numFmtId="0" fontId="29" fillId="0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0" fillId="0" borderId="100" xfId="0" applyFill="1" applyBorder="1" applyAlignment="1">
      <alignment horizontal="center"/>
    </xf>
    <xf numFmtId="0" fontId="0" fillId="0" borderId="84" xfId="0" applyFill="1" applyBorder="1" applyAlignment="1">
      <alignment horizontal="center"/>
    </xf>
    <xf numFmtId="0" fontId="0" fillId="0" borderId="101" xfId="0" applyFill="1" applyBorder="1" applyAlignment="1">
      <alignment horizontal="center"/>
    </xf>
    <xf numFmtId="0" fontId="0" fillId="0" borderId="100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101" xfId="0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7" fillId="0" borderId="3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23" fillId="0" borderId="31" xfId="0" applyFont="1" applyFill="1" applyBorder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49" fontId="0" fillId="0" borderId="100" xfId="0" applyNumberFormat="1" applyFill="1" applyBorder="1" applyAlignment="1">
      <alignment horizontal="center"/>
    </xf>
    <xf numFmtId="49" fontId="0" fillId="0" borderId="84" xfId="0" applyNumberFormat="1" applyFill="1" applyBorder="1" applyAlignment="1">
      <alignment horizontal="center"/>
    </xf>
    <xf numFmtId="49" fontId="0" fillId="0" borderId="101" xfId="0" applyNumberForma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7" fillId="0" borderId="99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7" fillId="0" borderId="98" xfId="0" applyFont="1" applyFill="1" applyBorder="1" applyAlignment="1">
      <alignment horizontal="center"/>
    </xf>
    <xf numFmtId="0" fontId="7" fillId="0" borderId="102" xfId="0" applyFont="1" applyFill="1" applyBorder="1" applyAlignment="1">
      <alignment horizontal="center"/>
    </xf>
    <xf numFmtId="0" fontId="7" fillId="0" borderId="10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left" wrapText="1"/>
    </xf>
    <xf numFmtId="0" fontId="4" fillId="0" borderId="32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173" fontId="22" fillId="0" borderId="0" xfId="0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SUMMARY!$C$9</c:f>
              <c:numCache>
                <c:formatCode>#,##0</c:formatCode>
                <c:ptCount val="1"/>
                <c:pt idx="0">
                  <c:v>11627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7-4D3D-A730-49FB656EBD15}"/>
            </c:ext>
          </c:extLst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SUMMARY!$D$9</c:f>
              <c:numCache>
                <c:formatCode>#,##0</c:formatCode>
                <c:ptCount val="1"/>
                <c:pt idx="0">
                  <c:v>11556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D7-4D3D-A730-49FB656EBD15}"/>
            </c:ext>
          </c:extLst>
        </c:ser>
        <c:ser>
          <c:idx val="2"/>
          <c:order val="2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SUMMARY!$E$9</c:f>
              <c:numCache>
                <c:formatCode>#,##0</c:formatCode>
                <c:ptCount val="1"/>
                <c:pt idx="0">
                  <c:v>11514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7-4D3D-A730-49FB656EBD15}"/>
            </c:ext>
          </c:extLst>
        </c:ser>
        <c:ser>
          <c:idx val="3"/>
          <c:order val="3"/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SUMMARY!$F$9</c:f>
              <c:numCache>
                <c:formatCode>#,##0</c:formatCode>
                <c:ptCount val="1"/>
                <c:pt idx="0">
                  <c:v>11416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D7-4D3D-A730-49FB656EBD15}"/>
            </c:ext>
          </c:extLst>
        </c:ser>
        <c:ser>
          <c:idx val="4"/>
          <c:order val="4"/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SUMMARY!$G$9</c:f>
              <c:numCache>
                <c:formatCode>#,##0</c:formatCode>
                <c:ptCount val="1"/>
                <c:pt idx="0">
                  <c:v>11386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D7-4D3D-A730-49FB656EBD15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SUMMARY!$H$9</c:f>
              <c:numCache>
                <c:formatCode>#,##0</c:formatCode>
                <c:ptCount val="1"/>
                <c:pt idx="0">
                  <c:v>11328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D7-4D3D-A730-49FB656EBD15}"/>
            </c:ext>
          </c:extLst>
        </c:ser>
        <c:ser>
          <c:idx val="6"/>
          <c:order val="6"/>
          <c:spPr>
            <a:solidFill>
              <a:srgbClr val="008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SUMMARY!$I$9</c:f>
              <c:numCache>
                <c:formatCode>#,##0</c:formatCode>
                <c:ptCount val="1"/>
                <c:pt idx="0">
                  <c:v>11313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D7-4D3D-A730-49FB656EBD15}"/>
            </c:ext>
          </c:extLst>
        </c:ser>
        <c:ser>
          <c:idx val="7"/>
          <c:order val="7"/>
          <c:spPr>
            <a:solidFill>
              <a:srgbClr val="C0C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SUMMARY!$J$9</c:f>
              <c:numCache>
                <c:formatCode>#,##0</c:formatCode>
                <c:ptCount val="1"/>
                <c:pt idx="0">
                  <c:v>11300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D7-4D3D-A730-49FB656EBD15}"/>
            </c:ext>
          </c:extLst>
        </c:ser>
        <c:ser>
          <c:idx val="8"/>
          <c:order val="8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SUMMARY!$K$9</c:f>
              <c:numCache>
                <c:formatCode>#,##0</c:formatCode>
                <c:ptCount val="1"/>
                <c:pt idx="0">
                  <c:v>11339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8D7-4D3D-A730-49FB656EBD15}"/>
            </c:ext>
          </c:extLst>
        </c:ser>
        <c:ser>
          <c:idx val="9"/>
          <c:order val="9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SUMMARY!$L$9</c:f>
              <c:numCache>
                <c:formatCode>#,##0</c:formatCode>
                <c:ptCount val="1"/>
                <c:pt idx="0">
                  <c:v>11369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8D7-4D3D-A730-49FB656EBD15}"/>
            </c:ext>
          </c:extLst>
        </c:ser>
        <c:ser>
          <c:idx val="10"/>
          <c:order val="1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SUMMARY!$M$9</c:f>
              <c:numCache>
                <c:formatCode>#,##0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C8D7-4D3D-A730-49FB656EB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821672"/>
        <c:axId val="204354576"/>
      </c:barChart>
      <c:catAx>
        <c:axId val="201821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354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4354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8216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366" r="0.7500000000000036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PROJECTED ENROLLMENT - 10 YEAR TREND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SUMMARY!$C$37:$M$37</c:f>
              <c:numCache>
                <c:formatCode>#,##0</c:formatCode>
                <c:ptCount val="11"/>
                <c:pt idx="0">
                  <c:v>11757</c:v>
                </c:pt>
                <c:pt idx="1">
                  <c:v>11811</c:v>
                </c:pt>
                <c:pt idx="2">
                  <c:v>11902</c:v>
                </c:pt>
                <c:pt idx="3">
                  <c:v>11925</c:v>
                </c:pt>
                <c:pt idx="4">
                  <c:v>12010</c:v>
                </c:pt>
                <c:pt idx="5">
                  <c:v>12068</c:v>
                </c:pt>
                <c:pt idx="6">
                  <c:v>12168</c:v>
                </c:pt>
                <c:pt idx="7">
                  <c:v>12275</c:v>
                </c:pt>
                <c:pt idx="8">
                  <c:v>12430</c:v>
                </c:pt>
                <c:pt idx="9">
                  <c:v>12575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D-44C4-8A18-E0A7A5D01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8976"/>
        <c:axId val="201637792"/>
      </c:lineChart>
      <c:catAx>
        <c:axId val="201618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SCHOOL YEAR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637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16377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1ST MONTH ENROLLMENT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61897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366" r="0.75000000000000366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ENROLLMENT PROJECTIONS</a:t>
            </a:r>
          </a:p>
        </c:rich>
      </c:tx>
      <c:layout>
        <c:manualLayout>
          <c:xMode val="edge"/>
          <c:yMode val="edge"/>
          <c:x val="0.42431595808978184"/>
          <c:y val="2.6041666666666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033894293709707E-2"/>
          <c:y val="0.16927104857260244"/>
          <c:w val="0.86473497944263555"/>
          <c:h val="0.67708419429041222"/>
        </c:manualLayout>
      </c:layout>
      <c:lineChart>
        <c:grouping val="standard"/>
        <c:varyColors val="0"/>
        <c:ser>
          <c:idx val="0"/>
          <c:order val="0"/>
          <c:tx>
            <c:strRef>
              <c:f>SUMMARY!$A$47</c:f>
              <c:strCache>
                <c:ptCount val="1"/>
                <c:pt idx="0">
                  <c:v> 3 YEAR</c:v>
                </c:pt>
              </c:strCache>
            </c:strRef>
          </c:tx>
          <c:cat>
            <c:strRef>
              <c:f>SUMMARY!$B$46:$L$46</c:f>
              <c:strCache>
                <c:ptCount val="11"/>
                <c:pt idx="0">
                  <c:v>2025-26 Current Year</c:v>
                </c:pt>
                <c:pt idx="1">
                  <c:v>2026-27</c:v>
                </c:pt>
                <c:pt idx="2">
                  <c:v>2027-28</c:v>
                </c:pt>
                <c:pt idx="3">
                  <c:v>2028-29</c:v>
                </c:pt>
                <c:pt idx="4">
                  <c:v>2029-30</c:v>
                </c:pt>
                <c:pt idx="5">
                  <c:v>2030-31</c:v>
                </c:pt>
                <c:pt idx="6">
                  <c:v>2031-32</c:v>
                </c:pt>
                <c:pt idx="7">
                  <c:v>2032-33</c:v>
                </c:pt>
                <c:pt idx="8">
                  <c:v>2033-34</c:v>
                </c:pt>
                <c:pt idx="9">
                  <c:v>2034-35</c:v>
                </c:pt>
                <c:pt idx="10">
                  <c:v>2035-36</c:v>
                </c:pt>
              </c:strCache>
            </c:strRef>
          </c:cat>
          <c:val>
            <c:numRef>
              <c:f>SUMMARY!$B$47:$L$47</c:f>
              <c:numCache>
                <c:formatCode>#,##0</c:formatCode>
                <c:ptCount val="11"/>
                <c:pt idx="0" formatCode="#,##0_);\(#,##0\)">
                  <c:v>11782</c:v>
                </c:pt>
                <c:pt idx="1">
                  <c:v>11627</c:v>
                </c:pt>
                <c:pt idx="2">
                  <c:v>11556</c:v>
                </c:pt>
                <c:pt idx="3">
                  <c:v>11514</c:v>
                </c:pt>
                <c:pt idx="4">
                  <c:v>11416</c:v>
                </c:pt>
                <c:pt idx="5">
                  <c:v>11386</c:v>
                </c:pt>
                <c:pt idx="6">
                  <c:v>11328</c:v>
                </c:pt>
                <c:pt idx="7">
                  <c:v>11313</c:v>
                </c:pt>
                <c:pt idx="8">
                  <c:v>11300</c:v>
                </c:pt>
                <c:pt idx="9">
                  <c:v>11339</c:v>
                </c:pt>
                <c:pt idx="10">
                  <c:v>11369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4-4733-B0D8-03D48589CFC0}"/>
            </c:ext>
          </c:extLst>
        </c:ser>
        <c:ser>
          <c:idx val="1"/>
          <c:order val="1"/>
          <c:tx>
            <c:strRef>
              <c:f>SUMMARY!$A$48</c:f>
              <c:strCache>
                <c:ptCount val="1"/>
                <c:pt idx="0">
                  <c:v> 5 YEAR</c:v>
                </c:pt>
              </c:strCache>
            </c:strRef>
          </c:tx>
          <c:cat>
            <c:strRef>
              <c:f>SUMMARY!$B$46:$L$46</c:f>
              <c:strCache>
                <c:ptCount val="11"/>
                <c:pt idx="0">
                  <c:v>2025-26 Current Year</c:v>
                </c:pt>
                <c:pt idx="1">
                  <c:v>2026-27</c:v>
                </c:pt>
                <c:pt idx="2">
                  <c:v>2027-28</c:v>
                </c:pt>
                <c:pt idx="3">
                  <c:v>2028-29</c:v>
                </c:pt>
                <c:pt idx="4">
                  <c:v>2029-30</c:v>
                </c:pt>
                <c:pt idx="5">
                  <c:v>2030-31</c:v>
                </c:pt>
                <c:pt idx="6">
                  <c:v>2031-32</c:v>
                </c:pt>
                <c:pt idx="7">
                  <c:v>2032-33</c:v>
                </c:pt>
                <c:pt idx="8">
                  <c:v>2033-34</c:v>
                </c:pt>
                <c:pt idx="9">
                  <c:v>2034-35</c:v>
                </c:pt>
                <c:pt idx="10">
                  <c:v>2035-36</c:v>
                </c:pt>
              </c:strCache>
            </c:strRef>
          </c:cat>
          <c:val>
            <c:numRef>
              <c:f>SUMMARY!$B$48:$L$48</c:f>
              <c:numCache>
                <c:formatCode>#,##0</c:formatCode>
                <c:ptCount val="11"/>
                <c:pt idx="0" formatCode="#,##0_);\(#,##0\)">
                  <c:v>11782</c:v>
                </c:pt>
                <c:pt idx="1">
                  <c:v>11704</c:v>
                </c:pt>
                <c:pt idx="2">
                  <c:v>11712</c:v>
                </c:pt>
                <c:pt idx="3">
                  <c:v>11761</c:v>
                </c:pt>
                <c:pt idx="4">
                  <c:v>11758</c:v>
                </c:pt>
                <c:pt idx="5">
                  <c:v>11813</c:v>
                </c:pt>
                <c:pt idx="6">
                  <c:v>11850</c:v>
                </c:pt>
                <c:pt idx="7">
                  <c:v>11935</c:v>
                </c:pt>
                <c:pt idx="8">
                  <c:v>12017</c:v>
                </c:pt>
                <c:pt idx="9">
                  <c:v>12151</c:v>
                </c:pt>
                <c:pt idx="10">
                  <c:v>12279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4-4733-B0D8-03D48589CFC0}"/>
            </c:ext>
          </c:extLst>
        </c:ser>
        <c:ser>
          <c:idx val="2"/>
          <c:order val="2"/>
          <c:tx>
            <c:strRef>
              <c:f>SUMMARY!$A$49</c:f>
              <c:strCache>
                <c:ptCount val="1"/>
                <c:pt idx="0">
                  <c:v> 10 YEAR</c:v>
                </c:pt>
              </c:strCache>
            </c:strRef>
          </c:tx>
          <c:cat>
            <c:strRef>
              <c:f>SUMMARY!$B$46:$L$46</c:f>
              <c:strCache>
                <c:ptCount val="11"/>
                <c:pt idx="0">
                  <c:v>2025-26 Current Year</c:v>
                </c:pt>
                <c:pt idx="1">
                  <c:v>2026-27</c:v>
                </c:pt>
                <c:pt idx="2">
                  <c:v>2027-28</c:v>
                </c:pt>
                <c:pt idx="3">
                  <c:v>2028-29</c:v>
                </c:pt>
                <c:pt idx="4">
                  <c:v>2029-30</c:v>
                </c:pt>
                <c:pt idx="5">
                  <c:v>2030-31</c:v>
                </c:pt>
                <c:pt idx="6">
                  <c:v>2031-32</c:v>
                </c:pt>
                <c:pt idx="7">
                  <c:v>2032-33</c:v>
                </c:pt>
                <c:pt idx="8">
                  <c:v>2033-34</c:v>
                </c:pt>
                <c:pt idx="9">
                  <c:v>2034-35</c:v>
                </c:pt>
                <c:pt idx="10">
                  <c:v>2035-36</c:v>
                </c:pt>
              </c:strCache>
            </c:strRef>
          </c:cat>
          <c:val>
            <c:numRef>
              <c:f>SUMMARY!$B$49:$L$49</c:f>
              <c:numCache>
                <c:formatCode>#,##0</c:formatCode>
                <c:ptCount val="11"/>
                <c:pt idx="0" formatCode="#,##0_);\(#,##0\)">
                  <c:v>11782</c:v>
                </c:pt>
                <c:pt idx="1">
                  <c:v>11757</c:v>
                </c:pt>
                <c:pt idx="2">
                  <c:v>11811</c:v>
                </c:pt>
                <c:pt idx="3">
                  <c:v>11902</c:v>
                </c:pt>
                <c:pt idx="4">
                  <c:v>11925</c:v>
                </c:pt>
                <c:pt idx="5">
                  <c:v>12010</c:v>
                </c:pt>
                <c:pt idx="6">
                  <c:v>12068</c:v>
                </c:pt>
                <c:pt idx="7">
                  <c:v>12168</c:v>
                </c:pt>
                <c:pt idx="8">
                  <c:v>12275</c:v>
                </c:pt>
                <c:pt idx="9">
                  <c:v>12430</c:v>
                </c:pt>
                <c:pt idx="10">
                  <c:v>12575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84-4733-B0D8-03D48589CFC0}"/>
            </c:ext>
          </c:extLst>
        </c:ser>
        <c:ser>
          <c:idx val="3"/>
          <c:order val="3"/>
          <c:tx>
            <c:strRef>
              <c:f>SUMMARY!$A$50</c:f>
              <c:strCache>
                <c:ptCount val="1"/>
                <c:pt idx="0">
                  <c:v>3 YEAR SS</c:v>
                </c:pt>
              </c:strCache>
            </c:strRef>
          </c:tx>
          <c:cat>
            <c:strRef>
              <c:f>SUMMARY!$B$46:$L$46</c:f>
              <c:strCache>
                <c:ptCount val="11"/>
                <c:pt idx="0">
                  <c:v>2025-26 Current Year</c:v>
                </c:pt>
                <c:pt idx="1">
                  <c:v>2026-27</c:v>
                </c:pt>
                <c:pt idx="2">
                  <c:v>2027-28</c:v>
                </c:pt>
                <c:pt idx="3">
                  <c:v>2028-29</c:v>
                </c:pt>
                <c:pt idx="4">
                  <c:v>2029-30</c:v>
                </c:pt>
                <c:pt idx="5">
                  <c:v>2030-31</c:v>
                </c:pt>
                <c:pt idx="6">
                  <c:v>2031-32</c:v>
                </c:pt>
                <c:pt idx="7">
                  <c:v>2032-33</c:v>
                </c:pt>
                <c:pt idx="8">
                  <c:v>2033-34</c:v>
                </c:pt>
                <c:pt idx="9">
                  <c:v>2034-35</c:v>
                </c:pt>
                <c:pt idx="10">
                  <c:v>2035-36</c:v>
                </c:pt>
              </c:strCache>
            </c:strRef>
          </c:cat>
          <c:val>
            <c:numRef>
              <c:f>SUMMARY!$B$50:$L$50</c:f>
              <c:numCache>
                <c:formatCode>#,##0</c:formatCode>
                <c:ptCount val="11"/>
                <c:pt idx="0" formatCode="#,##0_);\(#,##0\)">
                  <c:v>11782</c:v>
                </c:pt>
                <c:pt idx="1">
                  <c:v>11599</c:v>
                </c:pt>
                <c:pt idx="2">
                  <c:v>11507.135039367147</c:v>
                </c:pt>
                <c:pt idx="3">
                  <c:v>11451.522787365064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84-4733-B0D8-03D48589C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553456"/>
        <c:axId val="201591880"/>
      </c:lineChart>
      <c:catAx>
        <c:axId val="20155345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SCHOOL YEAR</a:t>
                </a:r>
              </a:p>
            </c:rich>
          </c:tx>
          <c:layout>
            <c:manualLayout>
              <c:xMode val="edge"/>
              <c:yMode val="edge"/>
              <c:x val="0.49919526967341682"/>
              <c:y val="0.8815115102799614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1591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1591880"/>
        <c:scaling>
          <c:orientation val="minMax"/>
          <c:max val="15000"/>
          <c:min val="1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END 1ST MONTH</a:t>
                </a:r>
              </a:p>
            </c:rich>
          </c:tx>
          <c:layout>
            <c:manualLayout>
              <c:xMode val="edge"/>
              <c:yMode val="edge"/>
              <c:x val="3.8915727321524492E-2"/>
              <c:y val="0.45052138013998388"/>
            </c:manualLayout>
          </c:layout>
          <c:overlay val="0"/>
        </c:title>
        <c:numFmt formatCode="#,##0_);\(#,##0\)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1553456"/>
        <c:crosses val="autoZero"/>
        <c:crossBetween val="between"/>
        <c:majorUnit val="500"/>
        <c:minorUnit val="100"/>
      </c:valAx>
    </c:plotArea>
    <c:legend>
      <c:legendPos val="r"/>
      <c:layout>
        <c:manualLayout>
          <c:xMode val="edge"/>
          <c:yMode val="edge"/>
          <c:x val="0.86536474790698648"/>
          <c:y val="0.88541789698162332"/>
          <c:w val="0.11998503097249325"/>
          <c:h val="9.0253390009023743E-2"/>
        </c:manualLayout>
      </c:layout>
      <c:overlay val="0"/>
    </c:legend>
    <c:plotVisOnly val="1"/>
    <c:dispBlanksAs val="gap"/>
    <c:showDLblsOverMax val="0"/>
  </c:chart>
  <c:printSettings>
    <c:headerFooter alignWithMargins="0">
      <c:oddHeader>&amp;A</c:oddHeader>
      <c:oddFooter>Page &amp;P</c:oddFooter>
    </c:headerFooter>
    <c:pageMargins b="1" l="0.75000000000000366" r="0.75000000000000366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1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3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5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8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0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2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8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0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2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4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6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8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0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2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4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6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8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0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44</xdr:row>
      <xdr:rowOff>0</xdr:rowOff>
    </xdr:from>
    <xdr:to>
      <xdr:col>12</xdr:col>
      <xdr:colOff>0</xdr:colOff>
      <xdr:row>44</xdr:row>
      <xdr:rowOff>0</xdr:rowOff>
    </xdr:to>
    <xdr:graphicFrame macro="">
      <xdr:nvGraphicFramePr>
        <xdr:cNvPr id="1129" name="Chart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19050</xdr:colOff>
      <xdr:row>44</xdr:row>
      <xdr:rowOff>0</xdr:rowOff>
    </xdr:from>
    <xdr:to>
      <xdr:col>12</xdr:col>
      <xdr:colOff>9525</xdr:colOff>
      <xdr:row>44</xdr:row>
      <xdr:rowOff>0</xdr:rowOff>
    </xdr:to>
    <xdr:graphicFrame macro="">
      <xdr:nvGraphicFramePr>
        <xdr:cNvPr id="1130" name="Chart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142876</xdr:colOff>
      <xdr:row>66</xdr:row>
      <xdr:rowOff>54429</xdr:rowOff>
    </xdr:from>
    <xdr:to>
      <xdr:col>11</xdr:col>
      <xdr:colOff>612323</xdr:colOff>
      <xdr:row>128</xdr:row>
      <xdr:rowOff>13607</xdr:rowOff>
    </xdr:to>
    <xdr:graphicFrame macro="">
      <xdr:nvGraphicFramePr>
        <xdr:cNvPr id="1131" name="Chart 4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23</xdr:col>
          <xdr:colOff>142875</xdr:colOff>
          <xdr:row>42</xdr:row>
          <xdr:rowOff>114300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B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NPRJ3!$A$39:$O$70" spid="_x0000_s3359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4163675" cy="7048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26</xdr:col>
          <xdr:colOff>323850</xdr:colOff>
          <xdr:row>28</xdr:row>
          <xdr:rowOff>158750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C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NPRJ3!$A$71:$Q$94" spid="_x0000_s3256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6173450" cy="478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20</xdr:col>
          <xdr:colOff>200025</xdr:colOff>
          <xdr:row>46</xdr:row>
          <xdr:rowOff>101600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D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NPRJ3!$A$96:$M$142" spid="_x0000_s3154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2392025" cy="76962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18</xdr:col>
          <xdr:colOff>533400</xdr:colOff>
          <xdr:row>33</xdr:row>
          <xdr:rowOff>142875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E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NPRJ3!$A$143:$L$176" spid="_x0000_s3051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1506200" cy="55911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18</xdr:col>
          <xdr:colOff>533400</xdr:colOff>
          <xdr:row>30</xdr:row>
          <xdr:rowOff>152400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F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NPRJ3!$A$178:$L$208" spid="_x0000_s2948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1506200" cy="5105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26</xdr:col>
          <xdr:colOff>323850</xdr:colOff>
          <xdr:row>47</xdr:row>
          <xdr:rowOff>155575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10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NPRJ3!$A$209:$Q$244" spid="_x0000_s2845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6173450" cy="7915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20</xdr:col>
          <xdr:colOff>200025</xdr:colOff>
          <xdr:row>53</xdr:row>
          <xdr:rowOff>107950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1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NPRJ3!$A$247:$M$286" spid="_x0000_s2742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2392025" cy="88582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30</xdr:col>
          <xdr:colOff>57150</xdr:colOff>
          <xdr:row>40</xdr:row>
          <xdr:rowOff>38100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00000000-0008-0000-12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NPRJ3!$A$287:$T$313" spid="_x0000_s2537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8345150" cy="65151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30</xdr:col>
          <xdr:colOff>57150</xdr:colOff>
          <xdr:row>37</xdr:row>
          <xdr:rowOff>123825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00000000-0008-0000-13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NPRJ3!$A$317:$S$343" spid="_x0000_s2434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8345150" cy="61150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30</xdr:col>
          <xdr:colOff>57150</xdr:colOff>
          <xdr:row>37</xdr:row>
          <xdr:rowOff>123825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14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NPRJ3!$A$347:$S$373" spid="_x0000_s2639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8345150" cy="61150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190500</xdr:colOff>
      <xdr:row>951</xdr:row>
      <xdr:rowOff>0</xdr:rowOff>
    </xdr:from>
    <xdr:to>
      <xdr:col>15</xdr:col>
      <xdr:colOff>295275</xdr:colOff>
      <xdr:row>952</xdr:row>
      <xdr:rowOff>38101</xdr:rowOff>
    </xdr:to>
    <xdr:sp macro="" textlink="">
      <xdr:nvSpPr>
        <xdr:cNvPr id="5406" name="Text Box 37">
          <a:extLst>
            <a:ext uri="{FF2B5EF4-FFF2-40B4-BE49-F238E27FC236}">
              <a16:creationId xmlns:a16="http://schemas.microsoft.com/office/drawing/2014/main" id="{00000000-0008-0000-0100-00001E150000}"/>
            </a:ext>
          </a:extLst>
        </xdr:cNvPr>
        <xdr:cNvSpPr txBox="1">
          <a:spLocks noChangeArrowheads="1"/>
        </xdr:cNvSpPr>
      </xdr:nvSpPr>
      <xdr:spPr bwMode="auto">
        <a:xfrm>
          <a:off x="10115550" y="16125825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190500</xdr:colOff>
      <xdr:row>951</xdr:row>
      <xdr:rowOff>0</xdr:rowOff>
    </xdr:from>
    <xdr:to>
      <xdr:col>15</xdr:col>
      <xdr:colOff>295275</xdr:colOff>
      <xdr:row>952</xdr:row>
      <xdr:rowOff>38101</xdr:rowOff>
    </xdr:to>
    <xdr:sp macro="" textlink="">
      <xdr:nvSpPr>
        <xdr:cNvPr id="5407" name="Text Box 38">
          <a:extLst>
            <a:ext uri="{FF2B5EF4-FFF2-40B4-BE49-F238E27FC236}">
              <a16:creationId xmlns:a16="http://schemas.microsoft.com/office/drawing/2014/main" id="{00000000-0008-0000-0100-00001F150000}"/>
            </a:ext>
          </a:extLst>
        </xdr:cNvPr>
        <xdr:cNvSpPr txBox="1">
          <a:spLocks noChangeArrowheads="1"/>
        </xdr:cNvSpPr>
      </xdr:nvSpPr>
      <xdr:spPr bwMode="auto">
        <a:xfrm>
          <a:off x="10115550" y="16125825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949</xdr:row>
      <xdr:rowOff>104775</xdr:rowOff>
    </xdr:from>
    <xdr:to>
      <xdr:col>15</xdr:col>
      <xdr:colOff>104775</xdr:colOff>
      <xdr:row>950</xdr:row>
      <xdr:rowOff>133351</xdr:rowOff>
    </xdr:to>
    <xdr:sp macro="" textlink="">
      <xdr:nvSpPr>
        <xdr:cNvPr id="5408" name="Text Box 39">
          <a:extLst>
            <a:ext uri="{FF2B5EF4-FFF2-40B4-BE49-F238E27FC236}">
              <a16:creationId xmlns:a16="http://schemas.microsoft.com/office/drawing/2014/main" id="{00000000-0008-0000-0100-000020150000}"/>
            </a:ext>
          </a:extLst>
        </xdr:cNvPr>
        <xdr:cNvSpPr txBox="1">
          <a:spLocks noChangeArrowheads="1"/>
        </xdr:cNvSpPr>
      </xdr:nvSpPr>
      <xdr:spPr bwMode="auto">
        <a:xfrm>
          <a:off x="9925050" y="1610201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295275</xdr:colOff>
      <xdr:row>948</xdr:row>
      <xdr:rowOff>0</xdr:rowOff>
    </xdr:from>
    <xdr:to>
      <xdr:col>20</xdr:col>
      <xdr:colOff>390525</xdr:colOff>
      <xdr:row>949</xdr:row>
      <xdr:rowOff>38099</xdr:rowOff>
    </xdr:to>
    <xdr:sp macro="" textlink="">
      <xdr:nvSpPr>
        <xdr:cNvPr id="5409" name="Text Box 40">
          <a:extLst>
            <a:ext uri="{FF2B5EF4-FFF2-40B4-BE49-F238E27FC236}">
              <a16:creationId xmlns:a16="http://schemas.microsoft.com/office/drawing/2014/main" id="{00000000-0008-0000-0100-000021150000}"/>
            </a:ext>
          </a:extLst>
        </xdr:cNvPr>
        <xdr:cNvSpPr txBox="1">
          <a:spLocks noChangeArrowheads="1"/>
        </xdr:cNvSpPr>
      </xdr:nvSpPr>
      <xdr:spPr bwMode="auto">
        <a:xfrm>
          <a:off x="13773150" y="16075342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20</xdr:col>
          <xdr:colOff>200025</xdr:colOff>
          <xdr:row>51</xdr:row>
          <xdr:rowOff>123825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00000000-0008-0000-15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NPRJ3!$A$377:$M$414" spid="_x0000_s2331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2392025" cy="85439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33</xdr:col>
          <xdr:colOff>361950</xdr:colOff>
          <xdr:row>43</xdr:row>
          <xdr:rowOff>66675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16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NPRJ5!$A$5:$V$35" spid="_x0000_s2229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20478750" cy="71659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25</xdr:col>
          <xdr:colOff>504825</xdr:colOff>
          <xdr:row>49</xdr:row>
          <xdr:rowOff>19050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17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NPRJ5!$A$40:$Q$76" spid="_x0000_s2126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5744825" cy="79533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19</xdr:col>
          <xdr:colOff>561975</xdr:colOff>
          <xdr:row>55</xdr:row>
          <xdr:rowOff>47625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00000000-0008-0000-18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NPRJ5!$A$78:$M$117" spid="_x0000_s2024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2144375" cy="8953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28</xdr:col>
          <xdr:colOff>514350</xdr:colOff>
          <xdr:row>39</xdr:row>
          <xdr:rowOff>28575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00000000-0008-0000-19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NPRJ5!$A$118:$T$145" spid="_x0000_s1921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7583150" cy="63436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28</xdr:col>
          <xdr:colOff>514350</xdr:colOff>
          <xdr:row>37</xdr:row>
          <xdr:rowOff>123825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00000000-0008-0000-1A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NPRJ5!$A$148:$S$174" spid="_x0000_s1819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7583150" cy="61150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28</xdr:col>
          <xdr:colOff>514350</xdr:colOff>
          <xdr:row>37</xdr:row>
          <xdr:rowOff>123825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1B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NPRJ5!$A$178:$S$204" spid="_x0000_s1716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7583150" cy="61150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19</xdr:col>
          <xdr:colOff>561975</xdr:colOff>
          <xdr:row>52</xdr:row>
          <xdr:rowOff>133350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00000000-0008-0000-1C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NPRJ5!$A$208:$M$245" spid="_x0000_s1614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2144375" cy="85534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33</xdr:col>
          <xdr:colOff>457200</xdr:colOff>
          <xdr:row>43</xdr:row>
          <xdr:rowOff>66675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1D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NPRJ10!$A$5:$V$35" spid="_x0000_s1511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20574000" cy="70294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26</xdr:col>
          <xdr:colOff>9525</xdr:colOff>
          <xdr:row>49</xdr:row>
          <xdr:rowOff>76200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1E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NPRJ10!$A$40:$Q$76" spid="_x0000_s1408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5859125" cy="80105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223</xdr:row>
      <xdr:rowOff>114300</xdr:rowOff>
    </xdr:from>
    <xdr:to>
      <xdr:col>7</xdr:col>
      <xdr:colOff>533400</xdr:colOff>
      <xdr:row>224</xdr:row>
      <xdr:rowOff>171450</xdr:rowOff>
    </xdr:to>
    <xdr:sp macro="" textlink="">
      <xdr:nvSpPr>
        <xdr:cNvPr id="3513" name="Text Box 127">
          <a:extLst>
            <a:ext uri="{FF2B5EF4-FFF2-40B4-BE49-F238E27FC236}">
              <a16:creationId xmlns:a16="http://schemas.microsoft.com/office/drawing/2014/main" id="{00000000-0008-0000-0200-0000B90D0000}"/>
            </a:ext>
          </a:extLst>
        </xdr:cNvPr>
        <xdr:cNvSpPr txBox="1">
          <a:spLocks noChangeArrowheads="1"/>
        </xdr:cNvSpPr>
      </xdr:nvSpPr>
      <xdr:spPr bwMode="auto">
        <a:xfrm>
          <a:off x="7496175" y="423957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19</xdr:col>
          <xdr:colOff>571500</xdr:colOff>
          <xdr:row>55</xdr:row>
          <xdr:rowOff>47625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1F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NPRJ10!$A$78:$M$117" spid="_x0000_s1306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2153900" cy="8953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29</xdr:col>
          <xdr:colOff>38100</xdr:colOff>
          <xdr:row>37</xdr:row>
          <xdr:rowOff>152400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20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NPRJ10!$A$118:$T$144" spid="_x0000_s1203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7716500" cy="61436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29</xdr:col>
          <xdr:colOff>38100</xdr:colOff>
          <xdr:row>37</xdr:row>
          <xdr:rowOff>123825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2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NPRJ10!$A$148:$S$174" spid="_x0000_s10249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7716500" cy="61150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29</xdr:col>
          <xdr:colOff>38100</xdr:colOff>
          <xdr:row>37</xdr:row>
          <xdr:rowOff>123825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22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NPRJ10!$A$178:$S$204" spid="_x0000_s10351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7716500" cy="61150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19</xdr:col>
          <xdr:colOff>571500</xdr:colOff>
          <xdr:row>52</xdr:row>
          <xdr:rowOff>133350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00000000-0008-0000-23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NPRJ10!$A$208:$M$245" spid="_x0000_s10453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2153900" cy="85534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206374</xdr:colOff>
          <xdr:row>0</xdr:row>
          <xdr:rowOff>0</xdr:rowOff>
        </xdr:from>
        <xdr:to>
          <xdr:col>32</xdr:col>
          <xdr:colOff>546099</xdr:colOff>
          <xdr:row>52</xdr:row>
          <xdr:rowOff>0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00000000-0008-0000-05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NRHIST!$A$9:$AB$59" spid="_x0000_s6987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06374" y="0"/>
              <a:ext cx="19846925" cy="85852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2</xdr:row>
          <xdr:rowOff>63500</xdr:rowOff>
        </xdr:from>
        <xdr:to>
          <xdr:col>21</xdr:col>
          <xdr:colOff>288925</xdr:colOff>
          <xdr:row>33</xdr:row>
          <xdr:rowOff>92075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NRHIST!$A$761:$T$786" spid="_x0000_s3874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8900" y="393700"/>
              <a:ext cx="13001625" cy="51466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21</xdr:col>
          <xdr:colOff>200025</xdr:colOff>
          <xdr:row>32</xdr:row>
          <xdr:rowOff>66675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00000000-0008-0000-07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NRHIST!$A$790:$S$816" spid="_x0000_s3771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3001625" cy="52482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21</xdr:col>
          <xdr:colOff>200025</xdr:colOff>
          <xdr:row>31</xdr:row>
          <xdr:rowOff>28575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00000000-0008-0000-08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NRHIST!$A$819:$S$844" spid="_x0000_s3668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3001625" cy="50482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21</xdr:col>
          <xdr:colOff>200025</xdr:colOff>
          <xdr:row>26</xdr:row>
          <xdr:rowOff>123825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00000000-0008-0000-09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NRHIST!$A$849:$S$871" spid="_x0000_s3565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3001625" cy="43338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34</xdr:col>
          <xdr:colOff>485775</xdr:colOff>
          <xdr:row>43</xdr:row>
          <xdr:rowOff>66675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A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NPRJ3!$A$5:$V$35" spid="_x0000_s3462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21212175" cy="70294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view="pageBreakPreview" zoomScale="80" zoomScaleNormal="75" zoomScaleSheetLayoutView="80" workbookViewId="0">
      <selection activeCell="J4" sqref="J4"/>
    </sheetView>
  </sheetViews>
  <sheetFormatPr defaultRowHeight="13.2"/>
  <cols>
    <col min="1" max="1" width="41.33203125" customWidth="1"/>
    <col min="2" max="2" width="18.33203125" customWidth="1"/>
    <col min="3" max="13" width="12.6640625" customWidth="1"/>
  </cols>
  <sheetData>
    <row r="1" spans="1:14" ht="15.6">
      <c r="A1" s="768" t="s">
        <v>0</v>
      </c>
      <c r="B1" s="570"/>
      <c r="C1" s="3"/>
      <c r="D1" s="3" t="s">
        <v>1</v>
      </c>
      <c r="E1" s="3"/>
      <c r="F1" s="3"/>
    </row>
    <row r="2" spans="1:14">
      <c r="A2" s="3"/>
      <c r="B2" s="3"/>
      <c r="C2" s="3"/>
      <c r="D2" s="3" t="s">
        <v>444</v>
      </c>
      <c r="E2" s="3"/>
      <c r="F2" s="3"/>
    </row>
    <row r="4" spans="1:14">
      <c r="A4" s="30"/>
      <c r="B4" s="30"/>
      <c r="C4" s="570" t="s">
        <v>2</v>
      </c>
      <c r="D4" s="3"/>
      <c r="E4" s="3"/>
      <c r="F4" s="3"/>
      <c r="G4" s="3"/>
      <c r="H4" s="3"/>
      <c r="I4" s="3"/>
      <c r="J4" s="3" t="str">
        <f>C7</f>
        <v>2026-27</v>
      </c>
      <c r="K4" s="3" t="s">
        <v>3</v>
      </c>
      <c r="L4" s="3" t="str">
        <f>L7</f>
        <v>2035-36</v>
      </c>
    </row>
    <row r="5" spans="1:14">
      <c r="C5" s="3" t="str">
        <f>ENPRJ3!D248</f>
        <v xml:space="preserve">    THREE YEAR AVERAGE PERCENTAGE OF SURVIVAL</v>
      </c>
      <c r="D5" s="3"/>
      <c r="E5" s="3"/>
      <c r="F5" s="3"/>
      <c r="G5" s="3"/>
      <c r="H5" s="3"/>
      <c r="I5" s="3"/>
      <c r="J5" s="3"/>
      <c r="K5" s="3"/>
      <c r="L5" s="3"/>
    </row>
    <row r="6" spans="1:14" ht="13.8" thickBot="1">
      <c r="C6" s="572"/>
      <c r="D6" s="572"/>
      <c r="E6" s="572"/>
      <c r="F6" s="572"/>
      <c r="G6" s="572"/>
      <c r="H6" s="572"/>
      <c r="I6" s="572"/>
      <c r="J6" s="572"/>
      <c r="K6" s="572"/>
      <c r="L6" s="572"/>
      <c r="M6" s="35"/>
      <c r="N6" s="35"/>
    </row>
    <row r="7" spans="1:14">
      <c r="A7" s="581"/>
      <c r="B7" s="645" t="s">
        <v>457</v>
      </c>
      <c r="C7" s="648" t="str">
        <f>ENPRJ3!D252</f>
        <v>2026-27</v>
      </c>
      <c r="D7" s="586" t="str">
        <f>ENPRJ3!E252</f>
        <v>2027-28</v>
      </c>
      <c r="E7" s="586" t="str">
        <f>ENPRJ3!F252</f>
        <v>2028-29</v>
      </c>
      <c r="F7" s="586" t="str">
        <f>ENPRJ3!G252</f>
        <v>2029-30</v>
      </c>
      <c r="G7" s="586" t="str">
        <f>ENPRJ3!H252</f>
        <v>2030-31</v>
      </c>
      <c r="H7" s="586" t="str">
        <f>ENPRJ3!I252</f>
        <v>2031-32</v>
      </c>
      <c r="I7" s="586" t="str">
        <f>ENPRJ3!J252</f>
        <v>2032-33</v>
      </c>
      <c r="J7" s="586" t="str">
        <f>ENPRJ3!K252</f>
        <v>2033-34</v>
      </c>
      <c r="K7" s="586" t="str">
        <f>ENPRJ3!L252</f>
        <v>2034-35</v>
      </c>
      <c r="L7" s="587" t="str">
        <f>ENPRJ3!M252</f>
        <v>2035-36</v>
      </c>
      <c r="M7" s="29"/>
      <c r="N7" s="35"/>
    </row>
    <row r="8" spans="1:14">
      <c r="A8" s="577"/>
      <c r="B8" s="646"/>
      <c r="C8" s="577"/>
      <c r="D8" s="244"/>
      <c r="E8" s="244"/>
      <c r="F8" s="244"/>
      <c r="G8" s="244"/>
      <c r="H8" s="244"/>
      <c r="I8" s="244"/>
      <c r="J8" s="244"/>
      <c r="K8" s="244"/>
      <c r="L8" s="583"/>
      <c r="M8" s="29"/>
      <c r="N8" s="35"/>
    </row>
    <row r="9" spans="1:14">
      <c r="A9" s="584" t="s">
        <v>11</v>
      </c>
      <c r="B9" s="652">
        <f>ENRHIST!S29</f>
        <v>11782</v>
      </c>
      <c r="C9" s="649">
        <f>ENPRJ3!D272</f>
        <v>11627</v>
      </c>
      <c r="D9" s="568">
        <f>ENPRJ3!E272</f>
        <v>11556</v>
      </c>
      <c r="E9" s="568">
        <f>ENPRJ3!F272</f>
        <v>11514</v>
      </c>
      <c r="F9" s="568">
        <f>ENPRJ3!G272</f>
        <v>11416</v>
      </c>
      <c r="G9" s="568">
        <f>ENPRJ3!H272</f>
        <v>11386</v>
      </c>
      <c r="H9" s="568">
        <f>ENPRJ3!I272</f>
        <v>11328</v>
      </c>
      <c r="I9" s="568">
        <f>ENPRJ3!J272</f>
        <v>11313</v>
      </c>
      <c r="J9" s="568">
        <f>ENPRJ3!K272</f>
        <v>11300</v>
      </c>
      <c r="K9" s="568">
        <f>ENPRJ3!L272</f>
        <v>11339</v>
      </c>
      <c r="L9" s="578">
        <f>ENPRJ3!M272</f>
        <v>11369</v>
      </c>
      <c r="M9" s="33"/>
      <c r="N9" s="35"/>
    </row>
    <row r="10" spans="1:14">
      <c r="A10" s="577" t="s">
        <v>12</v>
      </c>
      <c r="B10" s="646"/>
      <c r="C10" s="649">
        <f>ENPRJ3!D274</f>
        <v>-155</v>
      </c>
      <c r="D10" s="568">
        <f>ENPRJ3!E274</f>
        <v>-71</v>
      </c>
      <c r="E10" s="568">
        <f>ENPRJ3!F274</f>
        <v>-42</v>
      </c>
      <c r="F10" s="568">
        <f>ENPRJ3!G274</f>
        <v>-98</v>
      </c>
      <c r="G10" s="568">
        <f>ENPRJ3!H274</f>
        <v>-30</v>
      </c>
      <c r="H10" s="568">
        <f>ENPRJ3!I274</f>
        <v>-58</v>
      </c>
      <c r="I10" s="568">
        <f>ENPRJ3!J274</f>
        <v>-15</v>
      </c>
      <c r="J10" s="568">
        <f>ENPRJ3!K274</f>
        <v>-13</v>
      </c>
      <c r="K10" s="568">
        <f>ENPRJ3!L274</f>
        <v>39</v>
      </c>
      <c r="L10" s="578">
        <f>ENPRJ3!M274</f>
        <v>30</v>
      </c>
      <c r="M10" s="33"/>
      <c r="N10" s="35"/>
    </row>
    <row r="11" spans="1:14">
      <c r="A11" s="577" t="s">
        <v>13</v>
      </c>
      <c r="B11" s="646"/>
      <c r="C11" s="650">
        <f>ENPRJ3!D275</f>
        <v>0.98684433882193179</v>
      </c>
      <c r="D11" s="569">
        <f>ENPRJ3!E275</f>
        <v>0.99389352369484818</v>
      </c>
      <c r="E11" s="569">
        <f>ENPRJ3!F275</f>
        <v>0.9963655244029076</v>
      </c>
      <c r="F11" s="569">
        <f>ENPRJ3!G275</f>
        <v>0.99148862254646519</v>
      </c>
      <c r="G11" s="569">
        <f>ENPRJ3!H275</f>
        <v>0.99737210932025233</v>
      </c>
      <c r="H11" s="569">
        <f>ENPRJ3!I275</f>
        <v>0.99490602494291236</v>
      </c>
      <c r="I11" s="569">
        <f>ENPRJ3!J275</f>
        <v>0.99867584745762716</v>
      </c>
      <c r="J11" s="569">
        <f>ENPRJ3!K275</f>
        <v>0.99885087951913731</v>
      </c>
      <c r="K11" s="569">
        <f>ENPRJ3!L275</f>
        <v>1.0034513274336283</v>
      </c>
      <c r="L11" s="585">
        <f>ENPRJ3!M275</f>
        <v>1.0026457359555516</v>
      </c>
      <c r="M11" s="34"/>
      <c r="N11" s="35"/>
    </row>
    <row r="12" spans="1:14">
      <c r="A12" s="577" t="s">
        <v>14</v>
      </c>
      <c r="B12" s="646"/>
      <c r="C12" s="649"/>
      <c r="D12" s="568"/>
      <c r="E12" s="568"/>
      <c r="F12" s="568"/>
      <c r="G12" s="568"/>
      <c r="H12" s="568"/>
      <c r="I12" s="568"/>
      <c r="J12" s="568"/>
      <c r="K12" s="568"/>
      <c r="L12" s="578"/>
      <c r="M12" s="33"/>
      <c r="N12" s="35"/>
    </row>
    <row r="13" spans="1:14">
      <c r="A13" s="577" t="s">
        <v>15</v>
      </c>
      <c r="B13" s="646"/>
      <c r="C13" s="650"/>
      <c r="D13" s="568"/>
      <c r="E13" s="568"/>
      <c r="F13" s="568"/>
      <c r="G13" s="568"/>
      <c r="H13" s="569"/>
      <c r="I13" s="568"/>
      <c r="J13" s="568"/>
      <c r="K13" s="568"/>
      <c r="L13" s="585">
        <f>ENPRJ3!M278</f>
        <v>0.69437488548219628</v>
      </c>
      <c r="M13" s="33"/>
      <c r="N13" s="35"/>
    </row>
    <row r="14" spans="1:14">
      <c r="A14" s="577" t="s">
        <v>16</v>
      </c>
      <c r="B14" s="646"/>
      <c r="C14" s="649"/>
      <c r="D14" s="568"/>
      <c r="E14" s="568"/>
      <c r="F14" s="568"/>
      <c r="G14" s="568"/>
      <c r="H14" s="568"/>
      <c r="I14" s="568"/>
      <c r="J14" s="568"/>
      <c r="K14" s="568"/>
      <c r="L14" s="578">
        <f>ENPRJ3!M279</f>
        <v>0</v>
      </c>
      <c r="M14" s="33"/>
      <c r="N14" s="35"/>
    </row>
    <row r="15" spans="1:14">
      <c r="A15" s="577" t="s">
        <v>17</v>
      </c>
      <c r="B15" s="646"/>
      <c r="C15" s="649"/>
      <c r="D15" s="568"/>
      <c r="E15" s="568"/>
      <c r="F15" s="568"/>
      <c r="G15" s="568"/>
      <c r="H15" s="568"/>
      <c r="I15" s="568"/>
      <c r="J15" s="568"/>
      <c r="K15" s="568"/>
      <c r="L15" s="578"/>
      <c r="M15" s="33"/>
      <c r="N15" s="35"/>
    </row>
    <row r="16" spans="1:14" ht="13.8" thickBot="1">
      <c r="A16" s="579" t="s">
        <v>418</v>
      </c>
      <c r="B16" s="647"/>
      <c r="C16" s="651">
        <f>ENPRJ3!D281</f>
        <v>61461</v>
      </c>
      <c r="D16" s="573">
        <f>ENPRJ3!E281</f>
        <v>61086</v>
      </c>
      <c r="E16" s="573">
        <f>ENPRJ3!F281</f>
        <v>60864</v>
      </c>
      <c r="F16" s="573">
        <f>ENPRJ3!G281</f>
        <v>60346</v>
      </c>
      <c r="G16" s="573">
        <f>ENPRJ3!H281</f>
        <v>60187</v>
      </c>
      <c r="H16" s="573">
        <f>ENPRJ3!I281</f>
        <v>59881</v>
      </c>
      <c r="I16" s="573">
        <f>ENPRJ3!J281</f>
        <v>59801</v>
      </c>
      <c r="J16" s="573">
        <f>ENPRJ3!K281</f>
        <v>59733</v>
      </c>
      <c r="K16" s="573">
        <f>ENPRJ3!L281</f>
        <v>59939</v>
      </c>
      <c r="L16" s="580">
        <f>ENPRJ3!M281</f>
        <v>60097</v>
      </c>
      <c r="M16" s="33"/>
      <c r="N16" s="35"/>
    </row>
    <row r="17" spans="1:14">
      <c r="M17" s="35"/>
      <c r="N17" s="35"/>
    </row>
    <row r="18" spans="1:14">
      <c r="A18" s="30"/>
      <c r="B18" s="30"/>
      <c r="C18" s="570" t="s">
        <v>2</v>
      </c>
      <c r="D18" s="3"/>
      <c r="E18" s="3"/>
      <c r="F18" s="3"/>
      <c r="G18" s="3"/>
      <c r="H18" s="3"/>
      <c r="I18" s="3"/>
      <c r="J18" s="3" t="str">
        <f>C21</f>
        <v>2026-27</v>
      </c>
      <c r="K18" s="3" t="s">
        <v>3</v>
      </c>
      <c r="L18" s="3" t="str">
        <f>L21</f>
        <v>2035-36</v>
      </c>
    </row>
    <row r="19" spans="1:14">
      <c r="C19" s="3" t="str">
        <f>ENPRJ5!D79</f>
        <v xml:space="preserve">    FIVE YEAR AVERAGE PERCENTAGE OF SURVIVAL</v>
      </c>
      <c r="D19" s="3"/>
      <c r="E19" s="3"/>
      <c r="F19" s="3"/>
      <c r="G19" s="3"/>
      <c r="H19" s="3"/>
      <c r="I19" s="3"/>
      <c r="J19" s="3"/>
      <c r="K19" s="3"/>
      <c r="L19" s="3"/>
    </row>
    <row r="20" spans="1:14" ht="13.8" thickBot="1">
      <c r="M20" s="35"/>
      <c r="N20" s="35"/>
    </row>
    <row r="21" spans="1:14">
      <c r="A21" s="581"/>
      <c r="B21" s="645" t="str">
        <f>B7</f>
        <v>2025-26 Current Year</v>
      </c>
      <c r="C21" s="581" t="str">
        <f>C7</f>
        <v>2026-27</v>
      </c>
      <c r="D21" s="31" t="str">
        <f t="shared" ref="D21:L21" si="0">D7</f>
        <v>2027-28</v>
      </c>
      <c r="E21" s="31" t="str">
        <f t="shared" si="0"/>
        <v>2028-29</v>
      </c>
      <c r="F21" s="31" t="str">
        <f t="shared" si="0"/>
        <v>2029-30</v>
      </c>
      <c r="G21" s="31" t="str">
        <f t="shared" si="0"/>
        <v>2030-31</v>
      </c>
      <c r="H21" s="31" t="str">
        <f t="shared" si="0"/>
        <v>2031-32</v>
      </c>
      <c r="I21" s="31" t="str">
        <f t="shared" si="0"/>
        <v>2032-33</v>
      </c>
      <c r="J21" s="31" t="str">
        <f t="shared" si="0"/>
        <v>2033-34</v>
      </c>
      <c r="K21" s="31" t="str">
        <f t="shared" si="0"/>
        <v>2034-35</v>
      </c>
      <c r="L21" s="582" t="str">
        <f t="shared" si="0"/>
        <v>2035-36</v>
      </c>
      <c r="M21" s="29"/>
      <c r="N21" s="35"/>
    </row>
    <row r="22" spans="1:14">
      <c r="A22" s="577"/>
      <c r="B22" s="646"/>
      <c r="C22" s="577"/>
      <c r="D22" s="244"/>
      <c r="E22" s="244"/>
      <c r="F22" s="244"/>
      <c r="G22" s="244"/>
      <c r="H22" s="244"/>
      <c r="I22" s="244"/>
      <c r="J22" s="244"/>
      <c r="K22" s="244"/>
      <c r="L22" s="583"/>
      <c r="M22" s="29"/>
      <c r="N22" s="35"/>
    </row>
    <row r="23" spans="1:14">
      <c r="A23" s="584" t="s">
        <v>18</v>
      </c>
      <c r="B23" s="652">
        <f>B9</f>
        <v>11782</v>
      </c>
      <c r="C23" s="649">
        <f>ENPRJ5!D103</f>
        <v>11704</v>
      </c>
      <c r="D23" s="568">
        <f>ENPRJ5!E103</f>
        <v>11712</v>
      </c>
      <c r="E23" s="568">
        <f>ENPRJ5!F103</f>
        <v>11761</v>
      </c>
      <c r="F23" s="568">
        <f>ENPRJ5!G103</f>
        <v>11758</v>
      </c>
      <c r="G23" s="568">
        <f>ENPRJ5!H103</f>
        <v>11813</v>
      </c>
      <c r="H23" s="568">
        <f>ENPRJ5!I103</f>
        <v>11850</v>
      </c>
      <c r="I23" s="568">
        <f>ENPRJ5!J103</f>
        <v>11935</v>
      </c>
      <c r="J23" s="568">
        <f>ENPRJ5!K103</f>
        <v>12017</v>
      </c>
      <c r="K23" s="568">
        <f>ENPRJ5!L103</f>
        <v>12151</v>
      </c>
      <c r="L23" s="578">
        <f>ENPRJ5!M103</f>
        <v>12279</v>
      </c>
      <c r="M23" s="33"/>
      <c r="N23" s="35"/>
    </row>
    <row r="24" spans="1:14">
      <c r="A24" s="577" t="s">
        <v>12</v>
      </c>
      <c r="B24" s="646"/>
      <c r="C24" s="649">
        <f>ENPRJ5!D105</f>
        <v>-78</v>
      </c>
      <c r="D24" s="568">
        <f>ENPRJ5!E105</f>
        <v>8</v>
      </c>
      <c r="E24" s="568">
        <f>ENPRJ5!F105</f>
        <v>49</v>
      </c>
      <c r="F24" s="568">
        <f>ENPRJ5!G105</f>
        <v>-3</v>
      </c>
      <c r="G24" s="568">
        <f>ENPRJ5!H105</f>
        <v>55</v>
      </c>
      <c r="H24" s="568">
        <f>ENPRJ5!I105</f>
        <v>37</v>
      </c>
      <c r="I24" s="568">
        <f>ENPRJ5!J105</f>
        <v>85</v>
      </c>
      <c r="J24" s="568">
        <f>ENPRJ5!K105</f>
        <v>82</v>
      </c>
      <c r="K24" s="568">
        <f>ENPRJ5!L105</f>
        <v>134</v>
      </c>
      <c r="L24" s="578">
        <f>ENPRJ5!M105</f>
        <v>128</v>
      </c>
      <c r="M24" s="33"/>
      <c r="N24" s="35"/>
    </row>
    <row r="25" spans="1:14">
      <c r="A25" s="577" t="s">
        <v>13</v>
      </c>
      <c r="B25" s="646"/>
      <c r="C25" s="650">
        <f>ENPRJ5!D106</f>
        <v>0.99337973179426242</v>
      </c>
      <c r="D25" s="569">
        <f>ENPRJ5!E106</f>
        <v>1.0006835269993164</v>
      </c>
      <c r="E25" s="569">
        <f>ENPRJ5!F106</f>
        <v>1.004183743169399</v>
      </c>
      <c r="F25" s="569">
        <f>ENPRJ5!G106</f>
        <v>0.9997449196496897</v>
      </c>
      <c r="G25" s="569">
        <f>ENPRJ5!H106</f>
        <v>1.0046776662697738</v>
      </c>
      <c r="H25" s="569">
        <f>ENPRJ5!I106</f>
        <v>1.0031321425548125</v>
      </c>
      <c r="I25" s="569">
        <f>ENPRJ5!J106</f>
        <v>1.0071729957805906</v>
      </c>
      <c r="J25" s="569">
        <f>ENPRJ5!K106</f>
        <v>1.0068705488060328</v>
      </c>
      <c r="K25" s="569">
        <f>ENPRJ5!L106</f>
        <v>1.011150869601398</v>
      </c>
      <c r="L25" s="585">
        <f>ENPRJ5!M106</f>
        <v>1.010534112418731</v>
      </c>
      <c r="M25" s="34"/>
      <c r="N25" s="35"/>
    </row>
    <row r="26" spans="1:14">
      <c r="A26" s="577" t="s">
        <v>14</v>
      </c>
      <c r="B26" s="646"/>
      <c r="C26" s="649"/>
      <c r="D26" s="568"/>
      <c r="E26" s="568"/>
      <c r="F26" s="568"/>
      <c r="G26" s="568"/>
      <c r="H26" s="568"/>
      <c r="I26" s="568"/>
      <c r="J26" s="568"/>
      <c r="K26" s="568"/>
      <c r="L26" s="578"/>
      <c r="M26" s="33"/>
      <c r="N26" s="35"/>
    </row>
    <row r="27" spans="1:14">
      <c r="A27" s="577" t="s">
        <v>15</v>
      </c>
      <c r="B27" s="646"/>
      <c r="C27" s="650"/>
      <c r="D27" s="569"/>
      <c r="E27" s="569"/>
      <c r="F27" s="569"/>
      <c r="G27" s="569"/>
      <c r="H27" s="569"/>
      <c r="I27" s="569"/>
      <c r="J27" s="569"/>
      <c r="K27" s="569"/>
      <c r="L27" s="585">
        <f>ENPRJ5!M109</f>
        <v>0.7499541928785195</v>
      </c>
      <c r="M27" s="34"/>
      <c r="N27" s="35"/>
    </row>
    <row r="28" spans="1:14">
      <c r="A28" s="577" t="s">
        <v>16</v>
      </c>
      <c r="B28" s="646"/>
      <c r="C28" s="649"/>
      <c r="D28" s="568"/>
      <c r="E28" s="568"/>
      <c r="F28" s="568"/>
      <c r="G28" s="568"/>
      <c r="H28" s="568"/>
      <c r="I28" s="568"/>
      <c r="J28" s="568"/>
      <c r="K28" s="568"/>
      <c r="L28" s="578">
        <f>ENPRJ5!M110</f>
        <v>0</v>
      </c>
      <c r="M28" s="33"/>
      <c r="N28" s="35"/>
    </row>
    <row r="29" spans="1:14">
      <c r="A29" s="577" t="s">
        <v>17</v>
      </c>
      <c r="B29" s="646"/>
      <c r="C29" s="649"/>
      <c r="D29" s="568"/>
      <c r="E29" s="568"/>
      <c r="F29" s="568"/>
      <c r="G29" s="568"/>
      <c r="H29" s="568"/>
      <c r="I29" s="568"/>
      <c r="J29" s="568"/>
      <c r="K29" s="568"/>
      <c r="L29" s="578"/>
      <c r="M29" s="33"/>
      <c r="N29" s="35"/>
    </row>
    <row r="30" spans="1:14" ht="13.8" thickBot="1">
      <c r="A30" s="579" t="s">
        <v>418</v>
      </c>
      <c r="B30" s="647"/>
      <c r="C30" s="651">
        <f>ENPRJ5!D112</f>
        <v>61868</v>
      </c>
      <c r="D30" s="573">
        <f>ENPRJ5!E112</f>
        <v>61911</v>
      </c>
      <c r="E30" s="573">
        <f>ENPRJ5!F112</f>
        <v>62170</v>
      </c>
      <c r="F30" s="573">
        <f>ENPRJ5!G112</f>
        <v>62154</v>
      </c>
      <c r="G30" s="573">
        <f>ENPRJ5!H112</f>
        <v>62444</v>
      </c>
      <c r="H30" s="573">
        <f>ENPRJ5!I112</f>
        <v>62640</v>
      </c>
      <c r="I30" s="573">
        <f>ENPRJ5!J112</f>
        <v>63089</v>
      </c>
      <c r="J30" s="573">
        <f>ENPRJ5!K112</f>
        <v>63523</v>
      </c>
      <c r="K30" s="573">
        <f>ENPRJ5!L112</f>
        <v>64231</v>
      </c>
      <c r="L30" s="580">
        <f>ENPRJ5!M112</f>
        <v>64908</v>
      </c>
      <c r="M30" s="33"/>
      <c r="N30" s="35"/>
    </row>
    <row r="31" spans="1:14">
      <c r="M31" s="35"/>
      <c r="N31" s="35"/>
    </row>
    <row r="32" spans="1:14">
      <c r="A32" s="30"/>
      <c r="B32" s="30"/>
      <c r="C32" s="570" t="s">
        <v>2</v>
      </c>
      <c r="D32" s="3"/>
      <c r="E32" s="3"/>
      <c r="F32" s="3"/>
      <c r="G32" s="3"/>
      <c r="H32" s="3"/>
      <c r="I32" s="3"/>
      <c r="J32" s="3" t="str">
        <f>C35</f>
        <v>2026-27</v>
      </c>
      <c r="K32" s="3" t="s">
        <v>3</v>
      </c>
      <c r="L32" s="571" t="str">
        <f>L35</f>
        <v>2035-36</v>
      </c>
      <c r="M32" s="35"/>
    </row>
    <row r="33" spans="1:14">
      <c r="C33" s="3" t="str">
        <f>ENPRJ10!D79</f>
        <v xml:space="preserve">    TEN YEAR AVERAGE PERCENTAGE OF SURVIVAL</v>
      </c>
      <c r="D33" s="3"/>
      <c r="E33" s="3"/>
      <c r="F33" s="3"/>
      <c r="G33" s="3"/>
      <c r="H33" s="3"/>
      <c r="I33" s="3"/>
      <c r="J33" s="3"/>
      <c r="K33" s="3"/>
      <c r="L33" s="3"/>
      <c r="M33" s="35"/>
      <c r="N33" s="35"/>
    </row>
    <row r="34" spans="1:14" ht="13.8" thickBot="1">
      <c r="M34" s="35"/>
      <c r="N34" s="35"/>
    </row>
    <row r="35" spans="1:14">
      <c r="A35" s="581"/>
      <c r="B35" s="645" t="str">
        <f>B7</f>
        <v>2025-26 Current Year</v>
      </c>
      <c r="C35" s="581" t="str">
        <f>C21</f>
        <v>2026-27</v>
      </c>
      <c r="D35" s="31" t="str">
        <f t="shared" ref="D35:L35" si="1">D21</f>
        <v>2027-28</v>
      </c>
      <c r="E35" s="31" t="str">
        <f t="shared" si="1"/>
        <v>2028-29</v>
      </c>
      <c r="F35" s="31" t="str">
        <f t="shared" si="1"/>
        <v>2029-30</v>
      </c>
      <c r="G35" s="31" t="str">
        <f t="shared" si="1"/>
        <v>2030-31</v>
      </c>
      <c r="H35" s="31" t="str">
        <f t="shared" si="1"/>
        <v>2031-32</v>
      </c>
      <c r="I35" s="31" t="str">
        <f t="shared" si="1"/>
        <v>2032-33</v>
      </c>
      <c r="J35" s="31" t="str">
        <f t="shared" si="1"/>
        <v>2033-34</v>
      </c>
      <c r="K35" s="31" t="str">
        <f t="shared" si="1"/>
        <v>2034-35</v>
      </c>
      <c r="L35" s="582" t="str">
        <f t="shared" si="1"/>
        <v>2035-36</v>
      </c>
      <c r="M35" s="29"/>
      <c r="N35" s="35"/>
    </row>
    <row r="36" spans="1:14">
      <c r="A36" s="577"/>
      <c r="B36" s="646"/>
      <c r="C36" s="577"/>
      <c r="D36" s="244"/>
      <c r="E36" s="244"/>
      <c r="F36" s="244"/>
      <c r="G36" s="244"/>
      <c r="H36" s="244"/>
      <c r="I36" s="244"/>
      <c r="J36" s="244"/>
      <c r="K36" s="244"/>
      <c r="L36" s="583"/>
      <c r="M36" s="29"/>
      <c r="N36" s="35"/>
    </row>
    <row r="37" spans="1:14">
      <c r="A37" s="584" t="s">
        <v>19</v>
      </c>
      <c r="B37" s="652">
        <f>B9</f>
        <v>11782</v>
      </c>
      <c r="C37" s="649">
        <f>ENPRJ10!D103</f>
        <v>11757</v>
      </c>
      <c r="D37" s="568">
        <f>ENPRJ10!E103</f>
        <v>11811</v>
      </c>
      <c r="E37" s="568">
        <f>ENPRJ10!F103</f>
        <v>11902</v>
      </c>
      <c r="F37" s="568">
        <f>ENPRJ10!G103</f>
        <v>11925</v>
      </c>
      <c r="G37" s="568">
        <f>ENPRJ10!H103</f>
        <v>12010</v>
      </c>
      <c r="H37" s="568">
        <f>ENPRJ10!I103</f>
        <v>12068</v>
      </c>
      <c r="I37" s="568">
        <f>ENPRJ10!J103</f>
        <v>12168</v>
      </c>
      <c r="J37" s="568">
        <f>ENPRJ10!K103</f>
        <v>12275</v>
      </c>
      <c r="K37" s="568">
        <f>ENPRJ10!L103</f>
        <v>12430</v>
      </c>
      <c r="L37" s="578">
        <f>ENPRJ10!M103</f>
        <v>12575</v>
      </c>
      <c r="M37" s="33"/>
      <c r="N37" s="35"/>
    </row>
    <row r="38" spans="1:14">
      <c r="A38" s="577" t="s">
        <v>12</v>
      </c>
      <c r="B38" s="646"/>
      <c r="C38" s="577">
        <f>ENPRJ10!D105</f>
        <v>-25</v>
      </c>
      <c r="D38" s="244">
        <f>ENPRJ10!E105</f>
        <v>54</v>
      </c>
      <c r="E38" s="244">
        <f>ENPRJ10!F105</f>
        <v>91</v>
      </c>
      <c r="F38" s="244">
        <f>ENPRJ10!G105</f>
        <v>23</v>
      </c>
      <c r="G38" s="244">
        <f>ENPRJ10!H105</f>
        <v>85</v>
      </c>
      <c r="H38" s="244">
        <f>ENPRJ10!I105</f>
        <v>58</v>
      </c>
      <c r="I38" s="244">
        <f>ENPRJ10!J105</f>
        <v>100</v>
      </c>
      <c r="J38" s="244">
        <f>ENPRJ10!K105</f>
        <v>107</v>
      </c>
      <c r="K38" s="244">
        <f>ENPRJ10!L105</f>
        <v>155</v>
      </c>
      <c r="L38" s="583">
        <f>ENPRJ10!M105</f>
        <v>145</v>
      </c>
      <c r="M38" s="29"/>
      <c r="N38" s="35"/>
    </row>
    <row r="39" spans="1:14">
      <c r="A39" s="577" t="s">
        <v>13</v>
      </c>
      <c r="B39" s="646"/>
      <c r="C39" s="650">
        <f>ENPRJ10!D106</f>
        <v>0.99787811916482771</v>
      </c>
      <c r="D39" s="569">
        <f>ENPRJ10!E106</f>
        <v>1.0045930084205155</v>
      </c>
      <c r="E39" s="569">
        <f>ENPRJ10!F106</f>
        <v>1.0077046820760309</v>
      </c>
      <c r="F39" s="569">
        <f>ENPRJ10!G106</f>
        <v>1.0019324483280121</v>
      </c>
      <c r="G39" s="569">
        <f>ENPRJ10!H106</f>
        <v>1.0071278825995806</v>
      </c>
      <c r="H39" s="569">
        <f>ENPRJ10!I106</f>
        <v>1.0048293089092424</v>
      </c>
      <c r="I39" s="569">
        <f>ENPRJ10!J106</f>
        <v>1.0082863771958899</v>
      </c>
      <c r="J39" s="569">
        <f>ENPRJ10!K106</f>
        <v>1.00879355687048</v>
      </c>
      <c r="K39" s="569">
        <f>ENPRJ10!L106</f>
        <v>1.0126272912423626</v>
      </c>
      <c r="L39" s="585">
        <f>ENPRJ10!M106</f>
        <v>1.0116653258246178</v>
      </c>
      <c r="M39" s="34"/>
      <c r="N39" s="35"/>
    </row>
    <row r="40" spans="1:14">
      <c r="A40" s="577" t="s">
        <v>14</v>
      </c>
      <c r="B40" s="646"/>
      <c r="C40" s="649"/>
      <c r="D40" s="568"/>
      <c r="E40" s="568"/>
      <c r="F40" s="568"/>
      <c r="G40" s="568"/>
      <c r="H40" s="568"/>
      <c r="I40" s="568"/>
      <c r="J40" s="568"/>
      <c r="K40" s="568"/>
      <c r="L40" s="578"/>
      <c r="M40" s="33"/>
      <c r="N40" s="35"/>
    </row>
    <row r="41" spans="1:14">
      <c r="A41" s="577" t="s">
        <v>15</v>
      </c>
      <c r="B41" s="646"/>
      <c r="C41" s="650"/>
      <c r="D41" s="569"/>
      <c r="E41" s="569"/>
      <c r="F41" s="569"/>
      <c r="G41" s="569"/>
      <c r="H41" s="569"/>
      <c r="I41" s="568"/>
      <c r="J41" s="568"/>
      <c r="K41" s="568"/>
      <c r="L41" s="585">
        <f>ENPRJ10!M109</f>
        <v>0.76803273682281803</v>
      </c>
      <c r="M41" s="33"/>
      <c r="N41" s="35"/>
    </row>
    <row r="42" spans="1:14">
      <c r="A42" s="577" t="s">
        <v>16</v>
      </c>
      <c r="B42" s="646"/>
      <c r="C42" s="649"/>
      <c r="D42" s="568"/>
      <c r="E42" s="568"/>
      <c r="F42" s="568"/>
      <c r="G42" s="568"/>
      <c r="H42" s="568"/>
      <c r="I42" s="568"/>
      <c r="J42" s="568"/>
      <c r="K42" s="568"/>
      <c r="L42" s="578">
        <f>ENPRJ10!M110</f>
        <v>0</v>
      </c>
      <c r="M42" s="33"/>
      <c r="N42" s="35"/>
    </row>
    <row r="43" spans="1:14">
      <c r="A43" s="577" t="s">
        <v>17</v>
      </c>
      <c r="B43" s="646"/>
      <c r="C43" s="649"/>
      <c r="D43" s="568"/>
      <c r="E43" s="568"/>
      <c r="F43" s="568"/>
      <c r="G43" s="568"/>
      <c r="H43" s="568"/>
      <c r="I43" s="568"/>
      <c r="J43" s="568"/>
      <c r="K43" s="568"/>
      <c r="L43" s="578"/>
      <c r="M43" s="33"/>
      <c r="N43" s="35"/>
    </row>
    <row r="44" spans="1:14" ht="13.8" thickBot="1">
      <c r="A44" s="579" t="s">
        <v>418</v>
      </c>
      <c r="B44" s="647"/>
      <c r="C44" s="651">
        <f>ENPRJ10!D112</f>
        <v>62148</v>
      </c>
      <c r="D44" s="573">
        <f>ENPRJ10!E112</f>
        <v>62434</v>
      </c>
      <c r="E44" s="573">
        <f>ENPRJ10!F112</f>
        <v>62915</v>
      </c>
      <c r="F44" s="573">
        <f>ENPRJ10!G112</f>
        <v>63037</v>
      </c>
      <c r="G44" s="573">
        <f>ENPRJ10!H112</f>
        <v>63486</v>
      </c>
      <c r="H44" s="573">
        <f>ENPRJ10!I112</f>
        <v>63792</v>
      </c>
      <c r="I44" s="573">
        <f>ENPRJ10!J112</f>
        <v>64321</v>
      </c>
      <c r="J44" s="573">
        <f>ENPRJ10!K112</f>
        <v>64887</v>
      </c>
      <c r="K44" s="573">
        <f>ENPRJ10!L112</f>
        <v>65706</v>
      </c>
      <c r="L44" s="580">
        <f>ENPRJ10!M112</f>
        <v>66472</v>
      </c>
      <c r="M44" s="35"/>
    </row>
    <row r="45" spans="1:14" ht="13.8" thickBot="1">
      <c r="M45" s="35"/>
      <c r="N45" s="35"/>
    </row>
    <row r="46" spans="1:14">
      <c r="A46" s="574"/>
      <c r="B46" s="654" t="str">
        <f>B7</f>
        <v>2025-26 Current Year</v>
      </c>
      <c r="C46" s="574" t="str">
        <f t="shared" ref="C46:L46" si="2">C7</f>
        <v>2026-27</v>
      </c>
      <c r="D46" s="575" t="str">
        <f t="shared" si="2"/>
        <v>2027-28</v>
      </c>
      <c r="E46" s="575" t="str">
        <f t="shared" si="2"/>
        <v>2028-29</v>
      </c>
      <c r="F46" s="575" t="str">
        <f t="shared" si="2"/>
        <v>2029-30</v>
      </c>
      <c r="G46" s="575" t="str">
        <f t="shared" si="2"/>
        <v>2030-31</v>
      </c>
      <c r="H46" s="575" t="str">
        <f t="shared" si="2"/>
        <v>2031-32</v>
      </c>
      <c r="I46" s="575" t="str">
        <f t="shared" si="2"/>
        <v>2032-33</v>
      </c>
      <c r="J46" s="575" t="str">
        <f t="shared" si="2"/>
        <v>2033-34</v>
      </c>
      <c r="K46" s="575" t="str">
        <f t="shared" si="2"/>
        <v>2034-35</v>
      </c>
      <c r="L46" s="576" t="str">
        <f t="shared" si="2"/>
        <v>2035-36</v>
      </c>
      <c r="M46" s="535"/>
      <c r="N46" s="35"/>
    </row>
    <row r="47" spans="1:14">
      <c r="A47" s="577" t="s">
        <v>20</v>
      </c>
      <c r="B47" s="655">
        <f>B9</f>
        <v>11782</v>
      </c>
      <c r="C47" s="649">
        <f t="shared" ref="C47:L47" si="3">C9</f>
        <v>11627</v>
      </c>
      <c r="D47" s="568">
        <f t="shared" si="3"/>
        <v>11556</v>
      </c>
      <c r="E47" s="568">
        <f t="shared" si="3"/>
        <v>11514</v>
      </c>
      <c r="F47" s="568">
        <f t="shared" si="3"/>
        <v>11416</v>
      </c>
      <c r="G47" s="568">
        <f t="shared" si="3"/>
        <v>11386</v>
      </c>
      <c r="H47" s="568">
        <f t="shared" si="3"/>
        <v>11328</v>
      </c>
      <c r="I47" s="568">
        <f t="shared" si="3"/>
        <v>11313</v>
      </c>
      <c r="J47" s="568">
        <f t="shared" si="3"/>
        <v>11300</v>
      </c>
      <c r="K47" s="568">
        <f t="shared" si="3"/>
        <v>11339</v>
      </c>
      <c r="L47" s="578">
        <f t="shared" si="3"/>
        <v>11369</v>
      </c>
      <c r="M47" s="33"/>
      <c r="N47" s="35"/>
    </row>
    <row r="48" spans="1:14">
      <c r="A48" s="577" t="s">
        <v>21</v>
      </c>
      <c r="B48" s="655">
        <f>B23</f>
        <v>11782</v>
      </c>
      <c r="C48" s="649">
        <f t="shared" ref="C48:K48" si="4">C23</f>
        <v>11704</v>
      </c>
      <c r="D48" s="568">
        <f t="shared" si="4"/>
        <v>11712</v>
      </c>
      <c r="E48" s="568">
        <f t="shared" si="4"/>
        <v>11761</v>
      </c>
      <c r="F48" s="568">
        <f t="shared" si="4"/>
        <v>11758</v>
      </c>
      <c r="G48" s="568">
        <f t="shared" si="4"/>
        <v>11813</v>
      </c>
      <c r="H48" s="568">
        <f t="shared" si="4"/>
        <v>11850</v>
      </c>
      <c r="I48" s="568">
        <f t="shared" si="4"/>
        <v>11935</v>
      </c>
      <c r="J48" s="568">
        <f t="shared" si="4"/>
        <v>12017</v>
      </c>
      <c r="K48" s="568">
        <f t="shared" si="4"/>
        <v>12151</v>
      </c>
      <c r="L48" s="578">
        <f>L23</f>
        <v>12279</v>
      </c>
      <c r="M48" s="33"/>
      <c r="N48" s="35"/>
    </row>
    <row r="49" spans="1:16">
      <c r="A49" s="577" t="s">
        <v>22</v>
      </c>
      <c r="B49" s="655">
        <f>B37</f>
        <v>11782</v>
      </c>
      <c r="C49" s="649">
        <f t="shared" ref="C49:L49" si="5">C37</f>
        <v>11757</v>
      </c>
      <c r="D49" s="568">
        <f t="shared" si="5"/>
        <v>11811</v>
      </c>
      <c r="E49" s="568">
        <f t="shared" si="5"/>
        <v>11902</v>
      </c>
      <c r="F49" s="568">
        <f t="shared" si="5"/>
        <v>11925</v>
      </c>
      <c r="G49" s="568">
        <f t="shared" si="5"/>
        <v>12010</v>
      </c>
      <c r="H49" s="568">
        <f t="shared" si="5"/>
        <v>12068</v>
      </c>
      <c r="I49" s="568">
        <f t="shared" si="5"/>
        <v>12168</v>
      </c>
      <c r="J49" s="568">
        <f t="shared" si="5"/>
        <v>12275</v>
      </c>
      <c r="K49" s="568">
        <f t="shared" si="5"/>
        <v>12430</v>
      </c>
      <c r="L49" s="578">
        <f t="shared" si="5"/>
        <v>12575</v>
      </c>
      <c r="M49" s="33"/>
      <c r="N49" s="35"/>
    </row>
    <row r="50" spans="1:16" ht="13.8" thickBot="1">
      <c r="A50" s="579" t="s">
        <v>415</v>
      </c>
      <c r="B50" s="656">
        <f>B57</f>
        <v>11782</v>
      </c>
      <c r="C50" s="651">
        <f>C57</f>
        <v>11599</v>
      </c>
      <c r="D50" s="573">
        <f>D57</f>
        <v>11507.135039367147</v>
      </c>
      <c r="E50" s="573">
        <f>E57</f>
        <v>11451.522787365064</v>
      </c>
      <c r="F50" s="573"/>
      <c r="G50" s="573"/>
      <c r="H50" s="573"/>
      <c r="I50" s="573"/>
      <c r="J50" s="573"/>
      <c r="K50" s="573"/>
      <c r="L50" s="580"/>
      <c r="M50" s="33"/>
      <c r="N50" s="35"/>
    </row>
    <row r="51" spans="1:16">
      <c r="A51" s="29"/>
      <c r="B51" s="29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5"/>
    </row>
    <row r="52" spans="1:16">
      <c r="A52" s="779" t="s">
        <v>227</v>
      </c>
      <c r="B52" s="779"/>
      <c r="C52" s="779"/>
      <c r="D52" s="779"/>
      <c r="E52" s="779"/>
      <c r="F52" s="3" t="str">
        <f>C35</f>
        <v>2026-27</v>
      </c>
      <c r="G52" s="3" t="s">
        <v>3</v>
      </c>
      <c r="H52" s="571" t="str">
        <f>E55</f>
        <v>2028-29</v>
      </c>
      <c r="I52" s="3"/>
      <c r="M52" s="33"/>
      <c r="N52" s="35"/>
    </row>
    <row r="53" spans="1:16">
      <c r="A53" s="779" t="str">
        <f>ENRHIST!C762</f>
        <v>BASED ON THREE YEAR PERCENT SURVIVAL AT THE SCHOOL LEVEL</v>
      </c>
      <c r="B53" s="779"/>
      <c r="C53" s="779"/>
      <c r="D53" s="779"/>
      <c r="E53" s="779"/>
      <c r="F53" s="3"/>
      <c r="G53" s="3"/>
      <c r="H53" s="3"/>
      <c r="I53" s="3"/>
      <c r="J53" s="3"/>
      <c r="K53" s="3"/>
      <c r="L53" s="3"/>
      <c r="M53" s="33"/>
      <c r="N53" s="35"/>
    </row>
    <row r="54" spans="1:16" ht="13.8" thickBot="1">
      <c r="M54" s="33"/>
      <c r="N54" s="35"/>
    </row>
    <row r="55" spans="1:16">
      <c r="A55" s="581"/>
      <c r="B55" s="645" t="str">
        <f>B7</f>
        <v>2025-26 Current Year</v>
      </c>
      <c r="C55" s="31" t="str">
        <f>C21</f>
        <v>2026-27</v>
      </c>
      <c r="D55" s="31" t="str">
        <f>D21</f>
        <v>2027-28</v>
      </c>
      <c r="E55" s="582" t="str">
        <f>E21</f>
        <v>2028-29</v>
      </c>
      <c r="F55" s="29"/>
      <c r="G55" s="29"/>
      <c r="H55" s="29"/>
      <c r="I55" s="29"/>
      <c r="J55" s="29"/>
      <c r="K55" s="29"/>
      <c r="L55" s="29"/>
      <c r="M55" s="33"/>
      <c r="N55" s="35"/>
    </row>
    <row r="56" spans="1:16">
      <c r="A56" s="577"/>
      <c r="B56" s="643"/>
      <c r="C56" s="244"/>
      <c r="D56" s="244"/>
      <c r="E56" s="583"/>
      <c r="F56" s="29"/>
      <c r="G56" s="29"/>
      <c r="H56" s="29"/>
      <c r="I56" s="29"/>
      <c r="J56" s="29"/>
      <c r="K56" s="29"/>
      <c r="L56" s="29"/>
      <c r="M56" s="33"/>
      <c r="N56" s="35"/>
      <c r="O56" s="35"/>
      <c r="P56" s="35"/>
    </row>
    <row r="57" spans="1:16">
      <c r="A57" s="577" t="s">
        <v>410</v>
      </c>
      <c r="B57" s="653">
        <f>B9</f>
        <v>11782</v>
      </c>
      <c r="C57" s="568">
        <f>ENRHIST!S782</f>
        <v>11599</v>
      </c>
      <c r="D57" s="568">
        <f>ENRHIST!S811</f>
        <v>11507.135039367147</v>
      </c>
      <c r="E57" s="578">
        <f>ENRHIST!S840</f>
        <v>11451.522787365064</v>
      </c>
      <c r="F57" s="33"/>
      <c r="G57" s="33"/>
      <c r="H57" s="33"/>
      <c r="I57" s="33"/>
      <c r="J57" s="33"/>
      <c r="K57" s="33"/>
      <c r="L57" s="33"/>
      <c r="M57" s="35"/>
      <c r="N57" s="35"/>
      <c r="O57" s="35"/>
      <c r="P57" s="35"/>
    </row>
    <row r="58" spans="1:16">
      <c r="A58" s="577" t="s">
        <v>12</v>
      </c>
      <c r="B58" s="643"/>
      <c r="C58" s="568">
        <f>C57-ENRHIST!S29</f>
        <v>-183</v>
      </c>
      <c r="D58" s="568">
        <f>D57-C57</f>
        <v>-91.864960632852672</v>
      </c>
      <c r="E58" s="578">
        <f>E57-D57</f>
        <v>-55.612252002083551</v>
      </c>
      <c r="F58" s="29"/>
      <c r="G58" s="29"/>
      <c r="H58" s="29"/>
      <c r="I58" s="29"/>
      <c r="J58" s="29"/>
      <c r="K58" s="29"/>
      <c r="L58" s="29"/>
    </row>
    <row r="59" spans="1:16">
      <c r="A59" s="577" t="s">
        <v>13</v>
      </c>
      <c r="B59" s="643"/>
      <c r="C59" s="569">
        <f>C57/ENRHIST!S29</f>
        <v>0.98446783228653878</v>
      </c>
      <c r="D59" s="569">
        <f>D57/C57</f>
        <v>0.99207992407682966</v>
      </c>
      <c r="E59" s="585">
        <f>E57/D57</f>
        <v>0.99516715048430138</v>
      </c>
      <c r="F59" s="34"/>
      <c r="G59" s="34"/>
      <c r="H59" s="34"/>
      <c r="I59" s="34"/>
      <c r="J59" s="34"/>
      <c r="K59" s="34"/>
      <c r="L59" s="34"/>
    </row>
    <row r="60" spans="1:16">
      <c r="A60" s="577" t="s">
        <v>14</v>
      </c>
      <c r="B60" s="643"/>
      <c r="C60" s="568"/>
      <c r="D60" s="568"/>
      <c r="E60" s="578"/>
      <c r="F60" s="33"/>
      <c r="G60" s="33"/>
      <c r="H60" s="33"/>
      <c r="I60" s="33"/>
      <c r="J60" s="33"/>
      <c r="K60" s="33"/>
      <c r="L60" s="33"/>
    </row>
    <row r="61" spans="1:16">
      <c r="A61" s="577" t="s">
        <v>15</v>
      </c>
      <c r="B61" s="643"/>
      <c r="C61" s="569"/>
      <c r="D61" s="569"/>
      <c r="E61" s="585"/>
      <c r="F61" s="34"/>
      <c r="G61" s="34"/>
      <c r="H61" s="34"/>
      <c r="I61" s="33"/>
      <c r="J61" s="33"/>
      <c r="K61" s="33"/>
      <c r="L61" s="34"/>
    </row>
    <row r="62" spans="1:16">
      <c r="A62" s="577" t="s">
        <v>16</v>
      </c>
      <c r="B62" s="643"/>
      <c r="C62" s="568"/>
      <c r="D62" s="568"/>
      <c r="E62" s="578"/>
      <c r="F62" s="33"/>
      <c r="G62" s="33"/>
      <c r="H62" s="33"/>
      <c r="I62" s="33"/>
      <c r="J62" s="33"/>
      <c r="K62" s="33"/>
      <c r="L62" s="33"/>
    </row>
    <row r="63" spans="1:16">
      <c r="A63" s="577" t="s">
        <v>17</v>
      </c>
      <c r="B63" s="643"/>
      <c r="C63" s="568"/>
      <c r="D63" s="568"/>
      <c r="E63" s="578"/>
      <c r="F63" s="33"/>
      <c r="G63" s="33"/>
      <c r="H63" s="33"/>
      <c r="I63" s="33"/>
      <c r="J63" s="33"/>
      <c r="K63" s="33"/>
      <c r="L63" s="33"/>
    </row>
    <row r="64" spans="1:16" ht="13.8" thickBot="1">
      <c r="A64" s="579" t="s">
        <v>418</v>
      </c>
      <c r="B64" s="644"/>
      <c r="C64" s="573">
        <f>ROUND(ENPRJ3!H161*SUMMARY!C57,0)</f>
        <v>61313</v>
      </c>
      <c r="D64" s="573">
        <f>ROUND(ENPRJ3!H161*SUMMARY!D57,0)</f>
        <v>60828</v>
      </c>
      <c r="E64" s="580">
        <f>ROUND(ENPRJ3!H161*SUMMARY!E57,0)</f>
        <v>60534</v>
      </c>
      <c r="F64" s="33"/>
      <c r="G64" s="33"/>
      <c r="H64" s="33"/>
      <c r="I64" s="33"/>
      <c r="J64" s="33"/>
      <c r="K64" s="33"/>
      <c r="L64" s="33"/>
    </row>
  </sheetData>
  <mergeCells count="2">
    <mergeCell ref="A53:E53"/>
    <mergeCell ref="A52:E52"/>
  </mergeCells>
  <phoneticPr fontId="0" type="noConversion"/>
  <pageMargins left="0.5" right="0.5" top="0.5" bottom="0.5" header="0.5" footer="0.5"/>
  <pageSetup scale="65" orientation="landscape" r:id="rId1"/>
  <headerFooter alignWithMargins="0">
    <oddFooter>&amp;L&amp;12DPP - OCBE
&amp;F&amp;R&amp;12Page &amp;P</oddFooter>
  </headerFooter>
  <rowBreaks count="1" manualBreakCount="1">
    <brk id="65" max="11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"/>
  <sheetViews>
    <sheetView view="pageBreakPreview" zoomScale="60" zoomScaleNormal="100" workbookViewId="0">
      <selection activeCell="G32" sqref="G32"/>
    </sheetView>
  </sheetViews>
  <sheetFormatPr defaultRowHeight="13.2"/>
  <sheetData/>
  <pageMargins left="0.7" right="0.7" top="0.75" bottom="0.75" header="0.3" footer="0.3"/>
  <pageSetup scale="63" orientation="landscape" r:id="rId1"/>
  <headerFooter>
    <oddHeader>&amp;L&amp;11ENRHIST&amp;C&amp;11OLDHAM COUNTY BOARD OF EDUCATION
CRESTWOOD, KENTUCKY&amp;R&amp;11&amp;D</oddHeader>
    <oddFooter>&amp;L&amp;11
DPP - OCBE
&amp;F&amp;R&amp;11
ENRHIST
Page 7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"/>
  <sheetViews>
    <sheetView view="pageBreakPreview" zoomScale="60" zoomScaleNormal="100" workbookViewId="0"/>
  </sheetViews>
  <sheetFormatPr defaultRowHeight="13.2"/>
  <sheetData/>
  <pageMargins left="0.7" right="0.7" top="0.75" bottom="0.75" header="0.3" footer="0.3"/>
  <pageSetup scale="40" orientation="landscape" r:id="rId1"/>
  <headerFooter>
    <oddHeader>&amp;L&amp;11ENPRJ3&amp;C&amp;11OLDHAM COUNTY BOARD OF EDUCTION
CRESTWOOD, KENTUCKY&amp;R&amp;11&amp;D</oddHeader>
    <oddFooter>&amp;L
&amp;11DPP - OCBE
&amp;F&amp;R
&amp;11ENPRJ3
Page 8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view="pageBreakPreview" zoomScale="60" zoomScaleNormal="100" workbookViewId="0">
      <selection activeCell="U58" sqref="U58"/>
    </sheetView>
  </sheetViews>
  <sheetFormatPr defaultRowHeight="13.2"/>
  <sheetData/>
  <pageMargins left="0.7" right="0.7" top="0.75" bottom="0.75" header="0.3" footer="0.3"/>
  <pageSetup scale="55" orientation="landscape" r:id="rId1"/>
  <headerFooter>
    <oddHeader>&amp;L&amp;11ENPRJ3&amp;C&amp;11OLDHAM COUNTY BOARD OF EDUCTION
CRESTWOOD, KENTUCKY&amp;R&amp;11&amp;D</oddHeader>
    <oddFooter>&amp;L
&amp;11DPP - OCBE
&amp;F&amp;R
&amp;11ENPRJ3
Page 9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"/>
  <sheetViews>
    <sheetView view="pageBreakPreview" zoomScale="60" zoomScaleNormal="100" workbookViewId="0">
      <selection activeCell="K36" sqref="K36"/>
    </sheetView>
  </sheetViews>
  <sheetFormatPr defaultRowHeight="13.2"/>
  <sheetData/>
  <pageMargins left="0.7" right="0.7" top="0.75" bottom="0.75" header="0.3" footer="0.3"/>
  <pageSetup scale="52" orientation="landscape" r:id="rId1"/>
  <headerFooter>
    <oddHeader>&amp;L&amp;11ENPRJ3&amp;C&amp;11OLDHAM COUNTY BOARD OF EDUCTION
CRESTWOOD, KENTUCKY&amp;R&amp;11&amp;D</oddHeader>
    <oddFooter>&amp;L
&amp;11DPP - OCBE
&amp;F&amp;R
&amp;11ENPRJ3
Page 10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view="pageBreakPreview" topLeftCell="N16" zoomScale="90" zoomScaleNormal="100" zoomScaleSheetLayoutView="90" workbookViewId="0">
      <selection activeCell="V17" sqref="V17"/>
    </sheetView>
  </sheetViews>
  <sheetFormatPr defaultRowHeight="13.2"/>
  <sheetData/>
  <pageMargins left="0.7" right="0.7" top="0.75" bottom="0.75" header="0.3" footer="0.3"/>
  <pageSetup scale="64" orientation="landscape" r:id="rId1"/>
  <headerFooter>
    <oddHeader>&amp;L&amp;11ENPRJ3&amp;C&amp;11OLDHAM COUNTY BOARD OF EDUCTION
CRESTWOOD, KENTUCKY&amp;R&amp;11&amp;D</oddHeader>
    <oddFooter>&amp;L
&amp;11DPP - OCBE
&amp;F&amp;R
&amp;11ENPRJ3
Page 11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view="pageBreakPreview" zoomScale="60" zoomScaleNormal="100" workbookViewId="0"/>
  </sheetViews>
  <sheetFormatPr defaultRowHeight="13.2"/>
  <sheetData/>
  <pageMargins left="0.7" right="0.7" top="0.75" bottom="0.75" header="0.3" footer="0.3"/>
  <pageSetup scale="70" orientation="landscape" r:id="rId1"/>
  <headerFooter>
    <oddHeader>&amp;L&amp;11ENPRJ3&amp;C&amp;11OLDHAM COUNTY BOARD OF EDUCTION
CRESTWOOD, KENTUCKY&amp;R&amp;11&amp;D</oddHeader>
    <oddFooter>&amp;L
&amp;11DPP - OCBE
&amp;F&amp;R
&amp;11ENPRJ3
Page 12</oddFoot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view="pageBreakPreview" zoomScale="60" zoomScaleNormal="100" workbookViewId="0"/>
  </sheetViews>
  <sheetFormatPr defaultRowHeight="13.2"/>
  <sheetData/>
  <pageMargins left="0.7" right="0.7" top="0.75" bottom="0.75" header="0.3" footer="0.3"/>
  <pageSetup scale="70" orientation="landscape" r:id="rId1"/>
  <headerFooter>
    <oddHeader>&amp;L&amp;11ENPRJ3&amp;C&amp;11OLDHAM COUNTY BOARD OF EDUCTION
CRESTWOOD, KENTUCKY&amp;R&amp;11&amp;D</oddHeader>
    <oddFooter>&amp;L
&amp;11DPP - OCBE
&amp;F&amp;R
&amp;11ENPRJ3
Page 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view="pageBreakPreview" zoomScale="60" zoomScaleNormal="100" workbookViewId="0"/>
  </sheetViews>
  <sheetFormatPr defaultRowHeight="13.2"/>
  <sheetData/>
  <pageMargins left="0.7" right="0.7" top="0.75" bottom="0.75" header="0.3" footer="0.3"/>
  <pageSetup scale="60" orientation="landscape" r:id="rId1"/>
  <headerFooter>
    <oddHeader>&amp;L&amp;11ENPRJ3&amp;C&amp;11OLDHAM COUNTY BOARD OF EDUCTION
CRESTWOOD, KENTUCKY&amp;R&amp;11&amp;D</oddHeader>
    <oddFooter>&amp;L
&amp;11DPP - OCBE
&amp;F&amp;R
&amp;11ENPRJ3
Page 14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view="pageBreakPreview" zoomScale="60" zoomScaleNormal="100" workbookViewId="0"/>
  </sheetViews>
  <sheetFormatPr defaultRowHeight="13.2"/>
  <sheetData/>
  <pageMargins left="0.7" right="0.7" top="0.75" bottom="0.75" header="0.3" footer="0.3"/>
  <pageSetup scale="60" orientation="landscape" r:id="rId1"/>
  <headerFooter>
    <oddHeader>&amp;L&amp;11ENPRJ3&amp;C&amp;11OLDHAM COUNTY BOARD OF EDUCTION
CRESTWOOD, KENTUCKY&amp;R&amp;11&amp;D</oddHeader>
    <oddFooter>&amp;L
&amp;11DPP - OCBE
&amp;F&amp;R
&amp;11ENPRJ3
Page 15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view="pageBreakPreview" zoomScale="80" zoomScaleNormal="100" zoomScaleSheetLayoutView="80" workbookViewId="0"/>
  </sheetViews>
  <sheetFormatPr defaultRowHeight="13.2"/>
  <sheetData/>
  <pageMargins left="0.7" right="0.7" top="0.75" bottom="0.75" header="0.3" footer="0.3"/>
  <pageSetup scale="40" orientation="landscape" r:id="rId1"/>
  <headerFooter>
    <oddHeader>&amp;L&amp;11ENPRJ3&amp;C&amp;11OLDHAM COUNTY BOARD OF EDUCTION
CRESTWOOD, KENTUCKY&amp;R&amp;11&amp;D</oddHeader>
    <oddFooter>&amp;L
&amp;11DPP - OCBE
&amp;F&amp;R
&amp;11ENPRJ3
Page 16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AO1177"/>
  <sheetViews>
    <sheetView showGridLines="0" view="pageBreakPreview" topLeftCell="A47" zoomScale="96" zoomScaleNormal="70" zoomScaleSheetLayoutView="96" workbookViewId="0">
      <selection activeCell="V33" sqref="V33"/>
    </sheetView>
  </sheetViews>
  <sheetFormatPr defaultColWidth="9.6640625" defaultRowHeight="13.2"/>
  <cols>
    <col min="1" max="1" width="15" style="61" customWidth="1"/>
    <col min="2" max="2" width="8.44140625" style="61" customWidth="1"/>
    <col min="3" max="3" width="9" style="61" customWidth="1"/>
    <col min="4" max="5" width="8.88671875" style="61" customWidth="1"/>
    <col min="6" max="6" width="9.33203125" style="61" customWidth="1"/>
    <col min="7" max="8" width="9.44140625" style="61" customWidth="1"/>
    <col min="9" max="9" width="9.33203125" style="61" customWidth="1"/>
    <col min="10" max="10" width="10.33203125" style="61" customWidth="1"/>
    <col min="11" max="11" width="9.44140625" style="61" customWidth="1"/>
    <col min="12" max="12" width="10.33203125" style="61" customWidth="1"/>
    <col min="13" max="13" width="10.5546875" style="61" customWidth="1"/>
    <col min="14" max="14" width="9.44140625" style="61" customWidth="1"/>
    <col min="15" max="15" width="11" style="61" customWidth="1"/>
    <col min="16" max="16" width="11.88671875" style="61" customWidth="1"/>
    <col min="17" max="17" width="12.5546875" style="61" customWidth="1"/>
    <col min="18" max="18" width="9.5546875" style="61" customWidth="1"/>
    <col min="19" max="19" width="12" style="61" customWidth="1"/>
    <col min="20" max="20" width="10.5546875" style="61" customWidth="1"/>
    <col min="21" max="21" width="12" style="61" customWidth="1"/>
    <col min="22" max="22" width="9" style="61" customWidth="1"/>
    <col min="23" max="23" width="8.88671875" style="61" customWidth="1"/>
    <col min="24" max="24" width="10.33203125" style="61" customWidth="1"/>
    <col min="25" max="25" width="10.109375" style="61" customWidth="1"/>
    <col min="26" max="26" width="12.109375" style="61" customWidth="1"/>
    <col min="27" max="27" width="10.109375" style="61" customWidth="1"/>
    <col min="28" max="28" width="9.6640625" style="61"/>
    <col min="29" max="29" width="10.33203125" style="61" bestFit="1" customWidth="1"/>
    <col min="30" max="16384" width="9.6640625" style="61"/>
  </cols>
  <sheetData>
    <row r="1" spans="1:28">
      <c r="A1" s="62"/>
      <c r="M1" s="63"/>
    </row>
    <row r="2" spans="1:28">
      <c r="A2" s="64"/>
      <c r="M2" s="63"/>
    </row>
    <row r="4" spans="1:28" ht="15.6">
      <c r="D4" s="65"/>
    </row>
    <row r="5" spans="1:28" ht="17.399999999999999">
      <c r="D5" s="65"/>
      <c r="G5" s="66"/>
    </row>
    <row r="6" spans="1:28" ht="15.6">
      <c r="D6" s="65"/>
    </row>
    <row r="7" spans="1:28" ht="15.6">
      <c r="D7" s="65"/>
    </row>
    <row r="8" spans="1:28" ht="15.6">
      <c r="D8" s="65"/>
    </row>
    <row r="9" spans="1:28" ht="17.399999999999999">
      <c r="D9" s="67" t="s">
        <v>23</v>
      </c>
      <c r="K9" s="67" t="s">
        <v>423</v>
      </c>
    </row>
    <row r="10" spans="1:28">
      <c r="B10" s="339"/>
      <c r="C10" s="339"/>
      <c r="D10" s="339"/>
      <c r="E10" s="339"/>
      <c r="F10" s="339"/>
      <c r="G10" s="339"/>
      <c r="H10" s="339"/>
      <c r="I10" s="339"/>
      <c r="J10" s="339"/>
      <c r="K10" s="339"/>
    </row>
    <row r="11" spans="1:28">
      <c r="A11" s="68" t="s">
        <v>24</v>
      </c>
      <c r="B11" s="780" t="s">
        <v>25</v>
      </c>
      <c r="C11" s="780"/>
      <c r="D11" s="780"/>
      <c r="E11" s="780"/>
      <c r="F11" s="780"/>
      <c r="G11" s="780"/>
      <c r="H11" s="780"/>
      <c r="I11" s="780"/>
      <c r="J11" s="780"/>
      <c r="K11" s="790" t="s">
        <v>63</v>
      </c>
      <c r="L11" s="790"/>
      <c r="M11" s="790"/>
      <c r="N11" s="790"/>
      <c r="O11" s="790" t="s">
        <v>364</v>
      </c>
      <c r="P11" s="790"/>
      <c r="Q11" s="790"/>
      <c r="R11" s="157"/>
      <c r="S11" s="69" t="s">
        <v>27</v>
      </c>
      <c r="T11" s="70"/>
      <c r="U11" s="71" t="s">
        <v>28</v>
      </c>
      <c r="V11" s="72" t="s">
        <v>29</v>
      </c>
      <c r="W11" s="71" t="s">
        <v>28</v>
      </c>
      <c r="X11" s="72" t="s">
        <v>29</v>
      </c>
      <c r="Y11" s="71" t="s">
        <v>30</v>
      </c>
      <c r="Z11" s="72" t="s">
        <v>29</v>
      </c>
      <c r="AA11" s="71" t="s">
        <v>31</v>
      </c>
      <c r="AB11" s="72" t="s">
        <v>29</v>
      </c>
    </row>
    <row r="12" spans="1:28">
      <c r="A12" s="73"/>
      <c r="B12" s="201" t="s">
        <v>289</v>
      </c>
      <c r="C12" s="201" t="s">
        <v>357</v>
      </c>
      <c r="D12" s="201" t="s">
        <v>358</v>
      </c>
      <c r="E12" s="201" t="s">
        <v>359</v>
      </c>
      <c r="F12" s="201" t="s">
        <v>360</v>
      </c>
      <c r="G12" s="201" t="s">
        <v>370</v>
      </c>
      <c r="H12" s="201" t="s">
        <v>356</v>
      </c>
      <c r="I12" s="201" t="s">
        <v>361</v>
      </c>
      <c r="J12" s="201" t="s">
        <v>406</v>
      </c>
      <c r="K12" s="201" t="s">
        <v>363</v>
      </c>
      <c r="L12" s="75" t="s">
        <v>36</v>
      </c>
      <c r="M12" s="75" t="s">
        <v>86</v>
      </c>
      <c r="N12" s="75" t="s">
        <v>99</v>
      </c>
      <c r="O12" s="74" t="s">
        <v>346</v>
      </c>
      <c r="P12" s="74" t="s">
        <v>90</v>
      </c>
      <c r="Q12" s="74" t="s">
        <v>103</v>
      </c>
      <c r="R12" s="540" t="s">
        <v>343</v>
      </c>
      <c r="S12" s="77"/>
      <c r="T12" s="70"/>
      <c r="U12" s="78"/>
      <c r="V12" s="79" t="s">
        <v>37</v>
      </c>
      <c r="W12" s="78" t="s">
        <v>38</v>
      </c>
      <c r="X12" s="79" t="s">
        <v>37</v>
      </c>
      <c r="Y12" s="78"/>
      <c r="Z12" s="79" t="s">
        <v>37</v>
      </c>
      <c r="AA12" s="78"/>
      <c r="AB12" s="79" t="s">
        <v>37</v>
      </c>
    </row>
    <row r="13" spans="1:28" ht="13.8" thickBot="1">
      <c r="U13" s="80"/>
      <c r="V13" s="81"/>
      <c r="W13" s="80" t="s">
        <v>39</v>
      </c>
      <c r="X13" s="81"/>
      <c r="Y13" s="80"/>
      <c r="Z13" s="81"/>
      <c r="AA13" s="80"/>
      <c r="AB13" s="81"/>
    </row>
    <row r="14" spans="1:28" ht="13.8" thickTop="1">
      <c r="A14" s="536" t="s">
        <v>391</v>
      </c>
      <c r="B14">
        <v>84</v>
      </c>
      <c r="C14">
        <v>62</v>
      </c>
      <c r="D14" s="61">
        <v>86</v>
      </c>
      <c r="E14" s="61">
        <v>69</v>
      </c>
      <c r="F14" s="61">
        <v>89</v>
      </c>
      <c r="G14" s="47">
        <v>79</v>
      </c>
      <c r="H14" s="769">
        <v>79</v>
      </c>
      <c r="I14">
        <v>73</v>
      </c>
      <c r="J14">
        <v>102</v>
      </c>
      <c r="K14"/>
      <c r="L14"/>
      <c r="M14"/>
      <c r="N14"/>
      <c r="O14"/>
      <c r="P14"/>
      <c r="Q14"/>
      <c r="R14"/>
      <c r="S14" s="61">
        <f t="shared" ref="S14:S27" si="0">SUM(B14:R14)</f>
        <v>723</v>
      </c>
      <c r="U14" s="321">
        <v>818</v>
      </c>
      <c r="V14" s="760">
        <f t="shared" ref="V14:V27" si="1">U14/S14</f>
        <v>1.1313969571230982</v>
      </c>
      <c r="W14" s="321">
        <v>818</v>
      </c>
      <c r="X14" s="760">
        <f t="shared" ref="X14:X27" si="2">W14/S14</f>
        <v>1.1313969571230982</v>
      </c>
      <c r="Y14" s="321">
        <v>850</v>
      </c>
      <c r="Z14" s="760">
        <f t="shared" ref="Z14:Z27" si="3">Y14/S14</f>
        <v>1.1756569847856155</v>
      </c>
      <c r="AA14" s="761">
        <v>845</v>
      </c>
      <c r="AB14" s="760">
        <f t="shared" ref="AB14:AB27" si="4">AA14/S14</f>
        <v>1.1687413554633472</v>
      </c>
    </row>
    <row r="15" spans="1:28">
      <c r="A15" s="536">
        <v>1</v>
      </c>
      <c r="B15">
        <v>84</v>
      </c>
      <c r="C15">
        <v>69</v>
      </c>
      <c r="D15" s="61">
        <v>87</v>
      </c>
      <c r="E15" s="61">
        <v>75</v>
      </c>
      <c r="F15" s="61">
        <v>86</v>
      </c>
      <c r="G15" s="47">
        <v>88</v>
      </c>
      <c r="H15" s="769">
        <v>90</v>
      </c>
      <c r="I15">
        <v>72</v>
      </c>
      <c r="J15">
        <v>84</v>
      </c>
      <c r="K15"/>
      <c r="L15"/>
      <c r="M15"/>
      <c r="N15"/>
      <c r="O15"/>
      <c r="P15"/>
      <c r="Q15"/>
      <c r="R15"/>
      <c r="S15" s="61">
        <f t="shared" si="0"/>
        <v>735</v>
      </c>
      <c r="U15" s="321">
        <v>768</v>
      </c>
      <c r="V15" s="760">
        <f t="shared" si="1"/>
        <v>1.0448979591836736</v>
      </c>
      <c r="W15" s="321">
        <v>769</v>
      </c>
      <c r="X15" s="760">
        <f t="shared" si="2"/>
        <v>1.0462585034013605</v>
      </c>
      <c r="Y15" s="321">
        <v>770</v>
      </c>
      <c r="Z15" s="760">
        <f t="shared" si="3"/>
        <v>1.0476190476190477</v>
      </c>
      <c r="AA15" s="761">
        <v>776</v>
      </c>
      <c r="AB15" s="760">
        <f t="shared" si="4"/>
        <v>1.05578231292517</v>
      </c>
    </row>
    <row r="16" spans="1:28">
      <c r="A16" s="536">
        <v>2</v>
      </c>
      <c r="B16">
        <v>103</v>
      </c>
      <c r="C16">
        <v>72</v>
      </c>
      <c r="D16" s="61">
        <v>95</v>
      </c>
      <c r="E16" s="61">
        <v>93</v>
      </c>
      <c r="F16" s="61">
        <v>103</v>
      </c>
      <c r="G16" s="47">
        <v>80</v>
      </c>
      <c r="H16" s="769">
        <v>97</v>
      </c>
      <c r="I16">
        <v>68</v>
      </c>
      <c r="J16">
        <v>96</v>
      </c>
      <c r="K16"/>
      <c r="L16"/>
      <c r="M16"/>
      <c r="N16"/>
      <c r="O16"/>
      <c r="P16"/>
      <c r="Q16"/>
      <c r="R16"/>
      <c r="S16" s="61">
        <f t="shared" si="0"/>
        <v>807</v>
      </c>
      <c r="U16" s="321">
        <v>801</v>
      </c>
      <c r="V16" s="760">
        <f t="shared" si="1"/>
        <v>0.99256505576208176</v>
      </c>
      <c r="W16" s="321">
        <v>801</v>
      </c>
      <c r="X16" s="760">
        <f t="shared" si="2"/>
        <v>0.99256505576208176</v>
      </c>
      <c r="Y16" s="321">
        <v>794</v>
      </c>
      <c r="Z16" s="760">
        <f t="shared" si="3"/>
        <v>0.98389095415117722</v>
      </c>
      <c r="AA16" s="761">
        <v>807</v>
      </c>
      <c r="AB16" s="760">
        <f t="shared" si="4"/>
        <v>1</v>
      </c>
    </row>
    <row r="17" spans="1:28">
      <c r="A17" s="536">
        <v>3</v>
      </c>
      <c r="B17">
        <v>99</v>
      </c>
      <c r="C17">
        <v>81</v>
      </c>
      <c r="D17" s="61">
        <v>95</v>
      </c>
      <c r="E17" s="61">
        <v>84</v>
      </c>
      <c r="F17" s="61">
        <v>109</v>
      </c>
      <c r="G17" s="47">
        <v>102</v>
      </c>
      <c r="H17" s="769">
        <v>120</v>
      </c>
      <c r="I17">
        <v>77</v>
      </c>
      <c r="J17">
        <v>109</v>
      </c>
      <c r="K17"/>
      <c r="L17"/>
      <c r="M17"/>
      <c r="N17"/>
      <c r="O17"/>
      <c r="P17"/>
      <c r="Q17"/>
      <c r="R17"/>
      <c r="S17" s="61">
        <f t="shared" si="0"/>
        <v>876</v>
      </c>
      <c r="U17" s="321">
        <v>866</v>
      </c>
      <c r="V17" s="760">
        <f t="shared" si="1"/>
        <v>0.98858447488584478</v>
      </c>
      <c r="W17" s="321">
        <v>866</v>
      </c>
      <c r="X17" s="760">
        <f t="shared" si="2"/>
        <v>0.98858447488584478</v>
      </c>
      <c r="Y17" s="321">
        <v>865</v>
      </c>
      <c r="Z17" s="760">
        <f t="shared" si="3"/>
        <v>0.98744292237442921</v>
      </c>
      <c r="AA17" s="761">
        <v>876</v>
      </c>
      <c r="AB17" s="760">
        <f t="shared" si="4"/>
        <v>1</v>
      </c>
    </row>
    <row r="18" spans="1:28">
      <c r="A18" s="536" t="s">
        <v>377</v>
      </c>
      <c r="B18">
        <v>132</v>
      </c>
      <c r="C18">
        <v>79</v>
      </c>
      <c r="D18" s="61">
        <v>80</v>
      </c>
      <c r="E18" s="61">
        <v>104</v>
      </c>
      <c r="F18" s="61">
        <v>106</v>
      </c>
      <c r="G18" s="47">
        <v>89</v>
      </c>
      <c r="H18" s="769">
        <v>97</v>
      </c>
      <c r="I18">
        <v>94</v>
      </c>
      <c r="J18">
        <v>93</v>
      </c>
      <c r="K18"/>
      <c r="L18"/>
      <c r="M18"/>
      <c r="N18"/>
      <c r="O18"/>
      <c r="P18"/>
      <c r="Q18"/>
      <c r="R18"/>
      <c r="S18" s="61">
        <f t="shared" si="0"/>
        <v>874</v>
      </c>
      <c r="U18" s="321">
        <v>869</v>
      </c>
      <c r="V18" s="760">
        <f t="shared" si="1"/>
        <v>0.99427917620137296</v>
      </c>
      <c r="W18" s="321">
        <v>869</v>
      </c>
      <c r="X18" s="760">
        <f t="shared" si="2"/>
        <v>0.99427917620137296</v>
      </c>
      <c r="Y18" s="321">
        <v>867</v>
      </c>
      <c r="Z18" s="760">
        <f t="shared" si="3"/>
        <v>0.99199084668192217</v>
      </c>
      <c r="AA18" s="761">
        <v>876</v>
      </c>
      <c r="AB18" s="760">
        <f t="shared" si="4"/>
        <v>1.0022883295194509</v>
      </c>
    </row>
    <row r="19" spans="1:28">
      <c r="A19" s="536" t="s">
        <v>378</v>
      </c>
      <c r="B19">
        <v>115</v>
      </c>
      <c r="C19">
        <v>89</v>
      </c>
      <c r="D19" s="61">
        <v>96</v>
      </c>
      <c r="E19" s="61">
        <v>101</v>
      </c>
      <c r="F19" s="61">
        <v>119</v>
      </c>
      <c r="G19" s="47">
        <v>111</v>
      </c>
      <c r="H19" s="769">
        <v>119</v>
      </c>
      <c r="I19">
        <v>62</v>
      </c>
      <c r="J19">
        <v>111</v>
      </c>
      <c r="K19"/>
      <c r="L19"/>
      <c r="M19"/>
      <c r="N19"/>
      <c r="O19"/>
      <c r="P19"/>
      <c r="Q19"/>
      <c r="R19"/>
      <c r="S19" s="61">
        <f t="shared" si="0"/>
        <v>923</v>
      </c>
      <c r="U19" s="321">
        <v>927</v>
      </c>
      <c r="V19" s="760">
        <f t="shared" si="1"/>
        <v>1.0043336944745396</v>
      </c>
      <c r="W19" s="321">
        <v>925</v>
      </c>
      <c r="X19" s="760">
        <f t="shared" si="2"/>
        <v>1.0021668472372698</v>
      </c>
      <c r="Y19" s="321">
        <v>931</v>
      </c>
      <c r="Z19" s="760">
        <f t="shared" si="3"/>
        <v>1.0086673889490791</v>
      </c>
      <c r="AA19" s="761">
        <v>931</v>
      </c>
      <c r="AB19" s="760">
        <f t="shared" si="4"/>
        <v>1.0086673889490791</v>
      </c>
    </row>
    <row r="20" spans="1:28">
      <c r="A20" s="536" t="s">
        <v>379</v>
      </c>
      <c r="B20"/>
      <c r="C20"/>
      <c r="D20"/>
      <c r="E20"/>
      <c r="F20"/>
      <c r="G20"/>
      <c r="H20"/>
      <c r="I20"/>
      <c r="J20"/>
      <c r="K20">
        <v>176</v>
      </c>
      <c r="L20" s="769">
        <v>246</v>
      </c>
      <c r="M20">
        <v>232</v>
      </c>
      <c r="N20">
        <v>297</v>
      </c>
      <c r="O20"/>
      <c r="P20"/>
      <c r="Q20"/>
      <c r="R20">
        <v>1</v>
      </c>
      <c r="S20" s="61">
        <f t="shared" si="0"/>
        <v>952</v>
      </c>
      <c r="U20" s="321">
        <v>947</v>
      </c>
      <c r="V20" s="760">
        <f t="shared" si="1"/>
        <v>0.99474789915966388</v>
      </c>
      <c r="W20" s="321">
        <v>947</v>
      </c>
      <c r="X20" s="760">
        <f t="shared" si="2"/>
        <v>0.99474789915966388</v>
      </c>
      <c r="Y20" s="321">
        <v>941</v>
      </c>
      <c r="Z20" s="760">
        <f t="shared" si="3"/>
        <v>0.98844537815126055</v>
      </c>
      <c r="AA20" s="761">
        <v>945</v>
      </c>
      <c r="AB20" s="760">
        <f t="shared" si="4"/>
        <v>0.99264705882352944</v>
      </c>
    </row>
    <row r="21" spans="1:28">
      <c r="A21" s="536" t="s">
        <v>380</v>
      </c>
      <c r="B21"/>
      <c r="C21"/>
      <c r="D21"/>
      <c r="E21"/>
      <c r="F21"/>
      <c r="G21"/>
      <c r="H21"/>
      <c r="I21"/>
      <c r="J21"/>
      <c r="K21">
        <v>193</v>
      </c>
      <c r="L21" s="769">
        <v>236</v>
      </c>
      <c r="M21">
        <v>269</v>
      </c>
      <c r="N21">
        <v>296</v>
      </c>
      <c r="O21"/>
      <c r="P21"/>
      <c r="Q21"/>
      <c r="R21">
        <v>1</v>
      </c>
      <c r="S21" s="61">
        <f t="shared" si="0"/>
        <v>995</v>
      </c>
      <c r="U21" s="321">
        <v>990</v>
      </c>
      <c r="V21" s="760">
        <f t="shared" si="1"/>
        <v>0.99497487437185927</v>
      </c>
      <c r="W21" s="321">
        <v>990</v>
      </c>
      <c r="X21" s="760">
        <f t="shared" si="2"/>
        <v>0.99497487437185927</v>
      </c>
      <c r="Y21" s="321">
        <v>984</v>
      </c>
      <c r="Z21" s="760">
        <f t="shared" si="3"/>
        <v>0.98894472361809049</v>
      </c>
      <c r="AA21" s="761">
        <v>992</v>
      </c>
      <c r="AB21" s="760">
        <f t="shared" si="4"/>
        <v>0.99698492462311561</v>
      </c>
    </row>
    <row r="22" spans="1:28">
      <c r="A22" s="536" t="s">
        <v>381</v>
      </c>
      <c r="B22"/>
      <c r="C22"/>
      <c r="D22"/>
      <c r="E22"/>
      <c r="F22"/>
      <c r="G22"/>
      <c r="H22"/>
      <c r="I22"/>
      <c r="J22"/>
      <c r="K22">
        <v>189</v>
      </c>
      <c r="L22" s="769">
        <v>238</v>
      </c>
      <c r="M22">
        <v>247</v>
      </c>
      <c r="N22">
        <v>272</v>
      </c>
      <c r="O22"/>
      <c r="P22"/>
      <c r="Q22"/>
      <c r="R22">
        <v>2</v>
      </c>
      <c r="S22" s="61">
        <f t="shared" si="0"/>
        <v>948</v>
      </c>
      <c r="U22" s="321">
        <v>936</v>
      </c>
      <c r="V22" s="760">
        <f t="shared" si="1"/>
        <v>0.98734177215189878</v>
      </c>
      <c r="W22" s="321">
        <v>935</v>
      </c>
      <c r="X22" s="760">
        <f t="shared" si="2"/>
        <v>0.98628691983122363</v>
      </c>
      <c r="Y22" s="321">
        <v>938</v>
      </c>
      <c r="Z22" s="760">
        <f t="shared" si="3"/>
        <v>0.98945147679324896</v>
      </c>
      <c r="AA22" s="761">
        <v>947</v>
      </c>
      <c r="AB22" s="760">
        <f t="shared" si="4"/>
        <v>0.99894514767932485</v>
      </c>
    </row>
    <row r="23" spans="1:28">
      <c r="A23" s="536" t="s">
        <v>382</v>
      </c>
      <c r="B23"/>
      <c r="C23"/>
      <c r="D23"/>
      <c r="E23"/>
      <c r="F23"/>
      <c r="G23"/>
      <c r="H23"/>
      <c r="I23"/>
      <c r="J23"/>
      <c r="K23"/>
      <c r="L23"/>
      <c r="M23"/>
      <c r="N23"/>
      <c r="O23">
        <v>239</v>
      </c>
      <c r="P23">
        <v>412</v>
      </c>
      <c r="Q23" s="769">
        <v>370</v>
      </c>
      <c r="R23">
        <v>15</v>
      </c>
      <c r="S23" s="61">
        <f t="shared" si="0"/>
        <v>1036</v>
      </c>
      <c r="U23" s="321">
        <v>1038</v>
      </c>
      <c r="V23" s="760">
        <f t="shared" si="1"/>
        <v>1.001930501930502</v>
      </c>
      <c r="W23" s="321">
        <v>1028</v>
      </c>
      <c r="X23" s="760">
        <f t="shared" si="2"/>
        <v>0.99227799227799229</v>
      </c>
      <c r="Y23" s="321">
        <v>1043</v>
      </c>
      <c r="Z23" s="760">
        <f t="shared" si="3"/>
        <v>1.0067567567567568</v>
      </c>
      <c r="AA23" s="761">
        <v>1048</v>
      </c>
      <c r="AB23" s="760">
        <f t="shared" si="4"/>
        <v>1.0115830115830116</v>
      </c>
    </row>
    <row r="24" spans="1:28">
      <c r="A24" s="536" t="s">
        <v>383</v>
      </c>
      <c r="B24"/>
      <c r="C24"/>
      <c r="D24"/>
      <c r="E24"/>
      <c r="F24"/>
      <c r="G24"/>
      <c r="H24"/>
      <c r="I24"/>
      <c r="J24"/>
      <c r="K24"/>
      <c r="L24"/>
      <c r="M24"/>
      <c r="N24"/>
      <c r="O24">
        <v>234</v>
      </c>
      <c r="P24">
        <v>351</v>
      </c>
      <c r="Q24" s="769">
        <v>355</v>
      </c>
      <c r="R24">
        <v>14</v>
      </c>
      <c r="S24" s="61">
        <f t="shared" si="0"/>
        <v>954</v>
      </c>
      <c r="U24" s="321">
        <v>958</v>
      </c>
      <c r="V24" s="760">
        <f t="shared" si="1"/>
        <v>1.0041928721174005</v>
      </c>
      <c r="W24" s="321">
        <v>955</v>
      </c>
      <c r="X24" s="760">
        <f t="shared" si="2"/>
        <v>1.0010482180293501</v>
      </c>
      <c r="Y24" s="321">
        <v>962</v>
      </c>
      <c r="Z24" s="760">
        <f t="shared" si="3"/>
        <v>1.0083857442348008</v>
      </c>
      <c r="AA24" s="761">
        <v>976</v>
      </c>
      <c r="AB24" s="760">
        <f t="shared" si="4"/>
        <v>1.0230607966457024</v>
      </c>
    </row>
    <row r="25" spans="1:28">
      <c r="A25" s="536" t="s">
        <v>384</v>
      </c>
      <c r="B25"/>
      <c r="C25"/>
      <c r="D25"/>
      <c r="E25"/>
      <c r="F25"/>
      <c r="G25"/>
      <c r="H25"/>
      <c r="I25"/>
      <c r="J25"/>
      <c r="K25"/>
      <c r="L25"/>
      <c r="M25"/>
      <c r="N25"/>
      <c r="O25">
        <v>247</v>
      </c>
      <c r="P25">
        <v>396</v>
      </c>
      <c r="Q25" s="769">
        <v>285</v>
      </c>
      <c r="R25">
        <v>13</v>
      </c>
      <c r="S25" s="61">
        <f t="shared" si="0"/>
        <v>941</v>
      </c>
      <c r="U25" s="321">
        <v>928</v>
      </c>
      <c r="V25" s="760">
        <f t="shared" si="1"/>
        <v>0.98618490967056327</v>
      </c>
      <c r="W25" s="321">
        <v>936</v>
      </c>
      <c r="X25" s="760">
        <f t="shared" si="2"/>
        <v>0.99468650371944745</v>
      </c>
      <c r="Y25" s="321">
        <v>924</v>
      </c>
      <c r="Z25" s="760">
        <f t="shared" si="3"/>
        <v>0.98193411264612118</v>
      </c>
      <c r="AA25" s="761">
        <v>929</v>
      </c>
      <c r="AB25" s="760">
        <f t="shared" si="4"/>
        <v>0.98724760892667374</v>
      </c>
    </row>
    <row r="26" spans="1:28">
      <c r="A26" s="536" t="s">
        <v>385</v>
      </c>
      <c r="B26"/>
      <c r="C26"/>
      <c r="D26"/>
      <c r="E26"/>
      <c r="F26"/>
      <c r="G26"/>
      <c r="H26"/>
      <c r="I26"/>
      <c r="J26"/>
      <c r="K26"/>
      <c r="L26"/>
      <c r="M26"/>
      <c r="N26"/>
      <c r="O26">
        <v>227</v>
      </c>
      <c r="P26">
        <v>400</v>
      </c>
      <c r="Q26" s="769">
        <v>358</v>
      </c>
      <c r="R26">
        <v>11</v>
      </c>
      <c r="S26" s="61">
        <f t="shared" si="0"/>
        <v>996</v>
      </c>
      <c r="U26" s="321">
        <v>977</v>
      </c>
      <c r="V26" s="760">
        <f t="shared" si="1"/>
        <v>0.98092369477911645</v>
      </c>
      <c r="W26" s="321">
        <v>973</v>
      </c>
      <c r="X26" s="760">
        <f t="shared" si="2"/>
        <v>0.9769076305220884</v>
      </c>
      <c r="Y26" s="321">
        <v>982</v>
      </c>
      <c r="Z26" s="760">
        <f t="shared" si="3"/>
        <v>0.98594377510040165</v>
      </c>
      <c r="AA26" s="761">
        <v>983</v>
      </c>
      <c r="AB26" s="760">
        <f t="shared" si="4"/>
        <v>0.98694779116465858</v>
      </c>
    </row>
    <row r="27" spans="1:28">
      <c r="A27" s="537" t="s">
        <v>386</v>
      </c>
      <c r="B27" s="163">
        <v>0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>
        <v>6</v>
      </c>
      <c r="P27">
        <v>9</v>
      </c>
      <c r="Q27">
        <v>7</v>
      </c>
      <c r="R27" s="61">
        <v>0</v>
      </c>
      <c r="S27" s="61">
        <f t="shared" si="0"/>
        <v>22</v>
      </c>
      <c r="U27" s="321">
        <v>13</v>
      </c>
      <c r="V27" s="760">
        <f t="shared" si="1"/>
        <v>0.59090909090909094</v>
      </c>
      <c r="W27" s="321">
        <v>13</v>
      </c>
      <c r="X27" s="760">
        <f t="shared" si="2"/>
        <v>0.59090909090909094</v>
      </c>
      <c r="Y27" s="321">
        <v>13</v>
      </c>
      <c r="Z27" s="760">
        <f t="shared" si="3"/>
        <v>0.59090909090909094</v>
      </c>
      <c r="AA27" s="761">
        <v>13</v>
      </c>
      <c r="AB27" s="760">
        <f t="shared" si="4"/>
        <v>0.59090909090909094</v>
      </c>
    </row>
    <row r="28" spans="1:28">
      <c r="A28" s="85"/>
      <c r="B28" s="86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8"/>
      <c r="T28" s="89"/>
      <c r="U28" s="78"/>
      <c r="V28" s="83"/>
      <c r="W28" s="78"/>
      <c r="X28" s="83"/>
      <c r="Y28" s="78"/>
      <c r="Z28" s="83"/>
      <c r="AA28" s="84" t="s">
        <v>40</v>
      </c>
      <c r="AB28" s="83"/>
    </row>
    <row r="29" spans="1:28">
      <c r="A29" s="90" t="s">
        <v>51</v>
      </c>
      <c r="B29" s="260">
        <f>SUM(B14:B27)</f>
        <v>617</v>
      </c>
      <c r="C29" s="260">
        <f t="shared" ref="C29:S29" si="5">SUM(C14:C27)</f>
        <v>452</v>
      </c>
      <c r="D29" s="260">
        <f t="shared" si="5"/>
        <v>539</v>
      </c>
      <c r="E29" s="260">
        <f t="shared" si="5"/>
        <v>526</v>
      </c>
      <c r="F29" s="260">
        <f t="shared" si="5"/>
        <v>612</v>
      </c>
      <c r="G29" s="260">
        <f>SUM(G14:G27)</f>
        <v>549</v>
      </c>
      <c r="H29" s="260">
        <f t="shared" si="5"/>
        <v>602</v>
      </c>
      <c r="I29" s="260">
        <f>SUM(I14:I27)</f>
        <v>446</v>
      </c>
      <c r="J29" s="260">
        <f>SUM(J14:J27)</f>
        <v>595</v>
      </c>
      <c r="K29" s="260">
        <f>SUM(K14:K27)</f>
        <v>558</v>
      </c>
      <c r="L29" s="91">
        <f t="shared" si="5"/>
        <v>720</v>
      </c>
      <c r="M29" s="91">
        <f t="shared" si="5"/>
        <v>748</v>
      </c>
      <c r="N29" s="91">
        <f t="shared" si="5"/>
        <v>865</v>
      </c>
      <c r="O29" s="91">
        <f t="shared" si="5"/>
        <v>953</v>
      </c>
      <c r="P29" s="91">
        <f t="shared" si="5"/>
        <v>1568</v>
      </c>
      <c r="Q29" s="91">
        <f t="shared" si="5"/>
        <v>1375</v>
      </c>
      <c r="R29" s="91">
        <f t="shared" si="5"/>
        <v>57</v>
      </c>
      <c r="S29" s="92">
        <f t="shared" si="5"/>
        <v>11782</v>
      </c>
      <c r="T29" s="92"/>
      <c r="U29" s="93">
        <f>SUM(U14:U28)</f>
        <v>11836</v>
      </c>
      <c r="V29" s="763">
        <f>U29/S29</f>
        <v>1.0045832626039721</v>
      </c>
      <c r="W29" s="93">
        <f>SUM(W14:W28)</f>
        <v>11825</v>
      </c>
      <c r="X29" s="763">
        <f>W29/S29</f>
        <v>1.0036496350364963</v>
      </c>
      <c r="Y29" s="93">
        <f>SUM(Y14:Y28)</f>
        <v>11864</v>
      </c>
      <c r="Z29" s="763">
        <f>Y29/S29</f>
        <v>1.006959769139365</v>
      </c>
      <c r="AA29" s="93">
        <f>SUM(AA14:AA28)</f>
        <v>11944</v>
      </c>
      <c r="AB29" s="763">
        <f>AA29/S29</f>
        <v>1.0137497878119164</v>
      </c>
    </row>
    <row r="30" spans="1:28"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S30" s="94"/>
      <c r="T30" s="95" t="s">
        <v>52</v>
      </c>
    </row>
    <row r="31" spans="1:28">
      <c r="A31" s="61" t="s">
        <v>53</v>
      </c>
      <c r="B31" s="61">
        <v>634</v>
      </c>
      <c r="C31" s="94">
        <v>464</v>
      </c>
      <c r="D31" s="94">
        <v>526</v>
      </c>
      <c r="E31" s="94">
        <v>545</v>
      </c>
      <c r="F31" s="94">
        <v>629</v>
      </c>
      <c r="G31" s="94">
        <v>566</v>
      </c>
      <c r="H31" s="94">
        <v>629</v>
      </c>
      <c r="I31" s="94">
        <v>461</v>
      </c>
      <c r="J31" s="94">
        <v>595</v>
      </c>
      <c r="K31" s="94">
        <v>585</v>
      </c>
      <c r="L31" s="94">
        <v>726</v>
      </c>
      <c r="M31" s="94">
        <v>762</v>
      </c>
      <c r="N31" s="94">
        <v>799</v>
      </c>
      <c r="O31" s="94">
        <v>964</v>
      </c>
      <c r="P31" s="94">
        <v>1589</v>
      </c>
      <c r="Q31" s="94">
        <v>1315</v>
      </c>
      <c r="R31" s="94">
        <v>47</v>
      </c>
      <c r="S31" s="94">
        <f>SUM(B31:R31)</f>
        <v>11836</v>
      </c>
      <c r="T31" s="96" t="s">
        <v>54</v>
      </c>
    </row>
    <row r="32" spans="1:28">
      <c r="A32" s="64" t="s">
        <v>55</v>
      </c>
      <c r="B32" s="126">
        <f t="shared" ref="B32:Q32" si="6">B31/B29</f>
        <v>1.027552674230146</v>
      </c>
      <c r="C32" s="126">
        <f t="shared" si="6"/>
        <v>1.0265486725663717</v>
      </c>
      <c r="D32" s="126">
        <f t="shared" si="6"/>
        <v>0.97588126159554733</v>
      </c>
      <c r="E32" s="126">
        <f t="shared" si="6"/>
        <v>1.0361216730038023</v>
      </c>
      <c r="F32" s="126">
        <f t="shared" si="6"/>
        <v>1.0277777777777777</v>
      </c>
      <c r="G32" s="126">
        <f t="shared" si="6"/>
        <v>1.0309653916211294</v>
      </c>
      <c r="H32" s="126">
        <f t="shared" si="6"/>
        <v>1.0448504983388704</v>
      </c>
      <c r="I32" s="126">
        <f t="shared" si="6"/>
        <v>1.0336322869955157</v>
      </c>
      <c r="J32" s="126">
        <f>J31/J29</f>
        <v>1</v>
      </c>
      <c r="K32" s="126">
        <f>K31/K29</f>
        <v>1.0483870967741935</v>
      </c>
      <c r="L32" s="126">
        <f t="shared" si="6"/>
        <v>1.0083333333333333</v>
      </c>
      <c r="M32" s="126">
        <f t="shared" si="6"/>
        <v>1.018716577540107</v>
      </c>
      <c r="N32" s="126">
        <f t="shared" si="6"/>
        <v>0.92369942196531796</v>
      </c>
      <c r="O32" s="126">
        <f t="shared" si="6"/>
        <v>1.0115424973767051</v>
      </c>
      <c r="P32" s="126">
        <f t="shared" si="6"/>
        <v>1.0133928571428572</v>
      </c>
      <c r="Q32" s="126">
        <f t="shared" si="6"/>
        <v>0.95636363636363642</v>
      </c>
      <c r="R32" s="126">
        <f>R31/R29</f>
        <v>0.82456140350877194</v>
      </c>
      <c r="S32" s="126">
        <f>S31/S29</f>
        <v>1.0045832626039721</v>
      </c>
      <c r="T32" s="97">
        <f>AVERAGEA(B32:R32)</f>
        <v>1.0004898270667109</v>
      </c>
      <c r="U32" s="98" t="s">
        <v>56</v>
      </c>
      <c r="V32" s="99">
        <f>AVERAGEA(V14:V26)</f>
        <v>1.0081810647547396</v>
      </c>
      <c r="W32" s="100"/>
      <c r="X32" s="99">
        <f>AVERAGEA(X14:X26)</f>
        <v>1.0073985425017427</v>
      </c>
      <c r="Y32" s="100"/>
      <c r="Z32" s="99">
        <f>AVERAGEA(Z14:Z26)</f>
        <v>1.0111638547586117</v>
      </c>
      <c r="AA32" s="100"/>
      <c r="AB32" s="101">
        <f>AVERAGEA(AB14:AB26)</f>
        <v>1.0179150558694663</v>
      </c>
    </row>
    <row r="33" spans="1:28">
      <c r="A33" s="61" t="s">
        <v>53</v>
      </c>
      <c r="T33" s="97"/>
      <c r="U33" s="102" t="s">
        <v>57</v>
      </c>
      <c r="V33" s="103">
        <f>(V32+T32)/2</f>
        <v>1.0043354459107252</v>
      </c>
      <c r="W33" s="103"/>
      <c r="X33" s="104">
        <f>(X32+T35)/2</f>
        <v>1.0032112490134948</v>
      </c>
      <c r="Y33" s="103"/>
      <c r="Z33" s="103">
        <f>(Z32+T37)/2</f>
        <v>1.0056747568765694</v>
      </c>
      <c r="AA33" s="103"/>
      <c r="AB33" s="105">
        <f>(AB32+T39)/2</f>
        <v>1.0137626737369492</v>
      </c>
    </row>
    <row r="34" spans="1:28">
      <c r="A34" s="61" t="s">
        <v>58</v>
      </c>
      <c r="B34" s="61">
        <v>633</v>
      </c>
      <c r="C34" s="94">
        <v>465</v>
      </c>
      <c r="D34" s="94">
        <v>527</v>
      </c>
      <c r="E34" s="94">
        <v>549</v>
      </c>
      <c r="F34" s="94">
        <v>628</v>
      </c>
      <c r="G34" s="94">
        <v>567</v>
      </c>
      <c r="H34" s="94">
        <v>630</v>
      </c>
      <c r="I34" s="94">
        <v>456</v>
      </c>
      <c r="J34" s="94">
        <v>593</v>
      </c>
      <c r="K34" s="94">
        <v>563</v>
      </c>
      <c r="L34" s="94">
        <v>706</v>
      </c>
      <c r="M34" s="94">
        <v>755</v>
      </c>
      <c r="N34" s="94">
        <v>847</v>
      </c>
      <c r="O34" s="94">
        <v>974</v>
      </c>
      <c r="P34" s="94">
        <v>1565</v>
      </c>
      <c r="Q34" s="94">
        <v>1320</v>
      </c>
      <c r="R34" s="94">
        <v>47</v>
      </c>
      <c r="S34" s="94">
        <f>SUM(B34:R34)</f>
        <v>11825</v>
      </c>
      <c r="T34" s="97"/>
    </row>
    <row r="35" spans="1:28">
      <c r="A35" s="64" t="s">
        <v>55</v>
      </c>
      <c r="B35" s="126">
        <f t="shared" ref="B35:Q35" si="7">B34/B29</f>
        <v>1.0259319286871962</v>
      </c>
      <c r="C35" s="126">
        <f t="shared" si="7"/>
        <v>1.0287610619469028</v>
      </c>
      <c r="D35" s="126">
        <f t="shared" si="7"/>
        <v>0.97773654916512054</v>
      </c>
      <c r="E35" s="126">
        <f t="shared" si="7"/>
        <v>1.043726235741445</v>
      </c>
      <c r="F35" s="126">
        <f t="shared" si="7"/>
        <v>1.0261437908496731</v>
      </c>
      <c r="G35" s="126">
        <f t="shared" si="7"/>
        <v>1.0327868852459017</v>
      </c>
      <c r="H35" s="126">
        <f t="shared" si="7"/>
        <v>1.0465116279069768</v>
      </c>
      <c r="I35" s="126">
        <f t="shared" si="7"/>
        <v>1.0224215246636772</v>
      </c>
      <c r="J35" s="126">
        <f>J34/J29</f>
        <v>0.99663865546218489</v>
      </c>
      <c r="K35" s="126">
        <f>K34/K29</f>
        <v>1.0089605734767024</v>
      </c>
      <c r="L35" s="126">
        <f t="shared" si="7"/>
        <v>0.98055555555555551</v>
      </c>
      <c r="M35" s="126">
        <f t="shared" si="7"/>
        <v>1.0093582887700534</v>
      </c>
      <c r="N35" s="126">
        <f t="shared" si="7"/>
        <v>0.97919075144508672</v>
      </c>
      <c r="O35" s="126">
        <f t="shared" si="7"/>
        <v>1.0220356768100733</v>
      </c>
      <c r="P35" s="126">
        <f t="shared" si="7"/>
        <v>0.99808673469387754</v>
      </c>
      <c r="Q35" s="126">
        <f t="shared" si="7"/>
        <v>0.96</v>
      </c>
      <c r="R35" s="126">
        <f>R34/R29</f>
        <v>0.82456140350877194</v>
      </c>
      <c r="S35" s="126">
        <f>S34/S29</f>
        <v>1.0036496350364963</v>
      </c>
      <c r="T35" s="97">
        <f>AVERAGEA(B35:R35)</f>
        <v>0.99902395552524703</v>
      </c>
    </row>
    <row r="36" spans="1:28">
      <c r="A36" s="61" t="s">
        <v>59</v>
      </c>
      <c r="B36" s="61">
        <v>637</v>
      </c>
      <c r="C36" s="94">
        <v>467</v>
      </c>
      <c r="D36" s="94">
        <v>529</v>
      </c>
      <c r="E36" s="94">
        <v>546</v>
      </c>
      <c r="F36" s="94">
        <v>632</v>
      </c>
      <c r="G36" s="94">
        <v>569</v>
      </c>
      <c r="H36" s="94">
        <v>633</v>
      </c>
      <c r="I36" s="94">
        <v>465</v>
      </c>
      <c r="J36" s="94">
        <v>599</v>
      </c>
      <c r="K36" s="94">
        <v>581</v>
      </c>
      <c r="L36" s="94">
        <v>725</v>
      </c>
      <c r="M36" s="94">
        <v>760</v>
      </c>
      <c r="N36" s="94">
        <v>797</v>
      </c>
      <c r="O36" s="94">
        <v>967</v>
      </c>
      <c r="P36" s="94">
        <v>1593</v>
      </c>
      <c r="Q36" s="94">
        <v>1320</v>
      </c>
      <c r="R36" s="94">
        <v>44</v>
      </c>
      <c r="S36" s="94">
        <f>SUM(B36:R36)</f>
        <v>11864</v>
      </c>
      <c r="T36" s="97"/>
    </row>
    <row r="37" spans="1:28">
      <c r="A37" s="64" t="s">
        <v>55</v>
      </c>
      <c r="B37" s="126">
        <f t="shared" ref="B37:Q37" si="8">B36/B29</f>
        <v>1.0324149108589951</v>
      </c>
      <c r="C37" s="126">
        <f t="shared" si="8"/>
        <v>1.0331858407079646</v>
      </c>
      <c r="D37" s="126">
        <f t="shared" si="8"/>
        <v>0.98144712430426717</v>
      </c>
      <c r="E37" s="126">
        <f t="shared" si="8"/>
        <v>1.038022813688213</v>
      </c>
      <c r="F37" s="126">
        <f t="shared" si="8"/>
        <v>1.0326797385620916</v>
      </c>
      <c r="G37" s="126">
        <f t="shared" si="8"/>
        <v>1.0364298724954462</v>
      </c>
      <c r="H37" s="126">
        <f t="shared" si="8"/>
        <v>1.0514950166112957</v>
      </c>
      <c r="I37" s="126">
        <f t="shared" si="8"/>
        <v>1.0426008968609866</v>
      </c>
      <c r="J37" s="126">
        <f>J36/J29</f>
        <v>1.0067226890756302</v>
      </c>
      <c r="K37" s="126">
        <f>K36/K29</f>
        <v>1.0412186379928314</v>
      </c>
      <c r="L37" s="126">
        <f t="shared" si="8"/>
        <v>1.0069444444444444</v>
      </c>
      <c r="M37" s="126">
        <f t="shared" si="8"/>
        <v>1.0160427807486632</v>
      </c>
      <c r="N37" s="126">
        <f t="shared" si="8"/>
        <v>0.92138728323699426</v>
      </c>
      <c r="O37" s="126">
        <f t="shared" si="8"/>
        <v>1.0146904512067156</v>
      </c>
      <c r="P37" s="126">
        <f t="shared" si="8"/>
        <v>1.0159438775510203</v>
      </c>
      <c r="Q37" s="126">
        <f t="shared" si="8"/>
        <v>0.96</v>
      </c>
      <c r="R37" s="126">
        <f>R36/R29</f>
        <v>0.77192982456140347</v>
      </c>
      <c r="S37" s="126">
        <f>S36/S29</f>
        <v>1.006959769139365</v>
      </c>
      <c r="T37" s="97">
        <f>AVERAGEA(B37:R37)</f>
        <v>1.000185658994527</v>
      </c>
    </row>
    <row r="38" spans="1:28">
      <c r="A38" s="61" t="s">
        <v>60</v>
      </c>
      <c r="B38" s="61">
        <v>642</v>
      </c>
      <c r="C38" s="94">
        <v>469</v>
      </c>
      <c r="D38" s="94">
        <v>532</v>
      </c>
      <c r="E38" s="94">
        <v>551</v>
      </c>
      <c r="F38" s="94">
        <v>636</v>
      </c>
      <c r="G38" s="94">
        <v>573</v>
      </c>
      <c r="H38" s="94">
        <v>638</v>
      </c>
      <c r="I38" s="94">
        <v>467</v>
      </c>
      <c r="J38" s="94">
        <v>603</v>
      </c>
      <c r="K38" s="94">
        <v>586</v>
      </c>
      <c r="L38" s="94">
        <v>730</v>
      </c>
      <c r="M38" s="94">
        <v>765</v>
      </c>
      <c r="N38" s="94">
        <v>803</v>
      </c>
      <c r="O38" s="94">
        <v>973</v>
      </c>
      <c r="P38" s="94">
        <v>1602</v>
      </c>
      <c r="Q38" s="94">
        <v>1327</v>
      </c>
      <c r="R38" s="94">
        <v>47</v>
      </c>
      <c r="S38" s="94">
        <f>SUM(B38:R38)</f>
        <v>11944</v>
      </c>
      <c r="T38" s="97"/>
    </row>
    <row r="39" spans="1:28" ht="13.8" thickBot="1">
      <c r="A39" s="106" t="s">
        <v>55</v>
      </c>
      <c r="B39" s="762">
        <f t="shared" ref="B39:Q39" si="9">B38/B29</f>
        <v>1.0405186385737439</v>
      </c>
      <c r="C39" s="762">
        <f t="shared" si="9"/>
        <v>1.0376106194690264</v>
      </c>
      <c r="D39" s="762">
        <f t="shared" si="9"/>
        <v>0.98701298701298701</v>
      </c>
      <c r="E39" s="762">
        <f t="shared" si="9"/>
        <v>1.0475285171102662</v>
      </c>
      <c r="F39" s="762">
        <f t="shared" si="9"/>
        <v>1.0392156862745099</v>
      </c>
      <c r="G39" s="762">
        <f t="shared" si="9"/>
        <v>1.0437158469945356</v>
      </c>
      <c r="H39" s="762">
        <f t="shared" si="9"/>
        <v>1.0598006644518272</v>
      </c>
      <c r="I39" s="762">
        <f t="shared" si="9"/>
        <v>1.047085201793722</v>
      </c>
      <c r="J39" s="762">
        <f>J38/J29</f>
        <v>1.0134453781512605</v>
      </c>
      <c r="K39" s="762">
        <f>K38/K29</f>
        <v>1.0501792114695341</v>
      </c>
      <c r="L39" s="762">
        <f t="shared" si="9"/>
        <v>1.0138888888888888</v>
      </c>
      <c r="M39" s="762">
        <f t="shared" si="9"/>
        <v>1.0227272727272727</v>
      </c>
      <c r="N39" s="762">
        <f t="shared" si="9"/>
        <v>0.92832369942196535</v>
      </c>
      <c r="O39" s="762">
        <f t="shared" si="9"/>
        <v>1.0209863588667367</v>
      </c>
      <c r="P39" s="762">
        <f t="shared" si="9"/>
        <v>1.0216836734693877</v>
      </c>
      <c r="Q39" s="762">
        <f t="shared" si="9"/>
        <v>0.96509090909090911</v>
      </c>
      <c r="R39" s="762">
        <f>R38/R29</f>
        <v>0.82456140350877194</v>
      </c>
      <c r="S39" s="762">
        <f>S38/S29</f>
        <v>1.0137497878119164</v>
      </c>
      <c r="T39" s="107">
        <f>AVERAGEA(B39:R39)</f>
        <v>1.0096102916044318</v>
      </c>
    </row>
    <row r="40" spans="1:28">
      <c r="A40" s="108" t="s">
        <v>61</v>
      </c>
      <c r="B40" s="100"/>
      <c r="C40" s="100"/>
      <c r="D40" s="100"/>
      <c r="E40" s="109" t="str">
        <f>N237</f>
        <v>2016-17</v>
      </c>
      <c r="F40" s="109" t="str">
        <f>N215</f>
        <v>2017-18</v>
      </c>
      <c r="G40" s="109" t="str">
        <f>N193</f>
        <v>2018-19</v>
      </c>
      <c r="H40" s="109" t="str">
        <f>N171</f>
        <v>2019-20</v>
      </c>
      <c r="I40" s="109" t="str">
        <f>N149</f>
        <v>2020-21</v>
      </c>
      <c r="J40" s="109" t="str">
        <f>N127</f>
        <v>2021-22</v>
      </c>
      <c r="K40" s="110" t="str">
        <f>N105</f>
        <v>2022-23</v>
      </c>
      <c r="L40" s="110" t="str">
        <f>N83</f>
        <v>2023-24</v>
      </c>
      <c r="M40" s="110" t="str">
        <f>N61</f>
        <v>2024-25</v>
      </c>
      <c r="N40" s="111" t="str">
        <f>K9</f>
        <v>2025-26</v>
      </c>
      <c r="O40" s="112"/>
    </row>
    <row r="41" spans="1:28">
      <c r="A41" s="113" t="str">
        <f>B12</f>
        <v>BU</v>
      </c>
      <c r="B41" s="29"/>
      <c r="C41" s="29"/>
      <c r="D41" s="29"/>
      <c r="E41" s="114">
        <f>B257</f>
        <v>531</v>
      </c>
      <c r="F41" s="114">
        <f>B235</f>
        <v>528</v>
      </c>
      <c r="G41" s="114">
        <f>B213</f>
        <v>563</v>
      </c>
      <c r="H41" s="114">
        <f>B191</f>
        <v>627</v>
      </c>
      <c r="I41" s="114">
        <f>B169</f>
        <v>609</v>
      </c>
      <c r="J41" s="114">
        <f>B147</f>
        <v>658</v>
      </c>
      <c r="K41" s="114">
        <f>B125</f>
        <v>653</v>
      </c>
      <c r="L41" s="114">
        <f>B103</f>
        <v>659</v>
      </c>
      <c r="M41" s="114">
        <f>B81</f>
        <v>619</v>
      </c>
      <c r="N41" s="115">
        <f>B29</f>
        <v>617</v>
      </c>
      <c r="O41" s="588"/>
    </row>
    <row r="42" spans="1:28">
      <c r="A42" s="113" t="str">
        <f>C12</f>
        <v>CA</v>
      </c>
      <c r="E42" s="94">
        <f>C257</f>
        <v>491</v>
      </c>
      <c r="F42" s="94">
        <f>C235</f>
        <v>496</v>
      </c>
      <c r="G42" s="94">
        <f>C213</f>
        <v>516</v>
      </c>
      <c r="H42" s="94">
        <f>C191</f>
        <v>496</v>
      </c>
      <c r="I42" s="94">
        <f>C169</f>
        <v>486</v>
      </c>
      <c r="J42" s="94">
        <f>C147</f>
        <v>488</v>
      </c>
      <c r="K42" s="114">
        <f>C125</f>
        <v>500</v>
      </c>
      <c r="L42" s="114">
        <f>C103</f>
        <v>491</v>
      </c>
      <c r="M42" s="114">
        <f>C81</f>
        <v>477</v>
      </c>
      <c r="N42" s="115">
        <f>C29</f>
        <v>452</v>
      </c>
      <c r="O42" s="588"/>
    </row>
    <row r="43" spans="1:28">
      <c r="A43" s="113" t="str">
        <f>D12</f>
        <v>CE</v>
      </c>
      <c r="E43" s="94">
        <f>D257</f>
        <v>503</v>
      </c>
      <c r="F43" s="94">
        <f>D235</f>
        <v>501</v>
      </c>
      <c r="G43" s="94">
        <f>D213</f>
        <v>513</v>
      </c>
      <c r="H43" s="94">
        <f>D191</f>
        <v>515</v>
      </c>
      <c r="I43" s="94">
        <f>D169</f>
        <v>519</v>
      </c>
      <c r="J43" s="94">
        <f>D147</f>
        <v>508</v>
      </c>
      <c r="K43" s="114">
        <f>D125</f>
        <v>515</v>
      </c>
      <c r="L43" s="114">
        <f>D103</f>
        <v>516</v>
      </c>
      <c r="M43" s="114">
        <f>D81</f>
        <v>519</v>
      </c>
      <c r="N43" s="115">
        <f>D29</f>
        <v>539</v>
      </c>
      <c r="O43" s="588"/>
    </row>
    <row r="44" spans="1:28">
      <c r="A44" s="113" t="str">
        <f>E12</f>
        <v>CR</v>
      </c>
      <c r="E44" s="94">
        <f>E257</f>
        <v>565</v>
      </c>
      <c r="F44" s="94">
        <f>E235</f>
        <v>562</v>
      </c>
      <c r="G44" s="94">
        <f>E213</f>
        <v>569</v>
      </c>
      <c r="H44" s="94">
        <f>E191</f>
        <v>573</v>
      </c>
      <c r="I44" s="94">
        <f>E169</f>
        <v>555</v>
      </c>
      <c r="J44" s="94">
        <f>E147</f>
        <v>558</v>
      </c>
      <c r="K44" s="114">
        <f>E125</f>
        <v>539</v>
      </c>
      <c r="L44" s="114">
        <f>E103</f>
        <v>565</v>
      </c>
      <c r="M44" s="114">
        <f>E81</f>
        <v>541</v>
      </c>
      <c r="N44" s="115">
        <f>E29</f>
        <v>526</v>
      </c>
      <c r="O44" s="588"/>
    </row>
    <row r="45" spans="1:28">
      <c r="A45" s="113" t="str">
        <f>F12</f>
        <v>GO</v>
      </c>
      <c r="E45" s="94">
        <f>F257</f>
        <v>666</v>
      </c>
      <c r="F45" s="94">
        <f>F235</f>
        <v>655</v>
      </c>
      <c r="G45" s="94">
        <f>F213</f>
        <v>677</v>
      </c>
      <c r="H45" s="94">
        <f>F191</f>
        <v>680</v>
      </c>
      <c r="I45" s="94">
        <f>F169</f>
        <v>675</v>
      </c>
      <c r="J45" s="94">
        <f>F147</f>
        <v>674</v>
      </c>
      <c r="K45" s="114">
        <f>F125</f>
        <v>649</v>
      </c>
      <c r="L45" s="114">
        <f>F103</f>
        <v>614</v>
      </c>
      <c r="M45" s="114">
        <f>F81</f>
        <v>627</v>
      </c>
      <c r="N45" s="115">
        <f>F29</f>
        <v>612</v>
      </c>
      <c r="O45" s="588"/>
    </row>
    <row r="46" spans="1:28">
      <c r="A46" s="113" t="str">
        <f>G12</f>
        <v>HA</v>
      </c>
      <c r="E46" s="94">
        <f>G257</f>
        <v>640</v>
      </c>
      <c r="F46" s="94">
        <f>G235</f>
        <v>649</v>
      </c>
      <c r="G46" s="94">
        <f>G213</f>
        <v>637</v>
      </c>
      <c r="H46" s="94">
        <f>G191</f>
        <v>635</v>
      </c>
      <c r="I46" s="94">
        <f>G169</f>
        <v>610</v>
      </c>
      <c r="J46" s="94">
        <f>G147</f>
        <v>616</v>
      </c>
      <c r="K46" s="114">
        <f>G125</f>
        <v>629</v>
      </c>
      <c r="L46" s="114">
        <f>G103</f>
        <v>598</v>
      </c>
      <c r="M46" s="114">
        <f>G81</f>
        <v>582</v>
      </c>
      <c r="N46" s="115">
        <f>G29</f>
        <v>549</v>
      </c>
      <c r="O46" s="588"/>
    </row>
    <row r="47" spans="1:28">
      <c r="A47" s="113" t="str">
        <f>H12</f>
        <v>KW</v>
      </c>
      <c r="E47" s="94">
        <f>H257</f>
        <v>627</v>
      </c>
      <c r="F47" s="94">
        <f>H235</f>
        <v>654</v>
      </c>
      <c r="G47" s="94">
        <f>H213</f>
        <v>653</v>
      </c>
      <c r="H47" s="94">
        <f>H191</f>
        <v>638</v>
      </c>
      <c r="I47" s="94">
        <f>H169</f>
        <v>642</v>
      </c>
      <c r="J47" s="94">
        <f>H147</f>
        <v>647</v>
      </c>
      <c r="K47" s="114">
        <f>H125</f>
        <v>646</v>
      </c>
      <c r="L47" s="114">
        <f>H103</f>
        <v>618</v>
      </c>
      <c r="M47" s="114">
        <f>H81</f>
        <v>628</v>
      </c>
      <c r="N47" s="115">
        <f>H29</f>
        <v>602</v>
      </c>
      <c r="O47" s="588"/>
    </row>
    <row r="48" spans="1:28">
      <c r="A48" s="113" t="str">
        <f>I12</f>
        <v>LA</v>
      </c>
      <c r="B48" s="29"/>
      <c r="C48" s="29"/>
      <c r="D48" s="29"/>
      <c r="E48" s="114">
        <f>I257</f>
        <v>510</v>
      </c>
      <c r="F48" s="114">
        <f>I235</f>
        <v>451</v>
      </c>
      <c r="G48" s="114">
        <f>I213</f>
        <v>437</v>
      </c>
      <c r="H48" s="114">
        <f>I191</f>
        <v>518</v>
      </c>
      <c r="I48" s="114">
        <f>I169</f>
        <v>476</v>
      </c>
      <c r="J48" s="114">
        <f>I147</f>
        <v>466</v>
      </c>
      <c r="K48" s="114">
        <f>I125</f>
        <v>460</v>
      </c>
      <c r="L48" s="114">
        <f>I103</f>
        <v>465</v>
      </c>
      <c r="M48" s="114">
        <f>I81</f>
        <v>454</v>
      </c>
      <c r="N48" s="115">
        <f>I29</f>
        <v>446</v>
      </c>
      <c r="O48" s="588"/>
    </row>
    <row r="49" spans="1:19" ht="13.8" thickBot="1">
      <c r="A49" s="664" t="str">
        <f>J12</f>
        <v>LO</v>
      </c>
      <c r="B49" s="136"/>
      <c r="C49" s="136"/>
      <c r="D49" s="136"/>
      <c r="E49" s="350">
        <f>J257</f>
        <v>767</v>
      </c>
      <c r="F49" s="350">
        <f>J235</f>
        <v>767</v>
      </c>
      <c r="G49" s="350">
        <f>J213</f>
        <v>790</v>
      </c>
      <c r="H49" s="350">
        <f>J191</f>
        <v>652</v>
      </c>
      <c r="I49" s="350">
        <f>J169</f>
        <v>584</v>
      </c>
      <c r="J49" s="350">
        <f>J147</f>
        <v>597</v>
      </c>
      <c r="K49" s="350">
        <f>J125</f>
        <v>590</v>
      </c>
      <c r="L49" s="350">
        <f>J103</f>
        <v>600</v>
      </c>
      <c r="M49" s="350">
        <f>J81</f>
        <v>593</v>
      </c>
      <c r="N49" s="665">
        <f>J29</f>
        <v>595</v>
      </c>
      <c r="O49" s="588"/>
    </row>
    <row r="50" spans="1:19" ht="13.8" thickTop="1">
      <c r="A50" s="90" t="s">
        <v>62</v>
      </c>
      <c r="B50" s="119"/>
      <c r="C50" s="119"/>
      <c r="D50" s="119"/>
      <c r="E50" s="91">
        <f t="shared" ref="E50:N50" si="10">SUM(E41:E49)</f>
        <v>5300</v>
      </c>
      <c r="F50" s="91">
        <f t="shared" si="10"/>
        <v>5263</v>
      </c>
      <c r="G50" s="91">
        <f t="shared" si="10"/>
        <v>5355</v>
      </c>
      <c r="H50" s="91">
        <f t="shared" si="10"/>
        <v>5334</v>
      </c>
      <c r="I50" s="91">
        <f t="shared" si="10"/>
        <v>5156</v>
      </c>
      <c r="J50" s="91">
        <f t="shared" si="10"/>
        <v>5212</v>
      </c>
      <c r="K50" s="91">
        <f t="shared" si="10"/>
        <v>5181</v>
      </c>
      <c r="L50" s="91">
        <f t="shared" si="10"/>
        <v>5126</v>
      </c>
      <c r="M50" s="91">
        <f t="shared" si="10"/>
        <v>5040</v>
      </c>
      <c r="N50" s="91">
        <f t="shared" si="10"/>
        <v>4938</v>
      </c>
      <c r="O50" s="120"/>
    </row>
    <row r="51" spans="1:19">
      <c r="A51" s="321" t="str">
        <f>K12</f>
        <v>EOMS</v>
      </c>
      <c r="B51" s="320"/>
      <c r="C51" s="320"/>
      <c r="D51" s="320"/>
      <c r="E51" s="325">
        <f>K257</f>
        <v>656</v>
      </c>
      <c r="F51" s="325">
        <f>K235</f>
        <v>674</v>
      </c>
      <c r="G51" s="325">
        <f>K213</f>
        <v>690</v>
      </c>
      <c r="H51" s="325">
        <f>K191</f>
        <v>666</v>
      </c>
      <c r="I51" s="325">
        <f>K169</f>
        <v>635</v>
      </c>
      <c r="J51" s="325">
        <f>K147</f>
        <v>648</v>
      </c>
      <c r="K51" s="325">
        <f>K125</f>
        <v>621</v>
      </c>
      <c r="L51" s="325">
        <f>K103</f>
        <v>601</v>
      </c>
      <c r="M51" s="325">
        <f>K81</f>
        <v>575</v>
      </c>
      <c r="N51" s="322">
        <f>K29</f>
        <v>558</v>
      </c>
      <c r="O51" s="120"/>
    </row>
    <row r="52" spans="1:19">
      <c r="A52" s="78" t="str">
        <f>L12</f>
        <v>NOMS</v>
      </c>
      <c r="E52" s="94">
        <f>L257</f>
        <v>798</v>
      </c>
      <c r="F52" s="94">
        <f>L235</f>
        <v>832</v>
      </c>
      <c r="G52" s="94">
        <f>L213</f>
        <v>773</v>
      </c>
      <c r="H52" s="94">
        <f>L191</f>
        <v>807</v>
      </c>
      <c r="I52" s="94">
        <f>L169</f>
        <v>764</v>
      </c>
      <c r="J52" s="94">
        <f>L147</f>
        <v>790</v>
      </c>
      <c r="K52" s="114">
        <f>L125</f>
        <v>786</v>
      </c>
      <c r="L52" s="114">
        <f>L103</f>
        <v>753</v>
      </c>
      <c r="M52" s="114">
        <f>L81</f>
        <v>722</v>
      </c>
      <c r="N52" s="115">
        <f>L29</f>
        <v>720</v>
      </c>
      <c r="O52" s="84"/>
    </row>
    <row r="53" spans="1:19">
      <c r="A53" s="78" t="str">
        <f>M12</f>
        <v>OCMS</v>
      </c>
      <c r="E53" s="94">
        <f>M257</f>
        <v>786</v>
      </c>
      <c r="F53" s="94">
        <f>M235</f>
        <v>788</v>
      </c>
      <c r="G53" s="94">
        <f>M213</f>
        <v>781</v>
      </c>
      <c r="H53" s="94">
        <f>M191</f>
        <v>783</v>
      </c>
      <c r="I53" s="94">
        <f>M169</f>
        <v>792</v>
      </c>
      <c r="J53" s="94">
        <f>M147</f>
        <v>729</v>
      </c>
      <c r="K53" s="114">
        <f>M125</f>
        <v>721</v>
      </c>
      <c r="L53" s="114">
        <f>M103</f>
        <v>698</v>
      </c>
      <c r="M53" s="114">
        <f>M81</f>
        <v>765</v>
      </c>
      <c r="N53" s="115">
        <f>M29</f>
        <v>748</v>
      </c>
      <c r="O53" s="84"/>
    </row>
    <row r="54" spans="1:19" ht="13.8" thickBot="1">
      <c r="A54" s="80" t="str">
        <f>N12</f>
        <v>SOMS</v>
      </c>
      <c r="B54" s="116"/>
      <c r="C54" s="116"/>
      <c r="D54" s="116"/>
      <c r="E54" s="117">
        <f>N257</f>
        <v>761</v>
      </c>
      <c r="F54" s="117">
        <f>N235</f>
        <v>788</v>
      </c>
      <c r="G54" s="117">
        <f>N213</f>
        <v>778</v>
      </c>
      <c r="H54" s="117">
        <f>N191</f>
        <v>818</v>
      </c>
      <c r="I54" s="117">
        <f>N169</f>
        <v>815</v>
      </c>
      <c r="J54" s="117">
        <f>N147</f>
        <v>816</v>
      </c>
      <c r="K54" s="117">
        <f>N125</f>
        <v>845</v>
      </c>
      <c r="L54" s="117">
        <f>N103</f>
        <v>824</v>
      </c>
      <c r="M54" s="117">
        <f>N81</f>
        <v>849</v>
      </c>
      <c r="N54" s="118">
        <f>N29</f>
        <v>865</v>
      </c>
      <c r="O54" s="84"/>
    </row>
    <row r="55" spans="1:19" ht="13.8" thickTop="1">
      <c r="A55" s="90" t="s">
        <v>63</v>
      </c>
      <c r="B55" s="119"/>
      <c r="C55" s="119"/>
      <c r="D55" s="119"/>
      <c r="E55" s="91">
        <f>SUM(E51:E54)</f>
        <v>3001</v>
      </c>
      <c r="F55" s="91">
        <f t="shared" ref="F55:N55" si="11">SUM(F51:F54)</f>
        <v>3082</v>
      </c>
      <c r="G55" s="91">
        <f t="shared" si="11"/>
        <v>3022</v>
      </c>
      <c r="H55" s="91">
        <f t="shared" si="11"/>
        <v>3074</v>
      </c>
      <c r="I55" s="91">
        <f t="shared" si="11"/>
        <v>3006</v>
      </c>
      <c r="J55" s="91">
        <f t="shared" si="11"/>
        <v>2983</v>
      </c>
      <c r="K55" s="91">
        <f t="shared" si="11"/>
        <v>2973</v>
      </c>
      <c r="L55" s="91">
        <f t="shared" si="11"/>
        <v>2876</v>
      </c>
      <c r="M55" s="91">
        <f t="shared" si="11"/>
        <v>2911</v>
      </c>
      <c r="N55" s="91">
        <f t="shared" si="11"/>
        <v>2891</v>
      </c>
      <c r="O55" s="120"/>
    </row>
    <row r="56" spans="1:19">
      <c r="A56" s="321" t="str">
        <f>O12</f>
        <v>NOHS</v>
      </c>
      <c r="B56" s="320"/>
      <c r="C56" s="320"/>
      <c r="D56" s="320"/>
      <c r="E56" s="325">
        <f>O257</f>
        <v>1025</v>
      </c>
      <c r="F56" s="325">
        <f>O235</f>
        <v>1038</v>
      </c>
      <c r="G56" s="325">
        <f>O213</f>
        <v>1067</v>
      </c>
      <c r="H56" s="325">
        <f>O191</f>
        <v>1054</v>
      </c>
      <c r="I56" s="325">
        <f>O169</f>
        <v>1070</v>
      </c>
      <c r="J56" s="325">
        <f>O147</f>
        <v>1039</v>
      </c>
      <c r="K56" s="325">
        <f>O125</f>
        <v>993</v>
      </c>
      <c r="L56" s="325">
        <f>O103</f>
        <v>986</v>
      </c>
      <c r="M56" s="325">
        <f>O81</f>
        <v>946</v>
      </c>
      <c r="N56" s="322">
        <f>O29</f>
        <v>953</v>
      </c>
      <c r="O56" s="120"/>
    </row>
    <row r="57" spans="1:19">
      <c r="A57" s="113" t="str">
        <f>P12</f>
        <v>OCHS</v>
      </c>
      <c r="E57" s="94">
        <f>P257</f>
        <v>1603</v>
      </c>
      <c r="F57" s="94">
        <f>P235</f>
        <v>1642</v>
      </c>
      <c r="G57" s="94">
        <f>P213</f>
        <v>1640</v>
      </c>
      <c r="H57" s="94">
        <f>P191</f>
        <v>1655</v>
      </c>
      <c r="I57" s="94">
        <f>P169</f>
        <v>1692</v>
      </c>
      <c r="J57" s="94">
        <f>P147</f>
        <v>1650</v>
      </c>
      <c r="K57" s="114">
        <f>P125</f>
        <v>1656</v>
      </c>
      <c r="L57" s="114">
        <f>P103</f>
        <v>1636</v>
      </c>
      <c r="M57" s="114">
        <f>P81</f>
        <v>1553</v>
      </c>
      <c r="N57" s="115">
        <f>P29</f>
        <v>1568</v>
      </c>
      <c r="O57" s="84"/>
    </row>
    <row r="58" spans="1:19" ht="13.8" thickBot="1">
      <c r="A58" s="255" t="str">
        <f>Q12</f>
        <v>SOHS</v>
      </c>
      <c r="B58" s="116"/>
      <c r="C58" s="116"/>
      <c r="D58" s="116"/>
      <c r="E58" s="117">
        <f>Q257</f>
        <v>1302</v>
      </c>
      <c r="F58" s="117">
        <f>Q235</f>
        <v>1337</v>
      </c>
      <c r="G58" s="117">
        <f>Q213</f>
        <v>1380</v>
      </c>
      <c r="H58" s="117">
        <f>Q191</f>
        <v>1387</v>
      </c>
      <c r="I58" s="117">
        <f>Q169</f>
        <v>1341</v>
      </c>
      <c r="J58" s="117">
        <f>Q147</f>
        <v>1329</v>
      </c>
      <c r="K58" s="117">
        <f>Q125</f>
        <v>1341</v>
      </c>
      <c r="L58" s="117">
        <f>Q103</f>
        <v>1270</v>
      </c>
      <c r="M58" s="117">
        <f>Q81</f>
        <v>1314</v>
      </c>
      <c r="N58" s="118">
        <f>Q29</f>
        <v>1375</v>
      </c>
      <c r="O58" s="84"/>
    </row>
    <row r="59" spans="1:19" ht="13.8" thickTop="1">
      <c r="A59" s="90" t="s">
        <v>64</v>
      </c>
      <c r="B59" s="119"/>
      <c r="C59" s="119"/>
      <c r="D59" s="119"/>
      <c r="E59" s="91">
        <f>SUM(E56:E58)</f>
        <v>3930</v>
      </c>
      <c r="F59" s="91">
        <f t="shared" ref="F59:N59" si="12">SUM(F56:F58)</f>
        <v>4017</v>
      </c>
      <c r="G59" s="91">
        <f t="shared" si="12"/>
        <v>4087</v>
      </c>
      <c r="H59" s="91">
        <f t="shared" si="12"/>
        <v>4096</v>
      </c>
      <c r="I59" s="91">
        <f t="shared" si="12"/>
        <v>4103</v>
      </c>
      <c r="J59" s="91">
        <f t="shared" si="12"/>
        <v>4018</v>
      </c>
      <c r="K59" s="91">
        <f t="shared" si="12"/>
        <v>3990</v>
      </c>
      <c r="L59" s="91">
        <f t="shared" si="12"/>
        <v>3892</v>
      </c>
      <c r="M59" s="91">
        <f t="shared" si="12"/>
        <v>3813</v>
      </c>
      <c r="N59" s="91">
        <f t="shared" si="12"/>
        <v>3896</v>
      </c>
      <c r="O59" s="120"/>
    </row>
    <row r="61" spans="1:19" ht="17.399999999999999">
      <c r="D61" s="67" t="s">
        <v>23</v>
      </c>
      <c r="N61" s="67" t="s">
        <v>422</v>
      </c>
    </row>
    <row r="62" spans="1:19">
      <c r="B62" s="339"/>
      <c r="C62" s="339"/>
      <c r="D62" s="339"/>
      <c r="E62" s="339"/>
      <c r="F62" s="339"/>
      <c r="G62" s="339"/>
      <c r="H62" s="339"/>
      <c r="I62" s="339"/>
      <c r="J62" s="339"/>
    </row>
    <row r="63" spans="1:19">
      <c r="A63" s="68" t="s">
        <v>24</v>
      </c>
      <c r="B63" s="780" t="s">
        <v>25</v>
      </c>
      <c r="C63" s="780"/>
      <c r="D63" s="780"/>
      <c r="E63" s="780"/>
      <c r="F63" s="780"/>
      <c r="G63" s="780"/>
      <c r="H63" s="780"/>
      <c r="I63" s="780"/>
      <c r="J63" s="780"/>
      <c r="K63" s="790" t="s">
        <v>63</v>
      </c>
      <c r="L63" s="790"/>
      <c r="M63" s="790"/>
      <c r="N63" s="790"/>
      <c r="O63" s="790" t="s">
        <v>364</v>
      </c>
      <c r="P63" s="790"/>
      <c r="Q63" s="790"/>
      <c r="R63" s="157"/>
      <c r="S63" s="69" t="s">
        <v>27</v>
      </c>
    </row>
    <row r="64" spans="1:19">
      <c r="A64" s="73"/>
      <c r="B64" s="201" t="s">
        <v>289</v>
      </c>
      <c r="C64" s="201" t="s">
        <v>357</v>
      </c>
      <c r="D64" s="201" t="s">
        <v>358</v>
      </c>
      <c r="E64" s="201" t="s">
        <v>359</v>
      </c>
      <c r="F64" s="201" t="s">
        <v>360</v>
      </c>
      <c r="G64" s="201" t="s">
        <v>370</v>
      </c>
      <c r="H64" s="201" t="s">
        <v>356</v>
      </c>
      <c r="I64" s="201" t="s">
        <v>361</v>
      </c>
      <c r="J64" s="201" t="s">
        <v>406</v>
      </c>
      <c r="K64" s="201" t="s">
        <v>363</v>
      </c>
      <c r="L64" s="75" t="s">
        <v>36</v>
      </c>
      <c r="M64" s="75" t="s">
        <v>86</v>
      </c>
      <c r="N64" s="75" t="s">
        <v>99</v>
      </c>
      <c r="O64" s="74" t="s">
        <v>346</v>
      </c>
      <c r="P64" s="74" t="s">
        <v>90</v>
      </c>
      <c r="Q64" s="74" t="s">
        <v>103</v>
      </c>
      <c r="R64" s="540" t="s">
        <v>343</v>
      </c>
      <c r="S64" s="77"/>
    </row>
    <row r="66" spans="1:19">
      <c r="A66" s="536" t="s">
        <v>391</v>
      </c>
      <c r="B66">
        <v>85</v>
      </c>
      <c r="C66">
        <v>69</v>
      </c>
      <c r="D66" s="61">
        <v>85</v>
      </c>
      <c r="E66" s="61">
        <v>77</v>
      </c>
      <c r="F66" s="61">
        <v>88</v>
      </c>
      <c r="G66" s="47">
        <v>92</v>
      </c>
      <c r="H66" s="769">
        <v>84</v>
      </c>
      <c r="I66">
        <v>76</v>
      </c>
      <c r="J66">
        <v>86</v>
      </c>
      <c r="K66"/>
      <c r="L66"/>
      <c r="M66"/>
      <c r="N66"/>
      <c r="O66"/>
      <c r="P66"/>
      <c r="Q66"/>
      <c r="R66"/>
      <c r="S66" s="61">
        <f t="shared" ref="S66:S79" si="13">SUM(B66:R66)</f>
        <v>742</v>
      </c>
    </row>
    <row r="67" spans="1:19">
      <c r="A67" s="536">
        <v>1</v>
      </c>
      <c r="B67">
        <v>99</v>
      </c>
      <c r="C67">
        <v>73</v>
      </c>
      <c r="D67" s="61">
        <v>90</v>
      </c>
      <c r="E67" s="61">
        <v>94</v>
      </c>
      <c r="F67" s="61">
        <v>99</v>
      </c>
      <c r="G67" s="47">
        <v>78</v>
      </c>
      <c r="H67" s="769">
        <v>95</v>
      </c>
      <c r="I67">
        <v>65</v>
      </c>
      <c r="J67">
        <v>91</v>
      </c>
      <c r="K67"/>
      <c r="L67"/>
      <c r="M67"/>
      <c r="N67"/>
      <c r="O67"/>
      <c r="P67"/>
      <c r="Q67"/>
      <c r="R67"/>
      <c r="S67" s="61">
        <f t="shared" si="13"/>
        <v>784</v>
      </c>
    </row>
    <row r="68" spans="1:19">
      <c r="A68" s="536">
        <v>2</v>
      </c>
      <c r="B68">
        <v>94</v>
      </c>
      <c r="C68">
        <v>78</v>
      </c>
      <c r="D68" s="61">
        <v>91</v>
      </c>
      <c r="E68" s="61">
        <v>81</v>
      </c>
      <c r="F68" s="61">
        <v>109</v>
      </c>
      <c r="G68" s="47">
        <v>99</v>
      </c>
      <c r="H68" s="769">
        <v>119</v>
      </c>
      <c r="I68">
        <v>75</v>
      </c>
      <c r="J68">
        <v>104</v>
      </c>
      <c r="K68"/>
      <c r="L68"/>
      <c r="M68"/>
      <c r="N68"/>
      <c r="O68"/>
      <c r="P68"/>
      <c r="Q68"/>
      <c r="R68"/>
      <c r="S68" s="61">
        <f t="shared" si="13"/>
        <v>850</v>
      </c>
    </row>
    <row r="69" spans="1:19">
      <c r="A69" s="536">
        <v>3</v>
      </c>
      <c r="B69">
        <v>126</v>
      </c>
      <c r="C69">
        <v>72</v>
      </c>
      <c r="D69" s="61">
        <v>74</v>
      </c>
      <c r="E69" s="61">
        <v>100</v>
      </c>
      <c r="F69" s="61">
        <v>103</v>
      </c>
      <c r="G69" s="47">
        <v>87</v>
      </c>
      <c r="H69" s="769">
        <v>99</v>
      </c>
      <c r="I69">
        <v>92</v>
      </c>
      <c r="J69">
        <v>95</v>
      </c>
      <c r="K69"/>
      <c r="L69"/>
      <c r="M69"/>
      <c r="N69"/>
      <c r="O69"/>
      <c r="P69"/>
      <c r="Q69"/>
      <c r="R69"/>
      <c r="S69" s="61">
        <f t="shared" si="13"/>
        <v>848</v>
      </c>
    </row>
    <row r="70" spans="1:19">
      <c r="A70" s="536" t="s">
        <v>377</v>
      </c>
      <c r="B70">
        <v>117</v>
      </c>
      <c r="C70">
        <v>86</v>
      </c>
      <c r="D70" s="61">
        <v>91</v>
      </c>
      <c r="E70" s="61">
        <v>94</v>
      </c>
      <c r="F70" s="61">
        <v>116</v>
      </c>
      <c r="G70" s="47">
        <v>105</v>
      </c>
      <c r="H70" s="769">
        <v>119</v>
      </c>
      <c r="I70">
        <v>71</v>
      </c>
      <c r="J70">
        <v>112</v>
      </c>
      <c r="K70"/>
      <c r="L70"/>
      <c r="M70"/>
      <c r="N70"/>
      <c r="O70"/>
      <c r="P70"/>
      <c r="Q70"/>
      <c r="R70"/>
      <c r="S70" s="61">
        <f t="shared" si="13"/>
        <v>911</v>
      </c>
    </row>
    <row r="71" spans="1:19">
      <c r="A71" s="536" t="s">
        <v>378</v>
      </c>
      <c r="B71">
        <v>98</v>
      </c>
      <c r="C71">
        <v>99</v>
      </c>
      <c r="D71" s="61">
        <v>88</v>
      </c>
      <c r="E71" s="61">
        <v>95</v>
      </c>
      <c r="F71" s="61">
        <v>112</v>
      </c>
      <c r="G71" s="47">
        <v>121</v>
      </c>
      <c r="H71" s="769">
        <v>112</v>
      </c>
      <c r="I71">
        <v>75</v>
      </c>
      <c r="J71">
        <v>105</v>
      </c>
      <c r="K71"/>
      <c r="L71"/>
      <c r="M71"/>
      <c r="N71"/>
      <c r="O71"/>
      <c r="P71"/>
      <c r="Q71"/>
      <c r="R71"/>
      <c r="S71" s="61">
        <f t="shared" si="13"/>
        <v>905</v>
      </c>
    </row>
    <row r="72" spans="1:19">
      <c r="A72" s="536" t="s">
        <v>379</v>
      </c>
      <c r="B72"/>
      <c r="C72"/>
      <c r="D72"/>
      <c r="E72"/>
      <c r="F72"/>
      <c r="G72"/>
      <c r="H72"/>
      <c r="I72"/>
      <c r="J72"/>
      <c r="K72">
        <v>189</v>
      </c>
      <c r="L72" s="769">
        <v>229</v>
      </c>
      <c r="M72">
        <v>266</v>
      </c>
      <c r="N72">
        <v>291</v>
      </c>
      <c r="O72"/>
      <c r="P72"/>
      <c r="Q72"/>
      <c r="R72">
        <v>0</v>
      </c>
      <c r="S72" s="61">
        <f t="shared" si="13"/>
        <v>975</v>
      </c>
    </row>
    <row r="73" spans="1:19">
      <c r="A73" s="536" t="s">
        <v>380</v>
      </c>
      <c r="B73"/>
      <c r="C73"/>
      <c r="D73"/>
      <c r="E73"/>
      <c r="F73"/>
      <c r="G73"/>
      <c r="H73"/>
      <c r="I73"/>
      <c r="J73"/>
      <c r="K73">
        <v>187</v>
      </c>
      <c r="L73" s="769">
        <v>236</v>
      </c>
      <c r="M73">
        <v>241</v>
      </c>
      <c r="N73">
        <v>266</v>
      </c>
      <c r="O73"/>
      <c r="P73"/>
      <c r="Q73"/>
      <c r="R73">
        <v>0</v>
      </c>
      <c r="S73" s="61">
        <f t="shared" si="13"/>
        <v>930</v>
      </c>
    </row>
    <row r="74" spans="1:19">
      <c r="A74" s="536" t="s">
        <v>381</v>
      </c>
      <c r="B74"/>
      <c r="C74"/>
      <c r="D74"/>
      <c r="E74"/>
      <c r="F74"/>
      <c r="G74"/>
      <c r="H74"/>
      <c r="I74"/>
      <c r="J74"/>
      <c r="K74">
        <v>199</v>
      </c>
      <c r="L74" s="769">
        <v>257</v>
      </c>
      <c r="M74">
        <v>258</v>
      </c>
      <c r="N74">
        <v>292</v>
      </c>
      <c r="O74"/>
      <c r="P74"/>
      <c r="Q74"/>
      <c r="R74">
        <v>4</v>
      </c>
      <c r="S74" s="61">
        <f t="shared" si="13"/>
        <v>1010</v>
      </c>
    </row>
    <row r="75" spans="1:19">
      <c r="A75" s="536" t="s">
        <v>382</v>
      </c>
      <c r="B75"/>
      <c r="C75"/>
      <c r="D75"/>
      <c r="E75"/>
      <c r="F75"/>
      <c r="G75"/>
      <c r="H75"/>
      <c r="I75"/>
      <c r="J75"/>
      <c r="K75"/>
      <c r="L75"/>
      <c r="M75"/>
      <c r="N75"/>
      <c r="O75">
        <v>232</v>
      </c>
      <c r="P75">
        <v>384</v>
      </c>
      <c r="Q75" s="769">
        <v>359</v>
      </c>
      <c r="R75">
        <v>12</v>
      </c>
      <c r="S75" s="61">
        <f t="shared" si="13"/>
        <v>987</v>
      </c>
    </row>
    <row r="76" spans="1:19">
      <c r="A76" s="536" t="s">
        <v>383</v>
      </c>
      <c r="B76"/>
      <c r="C76"/>
      <c r="D76"/>
      <c r="E76"/>
      <c r="F76"/>
      <c r="G76"/>
      <c r="H76"/>
      <c r="I76"/>
      <c r="J76"/>
      <c r="K76"/>
      <c r="L76"/>
      <c r="M76"/>
      <c r="N76"/>
      <c r="O76">
        <v>242</v>
      </c>
      <c r="P76">
        <v>396</v>
      </c>
      <c r="Q76" s="769">
        <v>292</v>
      </c>
      <c r="R76">
        <v>9</v>
      </c>
      <c r="S76" s="61">
        <f t="shared" si="13"/>
        <v>939</v>
      </c>
    </row>
    <row r="77" spans="1:19">
      <c r="A77" s="536" t="s">
        <v>384</v>
      </c>
      <c r="B77"/>
      <c r="C77"/>
      <c r="D77"/>
      <c r="E77"/>
      <c r="F77"/>
      <c r="G77"/>
      <c r="H77"/>
      <c r="I77"/>
      <c r="J77"/>
      <c r="K77"/>
      <c r="L77"/>
      <c r="M77"/>
      <c r="N77"/>
      <c r="O77">
        <v>233</v>
      </c>
      <c r="P77">
        <v>405</v>
      </c>
      <c r="Q77" s="769">
        <v>359</v>
      </c>
      <c r="R77">
        <v>11</v>
      </c>
      <c r="S77" s="61">
        <f t="shared" si="13"/>
        <v>1008</v>
      </c>
    </row>
    <row r="78" spans="1:19">
      <c r="A78" s="536" t="s">
        <v>385</v>
      </c>
      <c r="B78"/>
      <c r="C78"/>
      <c r="D78"/>
      <c r="E78"/>
      <c r="F78"/>
      <c r="G78"/>
      <c r="H78"/>
      <c r="I78"/>
      <c r="J78"/>
      <c r="K78"/>
      <c r="L78"/>
      <c r="M78"/>
      <c r="N78"/>
      <c r="O78">
        <v>234</v>
      </c>
      <c r="P78">
        <v>364</v>
      </c>
      <c r="Q78" s="769">
        <v>300</v>
      </c>
      <c r="R78">
        <v>11</v>
      </c>
      <c r="S78" s="61">
        <f t="shared" si="13"/>
        <v>909</v>
      </c>
    </row>
    <row r="79" spans="1:19">
      <c r="A79" s="537" t="s">
        <v>386</v>
      </c>
      <c r="B79" s="163">
        <v>0</v>
      </c>
      <c r="C79" s="61">
        <v>0</v>
      </c>
      <c r="D79" s="61">
        <v>0</v>
      </c>
      <c r="E79" s="61">
        <v>0</v>
      </c>
      <c r="F79" s="61">
        <v>0</v>
      </c>
      <c r="G79" s="61">
        <v>0</v>
      </c>
      <c r="H79" s="61">
        <v>0</v>
      </c>
      <c r="I79" s="61">
        <v>0</v>
      </c>
      <c r="J79" s="61">
        <v>0</v>
      </c>
      <c r="K79" s="61">
        <v>0</v>
      </c>
      <c r="L79" s="61">
        <v>0</v>
      </c>
      <c r="M79" s="61">
        <v>0</v>
      </c>
      <c r="N79" s="61">
        <v>0</v>
      </c>
      <c r="O79">
        <v>5</v>
      </c>
      <c r="P79">
        <v>4</v>
      </c>
      <c r="Q79">
        <v>4</v>
      </c>
      <c r="R79" s="61">
        <v>0</v>
      </c>
      <c r="S79" s="61">
        <f t="shared" si="13"/>
        <v>13</v>
      </c>
    </row>
    <row r="80" spans="1:19">
      <c r="A80" s="85"/>
      <c r="B80" s="86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8"/>
    </row>
    <row r="81" spans="1:19">
      <c r="A81" s="90" t="s">
        <v>51</v>
      </c>
      <c r="B81" s="260">
        <f t="shared" ref="B81:K81" si="14">SUM(B66:B79)</f>
        <v>619</v>
      </c>
      <c r="C81" s="260">
        <f t="shared" si="14"/>
        <v>477</v>
      </c>
      <c r="D81" s="260">
        <f t="shared" si="14"/>
        <v>519</v>
      </c>
      <c r="E81" s="260">
        <f t="shared" si="14"/>
        <v>541</v>
      </c>
      <c r="F81" s="260">
        <f t="shared" si="14"/>
        <v>627</v>
      </c>
      <c r="G81" s="260">
        <f t="shared" si="14"/>
        <v>582</v>
      </c>
      <c r="H81" s="260">
        <f t="shared" si="14"/>
        <v>628</v>
      </c>
      <c r="I81" s="260">
        <f t="shared" si="14"/>
        <v>454</v>
      </c>
      <c r="J81" s="260">
        <f t="shared" si="14"/>
        <v>593</v>
      </c>
      <c r="K81" s="260">
        <f t="shared" si="14"/>
        <v>575</v>
      </c>
      <c r="L81" s="91">
        <f t="shared" ref="L81:S81" si="15">SUM(L66:L79)</f>
        <v>722</v>
      </c>
      <c r="M81" s="91">
        <f t="shared" si="15"/>
        <v>765</v>
      </c>
      <c r="N81" s="91">
        <f t="shared" si="15"/>
        <v>849</v>
      </c>
      <c r="O81" s="91">
        <f t="shared" si="15"/>
        <v>946</v>
      </c>
      <c r="P81" s="91">
        <f t="shared" si="15"/>
        <v>1553</v>
      </c>
      <c r="Q81" s="91">
        <f t="shared" si="15"/>
        <v>1314</v>
      </c>
      <c r="R81" s="91">
        <f t="shared" si="15"/>
        <v>47</v>
      </c>
      <c r="S81" s="92">
        <f t="shared" si="15"/>
        <v>11811</v>
      </c>
    </row>
    <row r="83" spans="1:19" ht="17.399999999999999">
      <c r="D83" s="67" t="s">
        <v>23</v>
      </c>
      <c r="N83" s="67" t="s">
        <v>421</v>
      </c>
    </row>
    <row r="84" spans="1:19">
      <c r="B84" s="339"/>
      <c r="C84" s="339"/>
      <c r="D84" s="339"/>
      <c r="E84" s="339"/>
      <c r="F84" s="339"/>
      <c r="G84" s="339"/>
      <c r="H84" s="339"/>
      <c r="I84" s="339"/>
      <c r="J84" s="339"/>
    </row>
    <row r="85" spans="1:19">
      <c r="A85" s="68" t="s">
        <v>24</v>
      </c>
      <c r="B85" s="780" t="s">
        <v>25</v>
      </c>
      <c r="C85" s="780"/>
      <c r="D85" s="780"/>
      <c r="E85" s="780"/>
      <c r="F85" s="780"/>
      <c r="G85" s="780"/>
      <c r="H85" s="780"/>
      <c r="I85" s="780"/>
      <c r="J85" s="780"/>
      <c r="K85" s="790" t="s">
        <v>63</v>
      </c>
      <c r="L85" s="790"/>
      <c r="M85" s="790"/>
      <c r="N85" s="790"/>
      <c r="O85" s="790" t="s">
        <v>364</v>
      </c>
      <c r="P85" s="790"/>
      <c r="Q85" s="790"/>
      <c r="R85" s="157"/>
      <c r="S85" s="69" t="s">
        <v>27</v>
      </c>
    </row>
    <row r="86" spans="1:19">
      <c r="A86" s="73"/>
      <c r="B86" s="201" t="s">
        <v>289</v>
      </c>
      <c r="C86" s="201" t="s">
        <v>357</v>
      </c>
      <c r="D86" s="201" t="s">
        <v>358</v>
      </c>
      <c r="E86" s="201" t="s">
        <v>359</v>
      </c>
      <c r="F86" s="201" t="s">
        <v>360</v>
      </c>
      <c r="G86" s="201" t="s">
        <v>370</v>
      </c>
      <c r="H86" s="201" t="s">
        <v>356</v>
      </c>
      <c r="I86" s="201" t="s">
        <v>361</v>
      </c>
      <c r="J86" s="201" t="s">
        <v>406</v>
      </c>
      <c r="K86" s="201" t="s">
        <v>363</v>
      </c>
      <c r="L86" s="75" t="s">
        <v>36</v>
      </c>
      <c r="M86" s="75" t="s">
        <v>86</v>
      </c>
      <c r="N86" s="75" t="s">
        <v>99</v>
      </c>
      <c r="O86" s="74" t="s">
        <v>346</v>
      </c>
      <c r="P86" s="74" t="s">
        <v>90</v>
      </c>
      <c r="Q86" s="74" t="s">
        <v>103</v>
      </c>
      <c r="R86" s="540" t="s">
        <v>343</v>
      </c>
      <c r="S86" s="77"/>
    </row>
    <row r="88" spans="1:19">
      <c r="A88" s="536" t="s">
        <v>391</v>
      </c>
      <c r="B88">
        <v>95</v>
      </c>
      <c r="C88">
        <v>63</v>
      </c>
      <c r="D88" s="61">
        <v>89</v>
      </c>
      <c r="E88" s="61">
        <v>99</v>
      </c>
      <c r="F88" s="61">
        <v>97</v>
      </c>
      <c r="G88" s="47">
        <v>74</v>
      </c>
      <c r="H88" s="769">
        <v>85</v>
      </c>
      <c r="I88">
        <v>70</v>
      </c>
      <c r="J88">
        <v>91</v>
      </c>
      <c r="K88"/>
      <c r="L88"/>
      <c r="M88"/>
      <c r="N88"/>
      <c r="O88"/>
      <c r="P88"/>
      <c r="Q88"/>
      <c r="R88"/>
      <c r="S88" s="61">
        <f t="shared" ref="S88:S101" si="16">SUM(B88:R88)</f>
        <v>763</v>
      </c>
    </row>
    <row r="89" spans="1:19">
      <c r="A89" s="536">
        <v>1</v>
      </c>
      <c r="B89">
        <v>90</v>
      </c>
      <c r="C89">
        <v>77</v>
      </c>
      <c r="D89" s="61">
        <v>94</v>
      </c>
      <c r="E89" s="61">
        <v>75</v>
      </c>
      <c r="F89" s="61">
        <v>102</v>
      </c>
      <c r="G89" s="47">
        <v>101</v>
      </c>
      <c r="H89" s="769">
        <v>111</v>
      </c>
      <c r="I89">
        <v>76</v>
      </c>
      <c r="J89">
        <v>101</v>
      </c>
      <c r="K89"/>
      <c r="L89"/>
      <c r="M89"/>
      <c r="N89"/>
      <c r="O89"/>
      <c r="P89"/>
      <c r="Q89"/>
      <c r="R89"/>
      <c r="S89" s="61">
        <f t="shared" si="16"/>
        <v>827</v>
      </c>
    </row>
    <row r="90" spans="1:19">
      <c r="A90" s="536">
        <v>2</v>
      </c>
      <c r="B90">
        <v>126</v>
      </c>
      <c r="C90">
        <v>78</v>
      </c>
      <c r="D90" s="61">
        <v>73</v>
      </c>
      <c r="E90" s="61">
        <v>102</v>
      </c>
      <c r="F90" s="61">
        <v>97</v>
      </c>
      <c r="G90" s="47">
        <v>81</v>
      </c>
      <c r="H90" s="769">
        <v>92</v>
      </c>
      <c r="I90">
        <v>91</v>
      </c>
      <c r="J90">
        <v>97</v>
      </c>
      <c r="K90"/>
      <c r="L90"/>
      <c r="M90"/>
      <c r="N90"/>
      <c r="O90"/>
      <c r="P90"/>
      <c r="Q90"/>
      <c r="R90"/>
      <c r="S90" s="61">
        <f t="shared" si="16"/>
        <v>837</v>
      </c>
    </row>
    <row r="91" spans="1:19">
      <c r="A91" s="536">
        <v>3</v>
      </c>
      <c r="B91">
        <v>115</v>
      </c>
      <c r="C91">
        <v>82</v>
      </c>
      <c r="D91" s="61">
        <v>91</v>
      </c>
      <c r="E91" s="61">
        <v>91</v>
      </c>
      <c r="F91" s="61">
        <v>107</v>
      </c>
      <c r="G91" s="47">
        <v>105</v>
      </c>
      <c r="H91" s="769">
        <v>114</v>
      </c>
      <c r="I91">
        <v>76</v>
      </c>
      <c r="J91">
        <v>104</v>
      </c>
      <c r="K91"/>
      <c r="L91"/>
      <c r="M91"/>
      <c r="N91"/>
      <c r="O91"/>
      <c r="P91"/>
      <c r="Q91"/>
      <c r="R91"/>
      <c r="S91" s="61">
        <f t="shared" si="16"/>
        <v>885</v>
      </c>
    </row>
    <row r="92" spans="1:19">
      <c r="A92" s="536" t="s">
        <v>377</v>
      </c>
      <c r="B92">
        <v>96</v>
      </c>
      <c r="C92">
        <v>92</v>
      </c>
      <c r="D92" s="61">
        <v>87</v>
      </c>
      <c r="E92" s="61">
        <v>90</v>
      </c>
      <c r="F92" s="61">
        <v>107</v>
      </c>
      <c r="G92" s="47">
        <v>123</v>
      </c>
      <c r="H92" s="769">
        <v>104</v>
      </c>
      <c r="I92">
        <v>72</v>
      </c>
      <c r="J92">
        <v>104</v>
      </c>
      <c r="K92"/>
      <c r="L92"/>
      <c r="M92"/>
      <c r="N92"/>
      <c r="O92"/>
      <c r="P92"/>
      <c r="Q92"/>
      <c r="R92"/>
      <c r="S92" s="61">
        <f t="shared" si="16"/>
        <v>875</v>
      </c>
    </row>
    <row r="93" spans="1:19">
      <c r="A93" s="536" t="s">
        <v>378</v>
      </c>
      <c r="B93">
        <v>137</v>
      </c>
      <c r="C93">
        <v>99</v>
      </c>
      <c r="D93" s="61">
        <v>82</v>
      </c>
      <c r="E93" s="61">
        <v>108</v>
      </c>
      <c r="F93" s="61">
        <v>104</v>
      </c>
      <c r="G93" s="47">
        <v>114</v>
      </c>
      <c r="H93" s="769">
        <v>112</v>
      </c>
      <c r="I93">
        <v>80</v>
      </c>
      <c r="J93">
        <v>103</v>
      </c>
      <c r="K93"/>
      <c r="L93"/>
      <c r="M93"/>
      <c r="N93"/>
      <c r="O93"/>
      <c r="P93"/>
      <c r="Q93"/>
      <c r="R93"/>
      <c r="S93" s="61">
        <f t="shared" si="16"/>
        <v>939</v>
      </c>
    </row>
    <row r="94" spans="1:19">
      <c r="A94" s="536" t="s">
        <v>379</v>
      </c>
      <c r="B94"/>
      <c r="C94"/>
      <c r="D94"/>
      <c r="E94"/>
      <c r="F94"/>
      <c r="G94"/>
      <c r="H94"/>
      <c r="I94"/>
      <c r="J94"/>
      <c r="K94">
        <v>195</v>
      </c>
      <c r="L94" s="769">
        <v>237</v>
      </c>
      <c r="M94">
        <v>231</v>
      </c>
      <c r="N94">
        <v>250</v>
      </c>
      <c r="O94"/>
      <c r="P94"/>
      <c r="Q94"/>
      <c r="R94"/>
      <c r="S94" s="61">
        <f t="shared" si="16"/>
        <v>913</v>
      </c>
    </row>
    <row r="95" spans="1:19">
      <c r="A95" s="536" t="s">
        <v>380</v>
      </c>
      <c r="B95"/>
      <c r="C95"/>
      <c r="D95"/>
      <c r="E95"/>
      <c r="F95"/>
      <c r="G95"/>
      <c r="H95"/>
      <c r="I95"/>
      <c r="J95"/>
      <c r="K95">
        <v>205</v>
      </c>
      <c r="L95" s="769">
        <v>259</v>
      </c>
      <c r="M95">
        <v>258</v>
      </c>
      <c r="N95">
        <v>289</v>
      </c>
      <c r="O95"/>
      <c r="P95"/>
      <c r="Q95"/>
      <c r="R95">
        <v>2</v>
      </c>
      <c r="S95" s="61">
        <f t="shared" si="16"/>
        <v>1013</v>
      </c>
    </row>
    <row r="96" spans="1:19">
      <c r="A96" s="536" t="s">
        <v>381</v>
      </c>
      <c r="B96"/>
      <c r="C96"/>
      <c r="D96"/>
      <c r="E96"/>
      <c r="F96"/>
      <c r="G96"/>
      <c r="H96"/>
      <c r="I96"/>
      <c r="J96"/>
      <c r="K96">
        <v>201</v>
      </c>
      <c r="L96" s="769">
        <v>257</v>
      </c>
      <c r="M96">
        <v>209</v>
      </c>
      <c r="N96">
        <v>285</v>
      </c>
      <c r="O96"/>
      <c r="P96"/>
      <c r="Q96"/>
      <c r="R96">
        <v>3</v>
      </c>
      <c r="S96" s="61">
        <f t="shared" si="16"/>
        <v>955</v>
      </c>
    </row>
    <row r="97" spans="1:19">
      <c r="A97" s="536" t="s">
        <v>382</v>
      </c>
      <c r="B97"/>
      <c r="C97"/>
      <c r="D97"/>
      <c r="E97"/>
      <c r="F97"/>
      <c r="G97"/>
      <c r="H97"/>
      <c r="I97"/>
      <c r="J97"/>
      <c r="K97"/>
      <c r="L97"/>
      <c r="M97"/>
      <c r="N97"/>
      <c r="O97">
        <v>249</v>
      </c>
      <c r="P97">
        <v>427</v>
      </c>
      <c r="Q97" s="769">
        <v>301</v>
      </c>
      <c r="R97">
        <v>8</v>
      </c>
      <c r="S97" s="61">
        <f t="shared" si="16"/>
        <v>985</v>
      </c>
    </row>
    <row r="98" spans="1:19">
      <c r="A98" s="536" t="s">
        <v>383</v>
      </c>
      <c r="B98"/>
      <c r="C98"/>
      <c r="D98"/>
      <c r="E98"/>
      <c r="F98"/>
      <c r="G98"/>
      <c r="H98"/>
      <c r="I98"/>
      <c r="J98"/>
      <c r="K98"/>
      <c r="L98"/>
      <c r="M98"/>
      <c r="N98"/>
      <c r="O98">
        <v>236</v>
      </c>
      <c r="P98">
        <v>418</v>
      </c>
      <c r="Q98" s="769">
        <v>370</v>
      </c>
      <c r="R98">
        <v>14</v>
      </c>
      <c r="S98" s="61">
        <f t="shared" si="16"/>
        <v>1038</v>
      </c>
    </row>
    <row r="99" spans="1:19">
      <c r="A99" s="536" t="s">
        <v>384</v>
      </c>
      <c r="B99"/>
      <c r="C99"/>
      <c r="D99"/>
      <c r="E99"/>
      <c r="F99"/>
      <c r="G99"/>
      <c r="H99"/>
      <c r="I99"/>
      <c r="J99"/>
      <c r="K99"/>
      <c r="L99"/>
      <c r="M99"/>
      <c r="N99"/>
      <c r="O99">
        <v>244</v>
      </c>
      <c r="P99">
        <v>404</v>
      </c>
      <c r="Q99" s="769">
        <v>306</v>
      </c>
      <c r="R99">
        <v>10</v>
      </c>
      <c r="S99" s="61">
        <f t="shared" si="16"/>
        <v>964</v>
      </c>
    </row>
    <row r="100" spans="1:19">
      <c r="A100" s="536" t="s">
        <v>385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>
        <v>254</v>
      </c>
      <c r="P100">
        <v>384</v>
      </c>
      <c r="Q100" s="769">
        <v>284</v>
      </c>
      <c r="R100">
        <v>19</v>
      </c>
      <c r="S100" s="61">
        <f t="shared" si="16"/>
        <v>941</v>
      </c>
    </row>
    <row r="101" spans="1:19">
      <c r="A101" s="537" t="s">
        <v>386</v>
      </c>
      <c r="B101" s="163">
        <v>0</v>
      </c>
      <c r="C101" s="61">
        <v>0</v>
      </c>
      <c r="D101" s="61">
        <v>0</v>
      </c>
      <c r="E101" s="61">
        <v>0</v>
      </c>
      <c r="F101" s="61">
        <v>0</v>
      </c>
      <c r="G101" s="61">
        <v>0</v>
      </c>
      <c r="H101" s="61">
        <v>0</v>
      </c>
      <c r="I101" s="61">
        <v>0</v>
      </c>
      <c r="J101" s="61">
        <v>0</v>
      </c>
      <c r="K101" s="61">
        <v>0</v>
      </c>
      <c r="L101" s="61">
        <v>0</v>
      </c>
      <c r="M101" s="61">
        <v>0</v>
      </c>
      <c r="N101" s="61">
        <v>0</v>
      </c>
      <c r="O101">
        <v>3</v>
      </c>
      <c r="P101">
        <v>3</v>
      </c>
      <c r="Q101">
        <v>9</v>
      </c>
      <c r="R101" s="61">
        <v>0</v>
      </c>
      <c r="S101" s="61">
        <f t="shared" si="16"/>
        <v>15</v>
      </c>
    </row>
    <row r="102" spans="1:19">
      <c r="A102" s="85"/>
      <c r="B102" s="86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8"/>
    </row>
    <row r="103" spans="1:19">
      <c r="A103" s="90" t="s">
        <v>51</v>
      </c>
      <c r="B103" s="260">
        <f t="shared" ref="B103:S103" si="17">SUM(B88:B101)</f>
        <v>659</v>
      </c>
      <c r="C103" s="260">
        <f t="shared" si="17"/>
        <v>491</v>
      </c>
      <c r="D103" s="260">
        <f t="shared" si="17"/>
        <v>516</v>
      </c>
      <c r="E103" s="260">
        <f t="shared" si="17"/>
        <v>565</v>
      </c>
      <c r="F103" s="260">
        <f t="shared" si="17"/>
        <v>614</v>
      </c>
      <c r="G103" s="260">
        <f t="shared" si="17"/>
        <v>598</v>
      </c>
      <c r="H103" s="260">
        <f t="shared" si="17"/>
        <v>618</v>
      </c>
      <c r="I103" s="260">
        <f t="shared" si="17"/>
        <v>465</v>
      </c>
      <c r="J103" s="260">
        <f t="shared" si="17"/>
        <v>600</v>
      </c>
      <c r="K103" s="260">
        <f t="shared" si="17"/>
        <v>601</v>
      </c>
      <c r="L103" s="91">
        <f t="shared" si="17"/>
        <v>753</v>
      </c>
      <c r="M103" s="91">
        <f t="shared" si="17"/>
        <v>698</v>
      </c>
      <c r="N103" s="91">
        <f t="shared" si="17"/>
        <v>824</v>
      </c>
      <c r="O103" s="91">
        <f t="shared" si="17"/>
        <v>986</v>
      </c>
      <c r="P103" s="91">
        <f t="shared" si="17"/>
        <v>1636</v>
      </c>
      <c r="Q103" s="91">
        <f t="shared" si="17"/>
        <v>1270</v>
      </c>
      <c r="R103" s="91">
        <f t="shared" si="17"/>
        <v>56</v>
      </c>
      <c r="S103" s="92">
        <f t="shared" si="17"/>
        <v>11950</v>
      </c>
    </row>
    <row r="105" spans="1:19" ht="17.399999999999999">
      <c r="D105" s="67" t="s">
        <v>23</v>
      </c>
      <c r="N105" s="67" t="s">
        <v>416</v>
      </c>
    </row>
    <row r="106" spans="1:19">
      <c r="B106" s="339"/>
      <c r="C106" s="339"/>
      <c r="D106" s="339"/>
      <c r="E106" s="339"/>
      <c r="F106" s="339"/>
      <c r="G106" s="339"/>
      <c r="H106" s="339"/>
      <c r="I106" s="339"/>
      <c r="J106" s="339"/>
    </row>
    <row r="107" spans="1:19">
      <c r="A107" s="68" t="s">
        <v>24</v>
      </c>
      <c r="B107" s="770" t="s">
        <v>25</v>
      </c>
      <c r="C107" s="770"/>
      <c r="D107" s="770"/>
      <c r="E107" s="770"/>
      <c r="F107" s="770"/>
      <c r="G107" s="770"/>
      <c r="H107" s="770"/>
      <c r="I107" s="770"/>
      <c r="J107" s="770"/>
      <c r="K107" s="199" t="s">
        <v>63</v>
      </c>
      <c r="L107" s="199"/>
      <c r="M107" s="199"/>
      <c r="N107" s="199"/>
      <c r="O107" s="199" t="s">
        <v>364</v>
      </c>
      <c r="P107" s="199"/>
      <c r="Q107" s="199"/>
      <c r="R107" s="157"/>
      <c r="S107" s="69" t="s">
        <v>27</v>
      </c>
    </row>
    <row r="108" spans="1:19">
      <c r="A108" s="73"/>
      <c r="B108" s="201" t="s">
        <v>289</v>
      </c>
      <c r="C108" s="201" t="s">
        <v>357</v>
      </c>
      <c r="D108" s="201" t="s">
        <v>358</v>
      </c>
      <c r="E108" s="201" t="s">
        <v>359</v>
      </c>
      <c r="F108" s="201" t="s">
        <v>360</v>
      </c>
      <c r="G108" s="201" t="s">
        <v>370</v>
      </c>
      <c r="H108" s="201" t="s">
        <v>356</v>
      </c>
      <c r="I108" s="201" t="s">
        <v>361</v>
      </c>
      <c r="J108" s="201" t="s">
        <v>406</v>
      </c>
      <c r="K108" s="201" t="s">
        <v>363</v>
      </c>
      <c r="L108" s="74" t="s">
        <v>36</v>
      </c>
      <c r="M108" s="74" t="s">
        <v>86</v>
      </c>
      <c r="N108" s="74" t="s">
        <v>99</v>
      </c>
      <c r="O108" s="74" t="s">
        <v>346</v>
      </c>
      <c r="P108" s="74" t="s">
        <v>90</v>
      </c>
      <c r="Q108" s="74" t="s">
        <v>103</v>
      </c>
      <c r="R108" s="540" t="s">
        <v>343</v>
      </c>
      <c r="S108" s="77"/>
    </row>
    <row r="110" spans="1:19">
      <c r="A110" s="536" t="s">
        <v>391</v>
      </c>
      <c r="B110">
        <v>86</v>
      </c>
      <c r="C110">
        <v>73</v>
      </c>
      <c r="D110" s="61">
        <v>90</v>
      </c>
      <c r="E110" s="61">
        <v>80</v>
      </c>
      <c r="F110" s="61">
        <v>96</v>
      </c>
      <c r="G110" s="47">
        <v>97</v>
      </c>
      <c r="H110" s="769">
        <v>109</v>
      </c>
      <c r="I110">
        <v>78</v>
      </c>
      <c r="J110">
        <v>94</v>
      </c>
      <c r="K110"/>
      <c r="L110"/>
      <c r="M110"/>
      <c r="N110"/>
      <c r="O110"/>
      <c r="P110"/>
      <c r="Q110"/>
      <c r="R110"/>
      <c r="S110" s="61">
        <f t="shared" ref="S110:S123" si="18">SUM(B110:R110)</f>
        <v>803</v>
      </c>
    </row>
    <row r="111" spans="1:19">
      <c r="A111" s="536">
        <v>1</v>
      </c>
      <c r="B111">
        <v>122</v>
      </c>
      <c r="C111">
        <v>81</v>
      </c>
      <c r="D111" s="61">
        <v>73</v>
      </c>
      <c r="E111" s="61">
        <v>99</v>
      </c>
      <c r="F111" s="61">
        <v>97</v>
      </c>
      <c r="G111" s="47">
        <v>81</v>
      </c>
      <c r="H111" s="769">
        <v>87</v>
      </c>
      <c r="I111">
        <v>87</v>
      </c>
      <c r="J111">
        <v>93</v>
      </c>
      <c r="K111"/>
      <c r="L111"/>
      <c r="M111"/>
      <c r="N111"/>
      <c r="O111"/>
      <c r="P111"/>
      <c r="Q111"/>
      <c r="R111"/>
      <c r="S111" s="61">
        <f t="shared" si="18"/>
        <v>820</v>
      </c>
    </row>
    <row r="112" spans="1:19">
      <c r="A112" s="536">
        <v>2</v>
      </c>
      <c r="B112">
        <v>109</v>
      </c>
      <c r="C112">
        <v>81</v>
      </c>
      <c r="D112" s="61">
        <v>96</v>
      </c>
      <c r="E112" s="61">
        <v>91</v>
      </c>
      <c r="F112" s="61">
        <v>114</v>
      </c>
      <c r="G112" s="47">
        <v>102</v>
      </c>
      <c r="H112" s="769">
        <v>115</v>
      </c>
      <c r="I112">
        <v>76</v>
      </c>
      <c r="J112">
        <v>104</v>
      </c>
      <c r="K112"/>
      <c r="L112"/>
      <c r="M112"/>
      <c r="N112"/>
      <c r="O112"/>
      <c r="P112"/>
      <c r="Q112"/>
      <c r="R112"/>
      <c r="S112" s="61">
        <f t="shared" si="18"/>
        <v>888</v>
      </c>
    </row>
    <row r="113" spans="1:19">
      <c r="A113" s="536">
        <v>3</v>
      </c>
      <c r="B113">
        <v>93</v>
      </c>
      <c r="C113">
        <v>88</v>
      </c>
      <c r="D113" s="61">
        <v>87</v>
      </c>
      <c r="E113" s="61">
        <v>82</v>
      </c>
      <c r="F113" s="61">
        <v>106</v>
      </c>
      <c r="G113" s="47">
        <v>122</v>
      </c>
      <c r="H113" s="769">
        <v>108</v>
      </c>
      <c r="I113">
        <v>68</v>
      </c>
      <c r="J113">
        <v>103</v>
      </c>
      <c r="K113"/>
      <c r="L113"/>
      <c r="M113"/>
      <c r="N113"/>
      <c r="O113"/>
      <c r="P113"/>
      <c r="Q113"/>
      <c r="R113"/>
      <c r="S113" s="61">
        <f t="shared" si="18"/>
        <v>857</v>
      </c>
    </row>
    <row r="114" spans="1:19">
      <c r="A114" s="536" t="s">
        <v>377</v>
      </c>
      <c r="B114">
        <v>131</v>
      </c>
      <c r="C114">
        <v>98</v>
      </c>
      <c r="D114" s="61">
        <v>87</v>
      </c>
      <c r="E114" s="61">
        <v>109</v>
      </c>
      <c r="F114" s="61">
        <v>109</v>
      </c>
      <c r="G114" s="47">
        <v>113</v>
      </c>
      <c r="H114" s="769">
        <v>111</v>
      </c>
      <c r="I114">
        <v>83</v>
      </c>
      <c r="J114">
        <v>100</v>
      </c>
      <c r="K114"/>
      <c r="L114"/>
      <c r="M114"/>
      <c r="N114"/>
      <c r="O114"/>
      <c r="P114"/>
      <c r="Q114"/>
      <c r="R114"/>
      <c r="S114" s="61">
        <f t="shared" si="18"/>
        <v>941</v>
      </c>
    </row>
    <row r="115" spans="1:19">
      <c r="A115" s="536" t="s">
        <v>378</v>
      </c>
      <c r="B115">
        <v>112</v>
      </c>
      <c r="C115">
        <v>79</v>
      </c>
      <c r="D115" s="61">
        <v>82</v>
      </c>
      <c r="E115" s="61">
        <v>78</v>
      </c>
      <c r="F115" s="61">
        <v>127</v>
      </c>
      <c r="G115" s="47">
        <v>114</v>
      </c>
      <c r="H115" s="769">
        <v>116</v>
      </c>
      <c r="I115">
        <v>68</v>
      </c>
      <c r="J115">
        <v>96</v>
      </c>
      <c r="K115"/>
      <c r="L115"/>
      <c r="M115"/>
      <c r="N115"/>
      <c r="O115"/>
      <c r="P115"/>
      <c r="Q115"/>
      <c r="R115"/>
      <c r="S115" s="61">
        <f t="shared" si="18"/>
        <v>872</v>
      </c>
    </row>
    <row r="116" spans="1:19">
      <c r="A116" s="536" t="s">
        <v>379</v>
      </c>
      <c r="B116"/>
      <c r="C116"/>
      <c r="D116"/>
      <c r="E116"/>
      <c r="F116"/>
      <c r="G116"/>
      <c r="H116"/>
      <c r="I116"/>
      <c r="J116"/>
      <c r="K116">
        <v>211</v>
      </c>
      <c r="L116" s="769">
        <v>254</v>
      </c>
      <c r="M116">
        <v>254</v>
      </c>
      <c r="N116">
        <v>294</v>
      </c>
      <c r="O116"/>
      <c r="P116"/>
      <c r="Q116"/>
      <c r="R116"/>
      <c r="S116" s="61">
        <f t="shared" si="18"/>
        <v>1013</v>
      </c>
    </row>
    <row r="117" spans="1:19">
      <c r="A117" s="536" t="s">
        <v>380</v>
      </c>
      <c r="B117"/>
      <c r="C117"/>
      <c r="D117"/>
      <c r="E117"/>
      <c r="F117"/>
      <c r="G117"/>
      <c r="H117"/>
      <c r="I117"/>
      <c r="J117"/>
      <c r="K117">
        <v>201</v>
      </c>
      <c r="L117" s="769">
        <v>268</v>
      </c>
      <c r="M117">
        <v>214</v>
      </c>
      <c r="N117">
        <v>290</v>
      </c>
      <c r="O117"/>
      <c r="P117"/>
      <c r="Q117"/>
      <c r="R117">
        <v>3</v>
      </c>
      <c r="S117" s="61">
        <f t="shared" si="18"/>
        <v>976</v>
      </c>
    </row>
    <row r="118" spans="1:19">
      <c r="A118" s="536" t="s">
        <v>381</v>
      </c>
      <c r="B118"/>
      <c r="C118"/>
      <c r="D118"/>
      <c r="E118"/>
      <c r="F118"/>
      <c r="G118"/>
      <c r="H118"/>
      <c r="I118"/>
      <c r="J118"/>
      <c r="K118">
        <v>209</v>
      </c>
      <c r="L118" s="769">
        <v>264</v>
      </c>
      <c r="M118">
        <v>253</v>
      </c>
      <c r="N118">
        <v>261</v>
      </c>
      <c r="O118"/>
      <c r="P118"/>
      <c r="Q118"/>
      <c r="R118">
        <v>3</v>
      </c>
      <c r="S118" s="61">
        <f t="shared" si="18"/>
        <v>990</v>
      </c>
    </row>
    <row r="119" spans="1:19">
      <c r="A119" s="536" t="s">
        <v>382</v>
      </c>
      <c r="B119"/>
      <c r="C119"/>
      <c r="D119"/>
      <c r="E119"/>
      <c r="F119"/>
      <c r="G119"/>
      <c r="H119"/>
      <c r="I119"/>
      <c r="J119"/>
      <c r="K119"/>
      <c r="L119"/>
      <c r="M119"/>
      <c r="N119"/>
      <c r="O119">
        <v>241</v>
      </c>
      <c r="P119">
        <v>443</v>
      </c>
      <c r="Q119" s="769">
        <v>386</v>
      </c>
      <c r="R119">
        <v>6</v>
      </c>
      <c r="S119" s="61">
        <f t="shared" si="18"/>
        <v>1076</v>
      </c>
    </row>
    <row r="120" spans="1:19">
      <c r="A120" s="536" t="s">
        <v>383</v>
      </c>
      <c r="B120"/>
      <c r="C120"/>
      <c r="D120"/>
      <c r="E120"/>
      <c r="F120"/>
      <c r="G120"/>
      <c r="H120"/>
      <c r="I120"/>
      <c r="J120"/>
      <c r="K120"/>
      <c r="L120"/>
      <c r="M120"/>
      <c r="N120"/>
      <c r="O120">
        <v>253</v>
      </c>
      <c r="P120">
        <v>413</v>
      </c>
      <c r="Q120" s="769">
        <v>317</v>
      </c>
      <c r="R120">
        <v>12</v>
      </c>
      <c r="S120" s="61">
        <f t="shared" si="18"/>
        <v>995</v>
      </c>
    </row>
    <row r="121" spans="1:19">
      <c r="A121" s="536" t="s">
        <v>384</v>
      </c>
      <c r="B121"/>
      <c r="C121"/>
      <c r="D121"/>
      <c r="E121"/>
      <c r="F121"/>
      <c r="G121"/>
      <c r="H121"/>
      <c r="I121"/>
      <c r="J121"/>
      <c r="K121"/>
      <c r="L121"/>
      <c r="M121"/>
      <c r="N121"/>
      <c r="O121">
        <v>267</v>
      </c>
      <c r="P121">
        <v>423</v>
      </c>
      <c r="Q121" s="769">
        <v>293</v>
      </c>
      <c r="R121">
        <v>12</v>
      </c>
      <c r="S121" s="61">
        <f t="shared" si="18"/>
        <v>995</v>
      </c>
    </row>
    <row r="122" spans="1:19">
      <c r="A122" s="536" t="s">
        <v>385</v>
      </c>
      <c r="B122"/>
      <c r="C122"/>
      <c r="D122"/>
      <c r="E122"/>
      <c r="F122"/>
      <c r="G122"/>
      <c r="H122"/>
      <c r="I122"/>
      <c r="J122"/>
      <c r="K122"/>
      <c r="L122"/>
      <c r="M122"/>
      <c r="N122"/>
      <c r="O122">
        <v>228</v>
      </c>
      <c r="P122">
        <v>370</v>
      </c>
      <c r="Q122" s="769">
        <v>336</v>
      </c>
      <c r="R122">
        <v>15</v>
      </c>
      <c r="S122" s="61">
        <f t="shared" si="18"/>
        <v>949</v>
      </c>
    </row>
    <row r="123" spans="1:19">
      <c r="A123" s="537" t="s">
        <v>386</v>
      </c>
      <c r="B123" s="163">
        <v>0</v>
      </c>
      <c r="C123" s="61">
        <v>0</v>
      </c>
      <c r="D123" s="61">
        <v>0</v>
      </c>
      <c r="E123" s="61">
        <v>0</v>
      </c>
      <c r="F123" s="61">
        <v>0</v>
      </c>
      <c r="G123" s="61">
        <v>0</v>
      </c>
      <c r="H123" s="61">
        <v>0</v>
      </c>
      <c r="I123" s="61">
        <v>0</v>
      </c>
      <c r="J123" s="61">
        <v>0</v>
      </c>
      <c r="K123" s="61">
        <v>0</v>
      </c>
      <c r="L123" s="61">
        <v>0</v>
      </c>
      <c r="M123" s="61">
        <v>0</v>
      </c>
      <c r="N123" s="61">
        <v>0</v>
      </c>
      <c r="O123">
        <v>4</v>
      </c>
      <c r="P123">
        <v>7</v>
      </c>
      <c r="Q123">
        <v>9</v>
      </c>
      <c r="R123" s="61">
        <v>0</v>
      </c>
      <c r="S123" s="61">
        <f t="shared" si="18"/>
        <v>20</v>
      </c>
    </row>
    <row r="124" spans="1:19">
      <c r="A124" s="85"/>
      <c r="B124" s="86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8"/>
    </row>
    <row r="125" spans="1:19">
      <c r="A125" s="90" t="s">
        <v>51</v>
      </c>
      <c r="B125" s="260">
        <f t="shared" ref="B125:S125" si="19">SUM(B110:B123)</f>
        <v>653</v>
      </c>
      <c r="C125" s="260">
        <f t="shared" si="19"/>
        <v>500</v>
      </c>
      <c r="D125" s="260">
        <f t="shared" si="19"/>
        <v>515</v>
      </c>
      <c r="E125" s="260">
        <f t="shared" si="19"/>
        <v>539</v>
      </c>
      <c r="F125" s="260">
        <f t="shared" si="19"/>
        <v>649</v>
      </c>
      <c r="G125" s="260">
        <f t="shared" si="19"/>
        <v>629</v>
      </c>
      <c r="H125" s="260">
        <f t="shared" si="19"/>
        <v>646</v>
      </c>
      <c r="I125" s="260">
        <f t="shared" si="19"/>
        <v>460</v>
      </c>
      <c r="J125" s="260">
        <f t="shared" si="19"/>
        <v>590</v>
      </c>
      <c r="K125" s="260">
        <f t="shared" si="19"/>
        <v>621</v>
      </c>
      <c r="L125" s="91">
        <f t="shared" si="19"/>
        <v>786</v>
      </c>
      <c r="M125" s="91">
        <f t="shared" si="19"/>
        <v>721</v>
      </c>
      <c r="N125" s="91">
        <f t="shared" si="19"/>
        <v>845</v>
      </c>
      <c r="O125" s="91">
        <f t="shared" si="19"/>
        <v>993</v>
      </c>
      <c r="P125" s="91">
        <f t="shared" si="19"/>
        <v>1656</v>
      </c>
      <c r="Q125" s="91">
        <f t="shared" si="19"/>
        <v>1341</v>
      </c>
      <c r="R125" s="91">
        <f t="shared" si="19"/>
        <v>51</v>
      </c>
      <c r="S125" s="92">
        <f t="shared" si="19"/>
        <v>12195</v>
      </c>
    </row>
    <row r="127" spans="1:19" ht="17.399999999999999">
      <c r="D127" s="67" t="s">
        <v>23</v>
      </c>
      <c r="N127" s="67" t="s">
        <v>445</v>
      </c>
    </row>
    <row r="128" spans="1:19">
      <c r="B128" s="339"/>
      <c r="C128" s="339"/>
      <c r="D128" s="339"/>
      <c r="E128" s="339"/>
      <c r="F128" s="339"/>
      <c r="G128" s="339"/>
      <c r="H128" s="339"/>
      <c r="I128" s="339"/>
      <c r="J128" s="339"/>
    </row>
    <row r="129" spans="1:19">
      <c r="A129" s="68" t="s">
        <v>24</v>
      </c>
      <c r="B129" s="770" t="s">
        <v>25</v>
      </c>
      <c r="C129" s="770"/>
      <c r="D129" s="770"/>
      <c r="E129" s="770"/>
      <c r="F129" s="770"/>
      <c r="G129" s="770"/>
      <c r="H129" s="770"/>
      <c r="I129" s="770"/>
      <c r="J129" s="770"/>
      <c r="K129" s="199" t="s">
        <v>63</v>
      </c>
      <c r="L129" s="199"/>
      <c r="M129" s="199"/>
      <c r="N129" s="199"/>
      <c r="O129" s="199" t="s">
        <v>364</v>
      </c>
      <c r="P129" s="199"/>
      <c r="Q129" s="199"/>
      <c r="R129" s="157"/>
      <c r="S129" s="69" t="s">
        <v>27</v>
      </c>
    </row>
    <row r="130" spans="1:19">
      <c r="A130" s="73"/>
      <c r="B130" s="201" t="s">
        <v>289</v>
      </c>
      <c r="C130" s="201" t="s">
        <v>357</v>
      </c>
      <c r="D130" s="201" t="s">
        <v>358</v>
      </c>
      <c r="E130" s="201" t="s">
        <v>359</v>
      </c>
      <c r="F130" s="201" t="s">
        <v>360</v>
      </c>
      <c r="G130" s="201" t="s">
        <v>370</v>
      </c>
      <c r="H130" s="201" t="s">
        <v>356</v>
      </c>
      <c r="I130" s="201" t="s">
        <v>361</v>
      </c>
      <c r="J130" s="201" t="s">
        <v>406</v>
      </c>
      <c r="K130" s="201" t="s">
        <v>363</v>
      </c>
      <c r="L130" s="74" t="s">
        <v>36</v>
      </c>
      <c r="M130" s="74" t="s">
        <v>86</v>
      </c>
      <c r="N130" s="74" t="s">
        <v>99</v>
      </c>
      <c r="O130" s="74" t="s">
        <v>346</v>
      </c>
      <c r="P130" s="74" t="s">
        <v>90</v>
      </c>
      <c r="Q130" s="74" t="s">
        <v>103</v>
      </c>
      <c r="R130" s="540" t="s">
        <v>343</v>
      </c>
      <c r="S130" s="77"/>
    </row>
    <row r="132" spans="1:19">
      <c r="A132" s="536" t="s">
        <v>391</v>
      </c>
      <c r="B132">
        <v>114</v>
      </c>
      <c r="C132">
        <v>76</v>
      </c>
      <c r="D132" s="61">
        <v>67</v>
      </c>
      <c r="E132" s="61">
        <v>94</v>
      </c>
      <c r="F132" s="61">
        <v>94</v>
      </c>
      <c r="G132" s="47">
        <v>74</v>
      </c>
      <c r="H132" s="769">
        <v>94</v>
      </c>
      <c r="I132">
        <v>79</v>
      </c>
      <c r="J132">
        <v>90</v>
      </c>
      <c r="K132"/>
      <c r="L132"/>
      <c r="M132"/>
      <c r="N132"/>
      <c r="O132"/>
      <c r="P132"/>
      <c r="Q132"/>
      <c r="R132"/>
      <c r="S132" s="61">
        <f t="shared" ref="S132:S145" si="20">SUM(B132:R132)</f>
        <v>782</v>
      </c>
    </row>
    <row r="133" spans="1:19">
      <c r="A133" s="536">
        <v>1</v>
      </c>
      <c r="B133">
        <v>107</v>
      </c>
      <c r="C133">
        <v>76</v>
      </c>
      <c r="D133" s="61">
        <v>90</v>
      </c>
      <c r="E133" s="61">
        <v>86</v>
      </c>
      <c r="F133" s="61">
        <v>114</v>
      </c>
      <c r="G133" s="47">
        <v>104</v>
      </c>
      <c r="H133" s="769">
        <v>111</v>
      </c>
      <c r="I133">
        <v>82</v>
      </c>
      <c r="J133">
        <v>105</v>
      </c>
      <c r="K133"/>
      <c r="L133"/>
      <c r="M133"/>
      <c r="N133"/>
      <c r="O133"/>
      <c r="P133"/>
      <c r="Q133"/>
      <c r="R133"/>
      <c r="S133" s="61">
        <f t="shared" si="20"/>
        <v>875</v>
      </c>
    </row>
    <row r="134" spans="1:19">
      <c r="A134" s="536">
        <v>2</v>
      </c>
      <c r="B134">
        <v>85</v>
      </c>
      <c r="C134">
        <v>80</v>
      </c>
      <c r="D134" s="61">
        <v>95</v>
      </c>
      <c r="E134" s="61">
        <v>75</v>
      </c>
      <c r="F134" s="61">
        <v>102</v>
      </c>
      <c r="G134" s="47">
        <v>116</v>
      </c>
      <c r="H134" s="769">
        <v>99</v>
      </c>
      <c r="I134">
        <v>70</v>
      </c>
      <c r="J134">
        <v>97</v>
      </c>
      <c r="K134"/>
      <c r="L134"/>
      <c r="M134"/>
      <c r="N134"/>
      <c r="O134"/>
      <c r="P134"/>
      <c r="Q134"/>
      <c r="R134"/>
      <c r="S134" s="61">
        <f t="shared" si="20"/>
        <v>819</v>
      </c>
    </row>
    <row r="135" spans="1:19">
      <c r="A135" s="536">
        <v>3</v>
      </c>
      <c r="B135">
        <v>131</v>
      </c>
      <c r="C135">
        <v>94</v>
      </c>
      <c r="D135" s="61">
        <v>81</v>
      </c>
      <c r="E135" s="61">
        <v>105</v>
      </c>
      <c r="F135" s="61">
        <v>104</v>
      </c>
      <c r="G135" s="47">
        <v>109</v>
      </c>
      <c r="H135" s="769">
        <v>107</v>
      </c>
      <c r="I135">
        <v>83</v>
      </c>
      <c r="J135">
        <v>106</v>
      </c>
      <c r="K135"/>
      <c r="L135"/>
      <c r="M135"/>
      <c r="N135"/>
      <c r="O135"/>
      <c r="P135"/>
      <c r="Q135"/>
      <c r="R135"/>
      <c r="S135" s="61">
        <f t="shared" si="20"/>
        <v>920</v>
      </c>
    </row>
    <row r="136" spans="1:19">
      <c r="A136" s="536" t="s">
        <v>377</v>
      </c>
      <c r="B136">
        <v>108</v>
      </c>
      <c r="C136">
        <v>77</v>
      </c>
      <c r="D136" s="61">
        <v>80</v>
      </c>
      <c r="E136" s="61">
        <v>80</v>
      </c>
      <c r="F136" s="61">
        <v>120</v>
      </c>
      <c r="G136" s="47">
        <v>105</v>
      </c>
      <c r="H136" s="769">
        <v>119</v>
      </c>
      <c r="I136">
        <v>71</v>
      </c>
      <c r="J136">
        <v>94</v>
      </c>
      <c r="K136"/>
      <c r="L136"/>
      <c r="M136"/>
      <c r="N136"/>
      <c r="O136"/>
      <c r="P136"/>
      <c r="Q136"/>
      <c r="R136"/>
      <c r="S136" s="61">
        <f t="shared" si="20"/>
        <v>854</v>
      </c>
    </row>
    <row r="137" spans="1:19">
      <c r="A137" s="536" t="s">
        <v>378</v>
      </c>
      <c r="B137">
        <v>113</v>
      </c>
      <c r="C137">
        <v>85</v>
      </c>
      <c r="D137" s="61">
        <v>95</v>
      </c>
      <c r="E137" s="61">
        <v>118</v>
      </c>
      <c r="F137" s="61">
        <v>140</v>
      </c>
      <c r="G137" s="47">
        <v>108</v>
      </c>
      <c r="H137" s="769">
        <v>117</v>
      </c>
      <c r="I137">
        <v>81</v>
      </c>
      <c r="J137">
        <v>105</v>
      </c>
      <c r="K137"/>
      <c r="L137"/>
      <c r="M137"/>
      <c r="N137"/>
      <c r="O137"/>
      <c r="P137"/>
      <c r="Q137"/>
      <c r="R137"/>
      <c r="S137" s="61">
        <f t="shared" si="20"/>
        <v>962</v>
      </c>
    </row>
    <row r="138" spans="1:19">
      <c r="A138" s="536" t="s">
        <v>379</v>
      </c>
      <c r="B138"/>
      <c r="C138"/>
      <c r="D138"/>
      <c r="E138"/>
      <c r="F138"/>
      <c r="G138"/>
      <c r="H138"/>
      <c r="I138"/>
      <c r="J138"/>
      <c r="K138">
        <v>208</v>
      </c>
      <c r="L138" s="769">
        <v>263</v>
      </c>
      <c r="M138">
        <v>212</v>
      </c>
      <c r="N138">
        <v>275</v>
      </c>
      <c r="O138"/>
      <c r="P138"/>
      <c r="Q138"/>
      <c r="R138">
        <v>2</v>
      </c>
      <c r="S138" s="61">
        <f t="shared" si="20"/>
        <v>960</v>
      </c>
    </row>
    <row r="139" spans="1:19">
      <c r="A139" s="536" t="s">
        <v>380</v>
      </c>
      <c r="B139"/>
      <c r="C139"/>
      <c r="D139"/>
      <c r="E139"/>
      <c r="F139"/>
      <c r="G139"/>
      <c r="H139"/>
      <c r="I139"/>
      <c r="J139"/>
      <c r="K139">
        <v>209</v>
      </c>
      <c r="L139" s="769">
        <v>263</v>
      </c>
      <c r="M139">
        <v>249</v>
      </c>
      <c r="N139">
        <v>252</v>
      </c>
      <c r="O139"/>
      <c r="P139"/>
      <c r="Q139"/>
      <c r="R139"/>
      <c r="S139" s="61">
        <f t="shared" si="20"/>
        <v>973</v>
      </c>
    </row>
    <row r="140" spans="1:19">
      <c r="A140" s="536" t="s">
        <v>381</v>
      </c>
      <c r="B140"/>
      <c r="C140"/>
      <c r="D140"/>
      <c r="E140"/>
      <c r="F140"/>
      <c r="G140"/>
      <c r="H140"/>
      <c r="I140"/>
      <c r="J140"/>
      <c r="K140">
        <v>231</v>
      </c>
      <c r="L140" s="769">
        <v>264</v>
      </c>
      <c r="M140">
        <v>268</v>
      </c>
      <c r="N140">
        <v>289</v>
      </c>
      <c r="O140"/>
      <c r="P140"/>
      <c r="Q140"/>
      <c r="R140">
        <v>2</v>
      </c>
      <c r="S140" s="61">
        <f t="shared" si="20"/>
        <v>1054</v>
      </c>
    </row>
    <row r="141" spans="1:19">
      <c r="A141" s="536" t="s">
        <v>382</v>
      </c>
      <c r="B141"/>
      <c r="C141"/>
      <c r="D141"/>
      <c r="E141"/>
      <c r="F141"/>
      <c r="G141"/>
      <c r="H141"/>
      <c r="I141"/>
      <c r="J141"/>
      <c r="K141"/>
      <c r="L141"/>
      <c r="M141"/>
      <c r="N141"/>
      <c r="O141">
        <v>253</v>
      </c>
      <c r="P141">
        <v>437</v>
      </c>
      <c r="Q141" s="769">
        <v>343</v>
      </c>
      <c r="R141">
        <v>7</v>
      </c>
      <c r="S141" s="61">
        <f t="shared" si="20"/>
        <v>1040</v>
      </c>
    </row>
    <row r="142" spans="1:19">
      <c r="A142" s="536" t="s">
        <v>383</v>
      </c>
      <c r="B142"/>
      <c r="C142"/>
      <c r="D142"/>
      <c r="E142"/>
      <c r="F142"/>
      <c r="G142"/>
      <c r="H142"/>
      <c r="I142"/>
      <c r="J142"/>
      <c r="K142"/>
      <c r="L142"/>
      <c r="M142"/>
      <c r="N142"/>
      <c r="O142">
        <v>266</v>
      </c>
      <c r="P142">
        <v>425</v>
      </c>
      <c r="Q142" s="769">
        <v>315</v>
      </c>
      <c r="R142">
        <v>17</v>
      </c>
      <c r="S142" s="61">
        <f t="shared" si="20"/>
        <v>1023</v>
      </c>
    </row>
    <row r="143" spans="1:19">
      <c r="A143" s="536" t="s">
        <v>384</v>
      </c>
      <c r="B143"/>
      <c r="C143"/>
      <c r="D143"/>
      <c r="E143"/>
      <c r="F143"/>
      <c r="G143"/>
      <c r="H143"/>
      <c r="I143"/>
      <c r="J143"/>
      <c r="K143"/>
      <c r="L143"/>
      <c r="M143"/>
      <c r="N143"/>
      <c r="O143">
        <v>231</v>
      </c>
      <c r="P143">
        <v>401</v>
      </c>
      <c r="Q143" s="769">
        <v>351</v>
      </c>
      <c r="R143">
        <v>12</v>
      </c>
      <c r="S143" s="61">
        <f t="shared" si="20"/>
        <v>995</v>
      </c>
    </row>
    <row r="144" spans="1:19">
      <c r="A144" s="536" t="s">
        <v>385</v>
      </c>
      <c r="B144"/>
      <c r="C144"/>
      <c r="D144"/>
      <c r="E144"/>
      <c r="F144"/>
      <c r="G144"/>
      <c r="H144"/>
      <c r="I144"/>
      <c r="J144"/>
      <c r="K144"/>
      <c r="L144"/>
      <c r="M144"/>
      <c r="N144"/>
      <c r="O144">
        <v>286</v>
      </c>
      <c r="P144">
        <v>376</v>
      </c>
      <c r="Q144" s="769">
        <v>313</v>
      </c>
      <c r="R144">
        <v>8</v>
      </c>
      <c r="S144" s="61">
        <f t="shared" si="20"/>
        <v>983</v>
      </c>
    </row>
    <row r="145" spans="1:19">
      <c r="A145" s="537" t="s">
        <v>386</v>
      </c>
      <c r="B145" s="163">
        <v>0</v>
      </c>
      <c r="C145" s="61">
        <v>0</v>
      </c>
      <c r="D145" s="61">
        <v>0</v>
      </c>
      <c r="E145" s="61">
        <v>0</v>
      </c>
      <c r="F145" s="61">
        <v>0</v>
      </c>
      <c r="G145" s="61">
        <v>0</v>
      </c>
      <c r="H145" s="61">
        <v>0</v>
      </c>
      <c r="I145" s="61">
        <v>0</v>
      </c>
      <c r="J145" s="61">
        <v>0</v>
      </c>
      <c r="K145" s="61">
        <v>0</v>
      </c>
      <c r="L145" s="61">
        <v>0</v>
      </c>
      <c r="M145" s="61">
        <v>0</v>
      </c>
      <c r="N145" s="61">
        <v>0</v>
      </c>
      <c r="O145">
        <v>3</v>
      </c>
      <c r="P145">
        <v>11</v>
      </c>
      <c r="Q145">
        <v>7</v>
      </c>
      <c r="R145" s="61">
        <v>0</v>
      </c>
      <c r="S145" s="61">
        <f t="shared" si="20"/>
        <v>21</v>
      </c>
    </row>
    <row r="146" spans="1:19">
      <c r="A146" s="85"/>
      <c r="B146" s="86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8"/>
    </row>
    <row r="147" spans="1:19">
      <c r="A147" s="90" t="s">
        <v>51</v>
      </c>
      <c r="B147" s="260">
        <f t="shared" ref="B147:S147" si="21">SUM(B132:B145)</f>
        <v>658</v>
      </c>
      <c r="C147" s="260">
        <f t="shared" si="21"/>
        <v>488</v>
      </c>
      <c r="D147" s="260">
        <f t="shared" si="21"/>
        <v>508</v>
      </c>
      <c r="E147" s="260">
        <f t="shared" si="21"/>
        <v>558</v>
      </c>
      <c r="F147" s="260">
        <f t="shared" si="21"/>
        <v>674</v>
      </c>
      <c r="G147" s="260">
        <f t="shared" si="21"/>
        <v>616</v>
      </c>
      <c r="H147" s="260">
        <f t="shared" si="21"/>
        <v>647</v>
      </c>
      <c r="I147" s="260">
        <f t="shared" si="21"/>
        <v>466</v>
      </c>
      <c r="J147" s="260">
        <f t="shared" si="21"/>
        <v>597</v>
      </c>
      <c r="K147" s="260">
        <f t="shared" si="21"/>
        <v>648</v>
      </c>
      <c r="L147" s="91">
        <f t="shared" si="21"/>
        <v>790</v>
      </c>
      <c r="M147" s="91">
        <f t="shared" si="21"/>
        <v>729</v>
      </c>
      <c r="N147" s="91">
        <f t="shared" si="21"/>
        <v>816</v>
      </c>
      <c r="O147" s="91">
        <f t="shared" si="21"/>
        <v>1039</v>
      </c>
      <c r="P147" s="91">
        <f t="shared" si="21"/>
        <v>1650</v>
      </c>
      <c r="Q147" s="91">
        <f t="shared" si="21"/>
        <v>1329</v>
      </c>
      <c r="R147" s="91">
        <f t="shared" si="21"/>
        <v>48</v>
      </c>
      <c r="S147" s="92">
        <f t="shared" si="21"/>
        <v>12261</v>
      </c>
    </row>
    <row r="149" spans="1:19" ht="17.399999999999999">
      <c r="D149" s="67" t="s">
        <v>23</v>
      </c>
      <c r="N149" s="67" t="s">
        <v>442</v>
      </c>
    </row>
    <row r="150" spans="1:19">
      <c r="B150" s="339"/>
      <c r="C150" s="339"/>
      <c r="D150" s="339"/>
      <c r="E150" s="339"/>
      <c r="F150" s="339"/>
      <c r="G150" s="339"/>
      <c r="H150" s="339"/>
      <c r="I150" s="339"/>
      <c r="J150" s="339"/>
    </row>
    <row r="151" spans="1:19">
      <c r="A151" s="68" t="s">
        <v>24</v>
      </c>
      <c r="B151" s="770" t="s">
        <v>25</v>
      </c>
      <c r="C151" s="770"/>
      <c r="D151" s="770"/>
      <c r="E151" s="770"/>
      <c r="F151" s="770"/>
      <c r="G151" s="770"/>
      <c r="H151" s="770"/>
      <c r="I151" s="770"/>
      <c r="J151" s="770"/>
      <c r="K151" s="199" t="s">
        <v>63</v>
      </c>
      <c r="L151" s="199"/>
      <c r="M151" s="199"/>
      <c r="N151" s="199"/>
      <c r="O151" s="199" t="s">
        <v>364</v>
      </c>
      <c r="P151" s="199"/>
      <c r="Q151" s="199"/>
      <c r="R151" s="157"/>
      <c r="S151" s="69" t="s">
        <v>27</v>
      </c>
    </row>
    <row r="152" spans="1:19">
      <c r="A152" s="73"/>
      <c r="B152" s="201" t="s">
        <v>289</v>
      </c>
      <c r="C152" s="201" t="s">
        <v>357</v>
      </c>
      <c r="D152" s="201" t="s">
        <v>358</v>
      </c>
      <c r="E152" s="201" t="s">
        <v>359</v>
      </c>
      <c r="F152" s="201" t="s">
        <v>360</v>
      </c>
      <c r="G152" s="201" t="s">
        <v>370</v>
      </c>
      <c r="H152" s="201" t="s">
        <v>356</v>
      </c>
      <c r="I152" s="201" t="s">
        <v>361</v>
      </c>
      <c r="J152" s="201" t="s">
        <v>406</v>
      </c>
      <c r="K152" s="201" t="s">
        <v>363</v>
      </c>
      <c r="L152" s="74" t="s">
        <v>36</v>
      </c>
      <c r="M152" s="74" t="s">
        <v>86</v>
      </c>
      <c r="N152" s="74" t="s">
        <v>99</v>
      </c>
      <c r="O152" s="74" t="s">
        <v>346</v>
      </c>
      <c r="P152" s="74" t="s">
        <v>90</v>
      </c>
      <c r="Q152" s="74" t="s">
        <v>103</v>
      </c>
      <c r="R152" s="540" t="s">
        <v>343</v>
      </c>
      <c r="S152" s="77"/>
    </row>
    <row r="154" spans="1:19">
      <c r="A154" s="536" t="s">
        <v>391</v>
      </c>
      <c r="B154">
        <v>93</v>
      </c>
      <c r="C154">
        <v>69</v>
      </c>
      <c r="D154" s="61">
        <v>87</v>
      </c>
      <c r="E154" s="61">
        <v>76</v>
      </c>
      <c r="F154" s="61">
        <v>96</v>
      </c>
      <c r="G154" s="47">
        <v>92</v>
      </c>
      <c r="H154" s="61">
        <v>98</v>
      </c>
      <c r="I154">
        <v>90</v>
      </c>
      <c r="J154">
        <v>94</v>
      </c>
      <c r="K154"/>
      <c r="L154"/>
      <c r="M154"/>
      <c r="N154"/>
      <c r="O154"/>
      <c r="P154"/>
      <c r="Q154"/>
      <c r="R154"/>
      <c r="S154" s="61">
        <f t="shared" ref="S154:S167" si="22">SUM(B154:R154)</f>
        <v>795</v>
      </c>
    </row>
    <row r="155" spans="1:19">
      <c r="A155" s="536">
        <v>1</v>
      </c>
      <c r="B155">
        <v>79</v>
      </c>
      <c r="C155">
        <v>77</v>
      </c>
      <c r="D155" s="61">
        <v>92</v>
      </c>
      <c r="E155" s="61">
        <v>84</v>
      </c>
      <c r="F155" s="61">
        <v>95</v>
      </c>
      <c r="G155" s="47">
        <v>106</v>
      </c>
      <c r="H155" s="61">
        <v>103</v>
      </c>
      <c r="I155">
        <v>71</v>
      </c>
      <c r="J155">
        <v>99</v>
      </c>
      <c r="K155"/>
      <c r="L155"/>
      <c r="M155"/>
      <c r="N155"/>
      <c r="O155"/>
      <c r="P155"/>
      <c r="Q155"/>
      <c r="R155"/>
      <c r="S155" s="61">
        <f t="shared" si="22"/>
        <v>806</v>
      </c>
    </row>
    <row r="156" spans="1:19">
      <c r="A156" s="536">
        <v>2</v>
      </c>
      <c r="B156">
        <v>124</v>
      </c>
      <c r="C156">
        <v>95</v>
      </c>
      <c r="D156" s="61">
        <v>79</v>
      </c>
      <c r="E156" s="61">
        <v>100</v>
      </c>
      <c r="F156" s="61">
        <v>102</v>
      </c>
      <c r="G156" s="47">
        <v>103</v>
      </c>
      <c r="H156" s="61">
        <v>106</v>
      </c>
      <c r="I156">
        <v>90</v>
      </c>
      <c r="J156">
        <v>93</v>
      </c>
      <c r="K156"/>
      <c r="L156"/>
      <c r="M156"/>
      <c r="N156"/>
      <c r="O156"/>
      <c r="P156"/>
      <c r="Q156"/>
      <c r="R156"/>
      <c r="S156" s="61">
        <f t="shared" si="22"/>
        <v>892</v>
      </c>
    </row>
    <row r="157" spans="1:19">
      <c r="A157" s="536">
        <v>3</v>
      </c>
      <c r="B157">
        <v>110</v>
      </c>
      <c r="C157">
        <v>75</v>
      </c>
      <c r="D157" s="61">
        <v>75</v>
      </c>
      <c r="E157" s="61">
        <v>79</v>
      </c>
      <c r="F157" s="61">
        <v>113</v>
      </c>
      <c r="G157" s="47">
        <v>94</v>
      </c>
      <c r="H157" s="61">
        <v>111</v>
      </c>
      <c r="I157">
        <v>74</v>
      </c>
      <c r="J157">
        <v>98</v>
      </c>
      <c r="K157"/>
      <c r="L157"/>
      <c r="M157"/>
      <c r="N157"/>
      <c r="O157"/>
      <c r="P157"/>
      <c r="Q157"/>
      <c r="R157"/>
      <c r="S157" s="61">
        <f t="shared" si="22"/>
        <v>829</v>
      </c>
    </row>
    <row r="158" spans="1:19">
      <c r="A158" s="536" t="s">
        <v>377</v>
      </c>
      <c r="B158">
        <v>111</v>
      </c>
      <c r="C158">
        <v>81</v>
      </c>
      <c r="D158" s="61">
        <v>94</v>
      </c>
      <c r="E158" s="61">
        <v>108</v>
      </c>
      <c r="F158" s="61">
        <v>134</v>
      </c>
      <c r="G158" s="47">
        <v>95</v>
      </c>
      <c r="H158" s="61">
        <v>118</v>
      </c>
      <c r="I158">
        <v>79</v>
      </c>
      <c r="J158">
        <v>100</v>
      </c>
      <c r="K158"/>
      <c r="L158"/>
      <c r="M158"/>
      <c r="N158"/>
      <c r="O158"/>
      <c r="P158"/>
      <c r="Q158"/>
      <c r="R158"/>
      <c r="S158" s="61">
        <f t="shared" si="22"/>
        <v>920</v>
      </c>
    </row>
    <row r="159" spans="1:19">
      <c r="A159" s="536" t="s">
        <v>378</v>
      </c>
      <c r="B159">
        <v>92</v>
      </c>
      <c r="C159">
        <v>89</v>
      </c>
      <c r="D159" s="61">
        <v>92</v>
      </c>
      <c r="E159" s="61">
        <v>108</v>
      </c>
      <c r="F159" s="61">
        <v>135</v>
      </c>
      <c r="G159" s="47">
        <v>120</v>
      </c>
      <c r="H159" s="61">
        <v>106</v>
      </c>
      <c r="I159">
        <v>72</v>
      </c>
      <c r="J159">
        <v>100</v>
      </c>
      <c r="K159"/>
      <c r="L159"/>
      <c r="M159"/>
      <c r="N159"/>
      <c r="O159"/>
      <c r="P159"/>
      <c r="Q159"/>
      <c r="R159"/>
      <c r="S159" s="61">
        <f t="shared" si="22"/>
        <v>914</v>
      </c>
    </row>
    <row r="160" spans="1:19">
      <c r="A160" s="536" t="s">
        <v>379</v>
      </c>
      <c r="B160"/>
      <c r="C160"/>
      <c r="D160"/>
      <c r="E160"/>
      <c r="F160"/>
      <c r="G160"/>
      <c r="H160"/>
      <c r="I160"/>
      <c r="J160"/>
      <c r="K160">
        <v>202</v>
      </c>
      <c r="L160">
        <v>253</v>
      </c>
      <c r="M160">
        <v>257</v>
      </c>
      <c r="N160">
        <v>257</v>
      </c>
      <c r="O160"/>
      <c r="P160"/>
      <c r="Q160"/>
      <c r="R160"/>
      <c r="S160" s="61">
        <f t="shared" si="22"/>
        <v>969</v>
      </c>
    </row>
    <row r="161" spans="1:28">
      <c r="A161" s="536" t="s">
        <v>380</v>
      </c>
      <c r="B161"/>
      <c r="C161"/>
      <c r="D161"/>
      <c r="E161"/>
      <c r="F161"/>
      <c r="G161"/>
      <c r="H161"/>
      <c r="I161"/>
      <c r="J161"/>
      <c r="K161">
        <v>219</v>
      </c>
      <c r="L161">
        <v>260</v>
      </c>
      <c r="M161">
        <v>273</v>
      </c>
      <c r="N161">
        <v>299</v>
      </c>
      <c r="O161"/>
      <c r="P161"/>
      <c r="Q161"/>
      <c r="R161"/>
      <c r="S161" s="61">
        <f t="shared" si="22"/>
        <v>1051</v>
      </c>
    </row>
    <row r="162" spans="1:28">
      <c r="A162" s="536" t="s">
        <v>381</v>
      </c>
      <c r="B162"/>
      <c r="C162"/>
      <c r="D162"/>
      <c r="E162"/>
      <c r="F162"/>
      <c r="G162"/>
      <c r="H162"/>
      <c r="I162"/>
      <c r="J162"/>
      <c r="K162">
        <v>214</v>
      </c>
      <c r="L162">
        <v>251</v>
      </c>
      <c r="M162">
        <v>262</v>
      </c>
      <c r="N162">
        <v>259</v>
      </c>
      <c r="O162"/>
      <c r="P162"/>
      <c r="Q162"/>
      <c r="R162">
        <v>1</v>
      </c>
      <c r="S162" s="61">
        <f t="shared" si="22"/>
        <v>987</v>
      </c>
    </row>
    <row r="163" spans="1:28">
      <c r="A163" s="536" t="s">
        <v>382</v>
      </c>
      <c r="B163"/>
      <c r="C163"/>
      <c r="D163"/>
      <c r="E163"/>
      <c r="F163"/>
      <c r="G163"/>
      <c r="H163"/>
      <c r="I163"/>
      <c r="J163"/>
      <c r="K163"/>
      <c r="L163"/>
      <c r="M163"/>
      <c r="N163"/>
      <c r="O163">
        <v>272</v>
      </c>
      <c r="P163">
        <v>453</v>
      </c>
      <c r="Q163" s="769">
        <v>321</v>
      </c>
      <c r="R163">
        <v>8</v>
      </c>
      <c r="S163" s="61">
        <f t="shared" si="22"/>
        <v>1054</v>
      </c>
    </row>
    <row r="164" spans="1:28">
      <c r="A164" s="536" t="s">
        <v>383</v>
      </c>
      <c r="B164"/>
      <c r="C164"/>
      <c r="D164"/>
      <c r="E164"/>
      <c r="F164"/>
      <c r="G164"/>
      <c r="H164"/>
      <c r="I164"/>
      <c r="J164"/>
      <c r="K164"/>
      <c r="L164"/>
      <c r="M164"/>
      <c r="N164"/>
      <c r="O164">
        <v>240</v>
      </c>
      <c r="P164">
        <v>433</v>
      </c>
      <c r="Q164" s="769">
        <v>359</v>
      </c>
      <c r="R164">
        <v>16</v>
      </c>
      <c r="S164" s="61">
        <f t="shared" si="22"/>
        <v>1048</v>
      </c>
    </row>
    <row r="165" spans="1:28">
      <c r="A165" s="536" t="s">
        <v>384</v>
      </c>
      <c r="B165"/>
      <c r="C165"/>
      <c r="D165"/>
      <c r="E165"/>
      <c r="F165"/>
      <c r="G165"/>
      <c r="H165"/>
      <c r="I165"/>
      <c r="J165"/>
      <c r="K165"/>
      <c r="L165"/>
      <c r="M165"/>
      <c r="N165"/>
      <c r="O165">
        <v>294</v>
      </c>
      <c r="P165">
        <v>404</v>
      </c>
      <c r="Q165" s="769">
        <v>325</v>
      </c>
      <c r="R165">
        <v>6</v>
      </c>
      <c r="S165" s="61">
        <f t="shared" si="22"/>
        <v>1029</v>
      </c>
    </row>
    <row r="166" spans="1:28">
      <c r="A166" s="536" t="s">
        <v>385</v>
      </c>
      <c r="B166"/>
      <c r="C166"/>
      <c r="D166"/>
      <c r="E166"/>
      <c r="F166"/>
      <c r="G166"/>
      <c r="H166"/>
      <c r="I166"/>
      <c r="J166"/>
      <c r="K166"/>
      <c r="L166"/>
      <c r="M166"/>
      <c r="N166"/>
      <c r="O166">
        <v>258</v>
      </c>
      <c r="P166">
        <v>391</v>
      </c>
      <c r="Q166" s="769">
        <v>329</v>
      </c>
      <c r="R166">
        <v>12</v>
      </c>
      <c r="S166" s="61">
        <f t="shared" si="22"/>
        <v>990</v>
      </c>
    </row>
    <row r="167" spans="1:28">
      <c r="A167" s="537" t="s">
        <v>386</v>
      </c>
      <c r="B167" s="163">
        <v>0</v>
      </c>
      <c r="C167" s="61">
        <v>0</v>
      </c>
      <c r="D167" s="61">
        <v>0</v>
      </c>
      <c r="E167" s="61">
        <v>0</v>
      </c>
      <c r="F167" s="61">
        <v>0</v>
      </c>
      <c r="G167" s="61">
        <v>0</v>
      </c>
      <c r="H167" s="61">
        <v>0</v>
      </c>
      <c r="I167" s="61">
        <v>0</v>
      </c>
      <c r="J167" s="61">
        <v>0</v>
      </c>
      <c r="K167" s="61">
        <v>0</v>
      </c>
      <c r="L167" s="61">
        <v>0</v>
      </c>
      <c r="M167" s="61">
        <v>0</v>
      </c>
      <c r="N167" s="61">
        <v>0</v>
      </c>
      <c r="O167">
        <v>6</v>
      </c>
      <c r="P167">
        <v>11</v>
      </c>
      <c r="Q167">
        <v>7</v>
      </c>
      <c r="R167" s="61">
        <v>0</v>
      </c>
      <c r="S167" s="61">
        <f t="shared" si="22"/>
        <v>24</v>
      </c>
    </row>
    <row r="168" spans="1:28">
      <c r="A168" s="85"/>
      <c r="B168" s="86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8"/>
    </row>
    <row r="169" spans="1:28">
      <c r="A169" s="90" t="s">
        <v>51</v>
      </c>
      <c r="B169" s="260">
        <f t="shared" ref="B169:S169" si="23">SUM(B154:B167)</f>
        <v>609</v>
      </c>
      <c r="C169" s="260">
        <f t="shared" si="23"/>
        <v>486</v>
      </c>
      <c r="D169" s="260">
        <f t="shared" si="23"/>
        <v>519</v>
      </c>
      <c r="E169" s="260">
        <f t="shared" si="23"/>
        <v>555</v>
      </c>
      <c r="F169" s="260">
        <f t="shared" si="23"/>
        <v>675</v>
      </c>
      <c r="G169" s="260">
        <f t="shared" si="23"/>
        <v>610</v>
      </c>
      <c r="H169" s="260">
        <f t="shared" si="23"/>
        <v>642</v>
      </c>
      <c r="I169" s="260">
        <f t="shared" si="23"/>
        <v>476</v>
      </c>
      <c r="J169" s="260">
        <f t="shared" si="23"/>
        <v>584</v>
      </c>
      <c r="K169" s="260">
        <f t="shared" si="23"/>
        <v>635</v>
      </c>
      <c r="L169" s="91">
        <f t="shared" si="23"/>
        <v>764</v>
      </c>
      <c r="M169" s="91">
        <f t="shared" si="23"/>
        <v>792</v>
      </c>
      <c r="N169" s="91">
        <f t="shared" si="23"/>
        <v>815</v>
      </c>
      <c r="O169" s="91">
        <f t="shared" si="23"/>
        <v>1070</v>
      </c>
      <c r="P169" s="91">
        <f t="shared" si="23"/>
        <v>1692</v>
      </c>
      <c r="Q169" s="91">
        <f t="shared" si="23"/>
        <v>1341</v>
      </c>
      <c r="R169" s="91">
        <f t="shared" si="23"/>
        <v>43</v>
      </c>
      <c r="S169" s="92">
        <f t="shared" si="23"/>
        <v>12308</v>
      </c>
    </row>
    <row r="171" spans="1:28" ht="17.399999999999999">
      <c r="D171" s="67" t="s">
        <v>23</v>
      </c>
      <c r="N171" s="67" t="s">
        <v>411</v>
      </c>
    </row>
    <row r="172" spans="1:28">
      <c r="B172" s="339"/>
      <c r="C172" s="339"/>
      <c r="D172" s="339"/>
      <c r="E172" s="339"/>
      <c r="F172" s="339"/>
      <c r="G172" s="339"/>
      <c r="H172" s="339"/>
      <c r="I172" s="339"/>
      <c r="J172" s="339"/>
    </row>
    <row r="173" spans="1:28">
      <c r="A173" s="68" t="s">
        <v>24</v>
      </c>
      <c r="B173" s="770" t="s">
        <v>25</v>
      </c>
      <c r="C173" s="770"/>
      <c r="D173" s="770"/>
      <c r="E173" s="770"/>
      <c r="F173" s="770"/>
      <c r="G173" s="770"/>
      <c r="H173" s="770"/>
      <c r="I173" s="770"/>
      <c r="J173" s="770"/>
      <c r="K173" s="199" t="s">
        <v>63</v>
      </c>
      <c r="L173" s="199"/>
      <c r="M173" s="199"/>
      <c r="N173" s="199"/>
      <c r="O173" s="199" t="s">
        <v>364</v>
      </c>
      <c r="P173" s="199"/>
      <c r="Q173" s="199"/>
      <c r="R173" s="157"/>
      <c r="S173" s="69" t="s">
        <v>27</v>
      </c>
      <c r="T173" s="70"/>
    </row>
    <row r="174" spans="1:28">
      <c r="A174" s="73"/>
      <c r="B174" s="201" t="s">
        <v>289</v>
      </c>
      <c r="C174" s="201" t="s">
        <v>357</v>
      </c>
      <c r="D174" s="201" t="s">
        <v>358</v>
      </c>
      <c r="E174" s="201" t="s">
        <v>359</v>
      </c>
      <c r="F174" s="201" t="s">
        <v>360</v>
      </c>
      <c r="G174" s="201" t="s">
        <v>370</v>
      </c>
      <c r="H174" s="201" t="s">
        <v>356</v>
      </c>
      <c r="I174" s="201" t="s">
        <v>361</v>
      </c>
      <c r="J174" s="201" t="s">
        <v>406</v>
      </c>
      <c r="K174" s="201" t="s">
        <v>363</v>
      </c>
      <c r="L174" s="74" t="s">
        <v>36</v>
      </c>
      <c r="M174" s="74" t="s">
        <v>86</v>
      </c>
      <c r="N174" s="74" t="s">
        <v>99</v>
      </c>
      <c r="O174" s="74" t="s">
        <v>346</v>
      </c>
      <c r="P174" s="74" t="s">
        <v>90</v>
      </c>
      <c r="Q174" s="74" t="s">
        <v>103</v>
      </c>
      <c r="R174" s="540" t="s">
        <v>343</v>
      </c>
      <c r="S174" s="77"/>
      <c r="T174" s="70"/>
    </row>
    <row r="176" spans="1:28">
      <c r="A176" s="536" t="s">
        <v>391</v>
      </c>
      <c r="B176">
        <v>86</v>
      </c>
      <c r="C176">
        <v>74</v>
      </c>
      <c r="D176" s="61">
        <v>91</v>
      </c>
      <c r="E176" s="61">
        <v>84</v>
      </c>
      <c r="F176" s="61">
        <v>94</v>
      </c>
      <c r="G176" s="47">
        <v>108</v>
      </c>
      <c r="H176" s="61">
        <v>106</v>
      </c>
      <c r="I176">
        <v>83</v>
      </c>
      <c r="J176">
        <v>93</v>
      </c>
      <c r="K176"/>
      <c r="L176"/>
      <c r="M176"/>
      <c r="N176"/>
      <c r="O176"/>
      <c r="P176"/>
      <c r="Q176"/>
      <c r="R176"/>
      <c r="S176" s="61">
        <f t="shared" ref="S176:S189" si="24">SUM(B176:R176)</f>
        <v>819</v>
      </c>
      <c r="V176" s="123"/>
      <c r="X176" s="123"/>
      <c r="Z176" s="123"/>
      <c r="AA176" s="94"/>
      <c r="AB176" s="123"/>
    </row>
    <row r="177" spans="1:28">
      <c r="A177" s="536">
        <v>1</v>
      </c>
      <c r="B177">
        <v>131</v>
      </c>
      <c r="C177">
        <v>97</v>
      </c>
      <c r="D177" s="61">
        <v>85</v>
      </c>
      <c r="E177" s="61">
        <v>94</v>
      </c>
      <c r="F177" s="61">
        <v>94</v>
      </c>
      <c r="G177" s="47">
        <v>104</v>
      </c>
      <c r="H177" s="61">
        <v>98</v>
      </c>
      <c r="I177">
        <v>95</v>
      </c>
      <c r="J177">
        <v>111</v>
      </c>
      <c r="K177"/>
      <c r="L177"/>
      <c r="M177"/>
      <c r="N177"/>
      <c r="O177"/>
      <c r="P177"/>
      <c r="Q177"/>
      <c r="R177"/>
      <c r="S177" s="61">
        <f t="shared" si="24"/>
        <v>909</v>
      </c>
      <c r="V177" s="123"/>
      <c r="X177" s="123"/>
      <c r="Z177" s="123"/>
      <c r="AA177" s="94"/>
      <c r="AB177" s="123"/>
    </row>
    <row r="178" spans="1:28">
      <c r="A178" s="536">
        <v>2</v>
      </c>
      <c r="B178">
        <v>105</v>
      </c>
      <c r="C178">
        <v>78</v>
      </c>
      <c r="D178" s="61">
        <v>68</v>
      </c>
      <c r="E178" s="61">
        <v>87</v>
      </c>
      <c r="F178" s="61">
        <v>113</v>
      </c>
      <c r="G178" s="47">
        <v>98</v>
      </c>
      <c r="H178" s="61">
        <v>103</v>
      </c>
      <c r="I178">
        <v>74</v>
      </c>
      <c r="J178">
        <v>104</v>
      </c>
      <c r="K178"/>
      <c r="L178"/>
      <c r="M178"/>
      <c r="N178"/>
      <c r="O178"/>
      <c r="P178"/>
      <c r="Q178"/>
      <c r="R178"/>
      <c r="S178" s="61">
        <f t="shared" si="24"/>
        <v>830</v>
      </c>
      <c r="V178" s="123"/>
      <c r="X178" s="123"/>
      <c r="Z178" s="123"/>
      <c r="AA178" s="94"/>
      <c r="AB178" s="123"/>
    </row>
    <row r="179" spans="1:28">
      <c r="A179" s="536">
        <v>3</v>
      </c>
      <c r="B179">
        <v>111</v>
      </c>
      <c r="C179">
        <v>84</v>
      </c>
      <c r="D179" s="61">
        <v>84</v>
      </c>
      <c r="E179" s="61">
        <v>109</v>
      </c>
      <c r="F179" s="61">
        <v>128</v>
      </c>
      <c r="G179" s="47">
        <v>90</v>
      </c>
      <c r="H179" s="61">
        <v>111</v>
      </c>
      <c r="I179">
        <v>80</v>
      </c>
      <c r="J179">
        <v>113</v>
      </c>
      <c r="K179"/>
      <c r="L179"/>
      <c r="M179"/>
      <c r="N179"/>
      <c r="O179"/>
      <c r="P179"/>
      <c r="Q179"/>
      <c r="R179"/>
      <c r="S179" s="61">
        <f t="shared" si="24"/>
        <v>910</v>
      </c>
      <c r="V179" s="123"/>
      <c r="X179" s="123"/>
      <c r="Z179" s="123"/>
      <c r="AA179" s="94"/>
      <c r="AB179" s="123"/>
    </row>
    <row r="180" spans="1:28">
      <c r="A180" s="536" t="s">
        <v>377</v>
      </c>
      <c r="B180">
        <v>94</v>
      </c>
      <c r="C180">
        <v>92</v>
      </c>
      <c r="D180" s="61">
        <v>89</v>
      </c>
      <c r="E180" s="61">
        <v>103</v>
      </c>
      <c r="F180" s="61">
        <v>124</v>
      </c>
      <c r="G180" s="47">
        <v>115</v>
      </c>
      <c r="H180" s="61">
        <v>104</v>
      </c>
      <c r="I180">
        <v>77</v>
      </c>
      <c r="J180">
        <v>108</v>
      </c>
      <c r="K180"/>
      <c r="L180"/>
      <c r="M180"/>
      <c r="N180"/>
      <c r="O180"/>
      <c r="P180"/>
      <c r="Q180"/>
      <c r="R180"/>
      <c r="S180" s="61">
        <f t="shared" si="24"/>
        <v>906</v>
      </c>
      <c r="V180" s="123"/>
      <c r="X180" s="123"/>
      <c r="Z180" s="123"/>
      <c r="AA180" s="94"/>
      <c r="AB180" s="123"/>
    </row>
    <row r="181" spans="1:28">
      <c r="A181" s="536" t="s">
        <v>378</v>
      </c>
      <c r="B181">
        <v>100</v>
      </c>
      <c r="C181">
        <v>71</v>
      </c>
      <c r="D181" s="61">
        <v>98</v>
      </c>
      <c r="E181" s="61">
        <v>96</v>
      </c>
      <c r="F181" s="61">
        <v>127</v>
      </c>
      <c r="G181" s="47">
        <v>120</v>
      </c>
      <c r="H181" s="61">
        <v>116</v>
      </c>
      <c r="I181">
        <v>109</v>
      </c>
      <c r="J181">
        <v>123</v>
      </c>
      <c r="K181"/>
      <c r="L181"/>
      <c r="M181"/>
      <c r="N181"/>
      <c r="O181"/>
      <c r="P181"/>
      <c r="Q181"/>
      <c r="R181"/>
      <c r="S181" s="61">
        <f t="shared" si="24"/>
        <v>960</v>
      </c>
      <c r="V181" s="123"/>
      <c r="X181" s="123"/>
      <c r="Z181" s="123"/>
      <c r="AA181" s="94"/>
      <c r="AB181" s="123"/>
    </row>
    <row r="182" spans="1:28">
      <c r="A182" s="536" t="s">
        <v>379</v>
      </c>
      <c r="B182"/>
      <c r="C182"/>
      <c r="D182"/>
      <c r="E182"/>
      <c r="F182"/>
      <c r="G182"/>
      <c r="H182"/>
      <c r="I182"/>
      <c r="J182"/>
      <c r="K182">
        <v>223</v>
      </c>
      <c r="L182">
        <v>267</v>
      </c>
      <c r="M182">
        <v>264</v>
      </c>
      <c r="N182">
        <v>303</v>
      </c>
      <c r="O182"/>
      <c r="P182"/>
      <c r="Q182"/>
      <c r="R182"/>
      <c r="S182" s="61">
        <f t="shared" si="24"/>
        <v>1057</v>
      </c>
      <c r="V182" s="123"/>
      <c r="X182" s="123"/>
      <c r="Z182" s="123"/>
      <c r="AA182" s="94"/>
      <c r="AB182" s="123"/>
    </row>
    <row r="183" spans="1:28">
      <c r="A183" s="536" t="s">
        <v>380</v>
      </c>
      <c r="B183"/>
      <c r="C183"/>
      <c r="D183"/>
      <c r="E183"/>
      <c r="F183"/>
      <c r="G183"/>
      <c r="H183"/>
      <c r="I183"/>
      <c r="J183"/>
      <c r="K183">
        <v>223</v>
      </c>
      <c r="L183">
        <v>246</v>
      </c>
      <c r="M183">
        <v>254</v>
      </c>
      <c r="N183">
        <v>256</v>
      </c>
      <c r="O183"/>
      <c r="P183"/>
      <c r="Q183"/>
      <c r="R183"/>
      <c r="S183" s="61">
        <f t="shared" si="24"/>
        <v>979</v>
      </c>
      <c r="V183" s="123"/>
      <c r="X183" s="123"/>
      <c r="Z183" s="123"/>
      <c r="AA183" s="94"/>
      <c r="AB183" s="123"/>
    </row>
    <row r="184" spans="1:28">
      <c r="A184" s="536" t="s">
        <v>381</v>
      </c>
      <c r="B184"/>
      <c r="C184"/>
      <c r="D184"/>
      <c r="E184"/>
      <c r="F184"/>
      <c r="G184"/>
      <c r="H184"/>
      <c r="I184"/>
      <c r="J184"/>
      <c r="K184">
        <v>220</v>
      </c>
      <c r="L184">
        <v>294</v>
      </c>
      <c r="M184">
        <v>265</v>
      </c>
      <c r="N184">
        <v>259</v>
      </c>
      <c r="O184"/>
      <c r="P184"/>
      <c r="Q184"/>
      <c r="R184">
        <v>4</v>
      </c>
      <c r="S184" s="61">
        <f t="shared" si="24"/>
        <v>1042</v>
      </c>
      <c r="V184" s="123"/>
      <c r="X184" s="123"/>
      <c r="Z184" s="123"/>
      <c r="AA184" s="94"/>
      <c r="AB184" s="123"/>
    </row>
    <row r="185" spans="1:28">
      <c r="A185" s="536" t="s">
        <v>382</v>
      </c>
      <c r="B185"/>
      <c r="C185"/>
      <c r="D185"/>
      <c r="E185"/>
      <c r="F185"/>
      <c r="G185"/>
      <c r="H185"/>
      <c r="I185"/>
      <c r="J185"/>
      <c r="K185"/>
      <c r="L185"/>
      <c r="M185"/>
      <c r="N185"/>
      <c r="O185">
        <v>248</v>
      </c>
      <c r="P185">
        <v>446</v>
      </c>
      <c r="Q185" s="769">
        <v>372</v>
      </c>
      <c r="R185">
        <v>9</v>
      </c>
      <c r="S185" s="61">
        <f t="shared" si="24"/>
        <v>1075</v>
      </c>
      <c r="V185" s="123"/>
      <c r="X185" s="123"/>
      <c r="Z185" s="123"/>
      <c r="AA185" s="94"/>
      <c r="AB185" s="123"/>
    </row>
    <row r="186" spans="1:28">
      <c r="A186" s="536" t="s">
        <v>383</v>
      </c>
      <c r="B186"/>
      <c r="C186"/>
      <c r="D186"/>
      <c r="E186"/>
      <c r="F186"/>
      <c r="G186"/>
      <c r="H186"/>
      <c r="I186"/>
      <c r="J186"/>
      <c r="K186"/>
      <c r="L186"/>
      <c r="M186"/>
      <c r="N186"/>
      <c r="O186">
        <v>290</v>
      </c>
      <c r="P186">
        <v>406</v>
      </c>
      <c r="Q186" s="769">
        <v>344</v>
      </c>
      <c r="R186">
        <v>7</v>
      </c>
      <c r="S186" s="61">
        <f t="shared" si="24"/>
        <v>1047</v>
      </c>
      <c r="V186" s="123"/>
      <c r="X186" s="123"/>
      <c r="Z186" s="123"/>
      <c r="AA186" s="94"/>
      <c r="AB186" s="123"/>
    </row>
    <row r="187" spans="1:28">
      <c r="A187" s="536" t="s">
        <v>384</v>
      </c>
      <c r="B187"/>
      <c r="C187"/>
      <c r="D187"/>
      <c r="E187"/>
      <c r="F187"/>
      <c r="G187"/>
      <c r="H187"/>
      <c r="I187"/>
      <c r="J187"/>
      <c r="K187"/>
      <c r="L187"/>
      <c r="M187"/>
      <c r="N187"/>
      <c r="O187">
        <v>263</v>
      </c>
      <c r="P187">
        <v>398</v>
      </c>
      <c r="Q187" s="769">
        <v>336</v>
      </c>
      <c r="R187">
        <v>16</v>
      </c>
      <c r="S187" s="61">
        <f t="shared" si="24"/>
        <v>1013</v>
      </c>
      <c r="V187" s="123"/>
      <c r="X187" s="123"/>
      <c r="Z187" s="123"/>
      <c r="AA187" s="94"/>
      <c r="AB187" s="123"/>
    </row>
    <row r="188" spans="1:28">
      <c r="A188" s="536" t="s">
        <v>385</v>
      </c>
      <c r="B188"/>
      <c r="C188"/>
      <c r="D188"/>
      <c r="E188"/>
      <c r="F188"/>
      <c r="G188"/>
      <c r="H188"/>
      <c r="I188"/>
      <c r="J188"/>
      <c r="K188"/>
      <c r="L188"/>
      <c r="M188"/>
      <c r="N188"/>
      <c r="O188">
        <v>248</v>
      </c>
      <c r="P188">
        <v>394</v>
      </c>
      <c r="Q188" s="769">
        <v>329</v>
      </c>
      <c r="R188">
        <v>7</v>
      </c>
      <c r="S188" s="61">
        <f t="shared" si="24"/>
        <v>978</v>
      </c>
      <c r="V188" s="123"/>
      <c r="X188" s="123"/>
      <c r="Z188" s="123"/>
      <c r="AA188" s="94"/>
      <c r="AB188" s="123"/>
    </row>
    <row r="189" spans="1:28">
      <c r="A189" s="537" t="s">
        <v>386</v>
      </c>
      <c r="B189" s="163">
        <v>0</v>
      </c>
      <c r="C189" s="61">
        <v>0</v>
      </c>
      <c r="D189" s="61">
        <v>0</v>
      </c>
      <c r="E189" s="61">
        <v>0</v>
      </c>
      <c r="F189" s="61">
        <v>0</v>
      </c>
      <c r="G189" s="61">
        <v>0</v>
      </c>
      <c r="H189" s="61">
        <v>0</v>
      </c>
      <c r="I189" s="61">
        <v>0</v>
      </c>
      <c r="J189" s="61">
        <v>0</v>
      </c>
      <c r="K189" s="61">
        <v>0</v>
      </c>
      <c r="L189" s="61">
        <v>0</v>
      </c>
      <c r="M189" s="61">
        <v>0</v>
      </c>
      <c r="N189" s="61">
        <v>0</v>
      </c>
      <c r="O189">
        <v>5</v>
      </c>
      <c r="P189">
        <v>11</v>
      </c>
      <c r="Q189">
        <v>6</v>
      </c>
      <c r="R189" s="61">
        <v>0</v>
      </c>
      <c r="S189" s="61">
        <f t="shared" si="24"/>
        <v>22</v>
      </c>
      <c r="V189" s="123"/>
      <c r="X189" s="123"/>
      <c r="Z189" s="123"/>
      <c r="AA189" s="94"/>
      <c r="AB189" s="123"/>
    </row>
    <row r="190" spans="1:28">
      <c r="A190" s="85"/>
      <c r="B190" s="86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8"/>
      <c r="T190" s="89"/>
      <c r="V190" s="123"/>
      <c r="X190" s="123"/>
      <c r="Z190" s="123"/>
      <c r="AA190" s="94"/>
      <c r="AB190" s="123"/>
    </row>
    <row r="191" spans="1:28">
      <c r="A191" s="90" t="s">
        <v>51</v>
      </c>
      <c r="B191" s="260">
        <f t="shared" ref="B191:S191" si="25">SUM(B176:B189)</f>
        <v>627</v>
      </c>
      <c r="C191" s="260">
        <f t="shared" si="25"/>
        <v>496</v>
      </c>
      <c r="D191" s="260">
        <f t="shared" si="25"/>
        <v>515</v>
      </c>
      <c r="E191" s="260">
        <f t="shared" si="25"/>
        <v>573</v>
      </c>
      <c r="F191" s="260">
        <f t="shared" si="25"/>
        <v>680</v>
      </c>
      <c r="G191" s="260">
        <f t="shared" si="25"/>
        <v>635</v>
      </c>
      <c r="H191" s="260">
        <f t="shared" si="25"/>
        <v>638</v>
      </c>
      <c r="I191" s="260">
        <f t="shared" si="25"/>
        <v>518</v>
      </c>
      <c r="J191" s="260">
        <f t="shared" si="25"/>
        <v>652</v>
      </c>
      <c r="K191" s="260">
        <f t="shared" si="25"/>
        <v>666</v>
      </c>
      <c r="L191" s="91">
        <f t="shared" si="25"/>
        <v>807</v>
      </c>
      <c r="M191" s="91">
        <f t="shared" si="25"/>
        <v>783</v>
      </c>
      <c r="N191" s="91">
        <f t="shared" si="25"/>
        <v>818</v>
      </c>
      <c r="O191" s="91">
        <f t="shared" si="25"/>
        <v>1054</v>
      </c>
      <c r="P191" s="91">
        <f t="shared" si="25"/>
        <v>1655</v>
      </c>
      <c r="Q191" s="91">
        <f t="shared" si="25"/>
        <v>1387</v>
      </c>
      <c r="R191" s="91">
        <f t="shared" si="25"/>
        <v>43</v>
      </c>
      <c r="S191" s="92">
        <f t="shared" si="25"/>
        <v>12547</v>
      </c>
      <c r="T191" s="125"/>
      <c r="U191" s="94"/>
      <c r="V191" s="123"/>
      <c r="W191" s="94"/>
      <c r="X191" s="123"/>
      <c r="Y191" s="94"/>
      <c r="Z191" s="123"/>
      <c r="AA191" s="94"/>
      <c r="AB191" s="123"/>
    </row>
    <row r="193" spans="1:22" ht="17.399999999999999">
      <c r="D193" s="67" t="s">
        <v>23</v>
      </c>
      <c r="N193" s="67" t="s">
        <v>409</v>
      </c>
    </row>
    <row r="194" spans="1:22">
      <c r="B194" s="339"/>
      <c r="C194" s="339"/>
      <c r="D194" s="339"/>
      <c r="E194" s="339"/>
      <c r="F194" s="339"/>
      <c r="G194" s="339"/>
      <c r="H194" s="339"/>
      <c r="I194" s="339"/>
      <c r="J194" s="339"/>
    </row>
    <row r="195" spans="1:22">
      <c r="A195" s="68" t="s">
        <v>24</v>
      </c>
      <c r="B195" s="770" t="s">
        <v>25</v>
      </c>
      <c r="C195" s="770"/>
      <c r="D195" s="770"/>
      <c r="E195" s="770"/>
      <c r="F195" s="770"/>
      <c r="G195" s="770"/>
      <c r="H195" s="770"/>
      <c r="I195" s="770"/>
      <c r="J195" s="770"/>
      <c r="K195" s="199" t="s">
        <v>63</v>
      </c>
      <c r="L195" s="199"/>
      <c r="M195" s="199"/>
      <c r="N195" s="199"/>
      <c r="O195" s="199" t="s">
        <v>364</v>
      </c>
      <c r="P195" s="199"/>
      <c r="Q195" s="199"/>
      <c r="R195" s="157"/>
      <c r="S195" s="69" t="s">
        <v>27</v>
      </c>
      <c r="T195" s="89"/>
      <c r="U195" s="70"/>
    </row>
    <row r="196" spans="1:22">
      <c r="A196" s="73"/>
      <c r="B196" s="201" t="s">
        <v>289</v>
      </c>
      <c r="C196" s="201" t="s">
        <v>357</v>
      </c>
      <c r="D196" s="201" t="s">
        <v>358</v>
      </c>
      <c r="E196" s="201" t="s">
        <v>359</v>
      </c>
      <c r="F196" s="201" t="s">
        <v>360</v>
      </c>
      <c r="G196" s="201" t="s">
        <v>370</v>
      </c>
      <c r="H196" s="201" t="s">
        <v>356</v>
      </c>
      <c r="I196" s="201" t="s">
        <v>361</v>
      </c>
      <c r="J196" s="201" t="s">
        <v>406</v>
      </c>
      <c r="K196" s="201" t="s">
        <v>363</v>
      </c>
      <c r="L196" s="74" t="s">
        <v>36</v>
      </c>
      <c r="M196" s="74" t="s">
        <v>86</v>
      </c>
      <c r="N196" s="74" t="s">
        <v>99</v>
      </c>
      <c r="O196" s="74" t="s">
        <v>346</v>
      </c>
      <c r="P196" s="74" t="s">
        <v>90</v>
      </c>
      <c r="Q196" s="74" t="s">
        <v>103</v>
      </c>
      <c r="R196" s="540" t="s">
        <v>343</v>
      </c>
      <c r="S196" s="77"/>
      <c r="T196" s="70"/>
      <c r="U196" s="70"/>
      <c r="V196" s="70"/>
    </row>
    <row r="198" spans="1:22">
      <c r="A198" s="536" t="s">
        <v>391</v>
      </c>
      <c r="B198">
        <v>113</v>
      </c>
      <c r="C198">
        <v>94</v>
      </c>
      <c r="D198" s="61">
        <v>89</v>
      </c>
      <c r="E198" s="61">
        <v>82</v>
      </c>
      <c r="F198" s="61">
        <v>93</v>
      </c>
      <c r="G198" s="47">
        <v>93</v>
      </c>
      <c r="H198" s="61">
        <v>89</v>
      </c>
      <c r="I198">
        <v>77</v>
      </c>
      <c r="J198">
        <v>127</v>
      </c>
      <c r="K198"/>
      <c r="L198"/>
      <c r="M198"/>
      <c r="N198"/>
      <c r="O198"/>
      <c r="P198"/>
      <c r="Q198"/>
      <c r="R198"/>
      <c r="S198" s="61">
        <f t="shared" ref="S198:S211" si="26">SUM(B198:R198)</f>
        <v>857</v>
      </c>
      <c r="V198" s="126"/>
    </row>
    <row r="199" spans="1:22">
      <c r="A199" s="536">
        <v>1</v>
      </c>
      <c r="B199">
        <v>91</v>
      </c>
      <c r="C199">
        <v>72</v>
      </c>
      <c r="D199" s="61">
        <v>73</v>
      </c>
      <c r="E199" s="61">
        <v>88</v>
      </c>
      <c r="F199" s="61">
        <v>97</v>
      </c>
      <c r="G199" s="47">
        <v>98</v>
      </c>
      <c r="H199" s="61">
        <v>106</v>
      </c>
      <c r="I199">
        <v>59</v>
      </c>
      <c r="J199">
        <v>117</v>
      </c>
      <c r="K199"/>
      <c r="L199"/>
      <c r="M199"/>
      <c r="N199"/>
      <c r="O199"/>
      <c r="P199"/>
      <c r="Q199"/>
      <c r="R199"/>
      <c r="S199" s="61">
        <f t="shared" si="26"/>
        <v>801</v>
      </c>
      <c r="V199" s="126"/>
    </row>
    <row r="200" spans="1:22">
      <c r="A200" s="536">
        <v>2</v>
      </c>
      <c r="B200">
        <v>90</v>
      </c>
      <c r="C200">
        <v>81</v>
      </c>
      <c r="D200" s="61">
        <v>81</v>
      </c>
      <c r="E200" s="61">
        <v>102</v>
      </c>
      <c r="F200" s="61">
        <v>124</v>
      </c>
      <c r="G200" s="47">
        <v>87</v>
      </c>
      <c r="H200" s="61">
        <v>107</v>
      </c>
      <c r="I200">
        <v>73</v>
      </c>
      <c r="J200">
        <v>130</v>
      </c>
      <c r="K200"/>
      <c r="L200"/>
      <c r="M200"/>
      <c r="N200"/>
      <c r="O200"/>
      <c r="P200"/>
      <c r="Q200"/>
      <c r="R200"/>
      <c r="S200" s="61">
        <f t="shared" si="26"/>
        <v>875</v>
      </c>
      <c r="V200" s="126"/>
    </row>
    <row r="201" spans="1:22">
      <c r="A201" s="536">
        <v>3</v>
      </c>
      <c r="B201">
        <v>74</v>
      </c>
      <c r="C201">
        <v>94</v>
      </c>
      <c r="D201" s="61">
        <v>79</v>
      </c>
      <c r="E201" s="61">
        <v>98</v>
      </c>
      <c r="F201" s="61">
        <v>116</v>
      </c>
      <c r="G201" s="47">
        <v>106</v>
      </c>
      <c r="H201" s="61">
        <v>102</v>
      </c>
      <c r="I201">
        <v>64</v>
      </c>
      <c r="J201">
        <v>140</v>
      </c>
      <c r="K201"/>
      <c r="L201"/>
      <c r="M201"/>
      <c r="N201"/>
      <c r="O201"/>
      <c r="P201"/>
      <c r="Q201"/>
      <c r="R201"/>
      <c r="S201" s="61">
        <f t="shared" si="26"/>
        <v>873</v>
      </c>
      <c r="V201" s="126"/>
    </row>
    <row r="202" spans="1:22">
      <c r="A202" s="536" t="s">
        <v>377</v>
      </c>
      <c r="B202">
        <v>95</v>
      </c>
      <c r="C202">
        <v>67</v>
      </c>
      <c r="D202" s="61">
        <v>98</v>
      </c>
      <c r="E202" s="61">
        <v>94</v>
      </c>
      <c r="F202" s="61">
        <v>120</v>
      </c>
      <c r="G202" s="47">
        <v>123</v>
      </c>
      <c r="H202" s="61">
        <v>113</v>
      </c>
      <c r="I202">
        <v>93</v>
      </c>
      <c r="J202">
        <v>129</v>
      </c>
      <c r="K202"/>
      <c r="L202"/>
      <c r="M202"/>
      <c r="N202"/>
      <c r="O202"/>
      <c r="P202"/>
      <c r="Q202"/>
      <c r="R202"/>
      <c r="S202" s="61">
        <f t="shared" si="26"/>
        <v>932</v>
      </c>
      <c r="V202" s="126"/>
    </row>
    <row r="203" spans="1:22">
      <c r="A203" s="536" t="s">
        <v>378</v>
      </c>
      <c r="B203">
        <v>100</v>
      </c>
      <c r="C203">
        <v>108</v>
      </c>
      <c r="D203" s="61">
        <v>93</v>
      </c>
      <c r="E203" s="61">
        <v>105</v>
      </c>
      <c r="F203" s="61">
        <v>127</v>
      </c>
      <c r="G203" s="47">
        <v>130</v>
      </c>
      <c r="H203" s="61">
        <v>136</v>
      </c>
      <c r="I203">
        <v>71</v>
      </c>
      <c r="J203">
        <v>147</v>
      </c>
      <c r="K203"/>
      <c r="L203"/>
      <c r="M203"/>
      <c r="N203"/>
      <c r="O203"/>
      <c r="P203"/>
      <c r="Q203"/>
      <c r="R203"/>
      <c r="S203" s="61">
        <f t="shared" si="26"/>
        <v>1017</v>
      </c>
      <c r="V203" s="126"/>
    </row>
    <row r="204" spans="1:22">
      <c r="A204" s="536" t="s">
        <v>379</v>
      </c>
      <c r="B204"/>
      <c r="C204"/>
      <c r="D204"/>
      <c r="E204"/>
      <c r="F204"/>
      <c r="G204"/>
      <c r="H204"/>
      <c r="I204"/>
      <c r="J204"/>
      <c r="K204">
        <v>217</v>
      </c>
      <c r="L204">
        <v>234</v>
      </c>
      <c r="M204">
        <v>240</v>
      </c>
      <c r="N204">
        <v>253</v>
      </c>
      <c r="O204"/>
      <c r="P204"/>
      <c r="Q204"/>
      <c r="R204"/>
      <c r="S204" s="61">
        <f t="shared" si="26"/>
        <v>944</v>
      </c>
      <c r="V204" s="126"/>
    </row>
    <row r="205" spans="1:22">
      <c r="A205" s="536" t="s">
        <v>380</v>
      </c>
      <c r="B205"/>
      <c r="C205"/>
      <c r="D205"/>
      <c r="E205"/>
      <c r="F205"/>
      <c r="G205"/>
      <c r="H205"/>
      <c r="I205"/>
      <c r="J205"/>
      <c r="K205">
        <v>224</v>
      </c>
      <c r="L205">
        <v>294</v>
      </c>
      <c r="M205">
        <v>267</v>
      </c>
      <c r="N205">
        <v>255</v>
      </c>
      <c r="O205"/>
      <c r="P205"/>
      <c r="Q205"/>
      <c r="R205">
        <v>1</v>
      </c>
      <c r="S205" s="61">
        <f t="shared" si="26"/>
        <v>1041</v>
      </c>
      <c r="V205" s="126"/>
    </row>
    <row r="206" spans="1:22">
      <c r="A206" s="536" t="s">
        <v>381</v>
      </c>
      <c r="B206"/>
      <c r="C206"/>
      <c r="D206"/>
      <c r="E206"/>
      <c r="F206"/>
      <c r="G206"/>
      <c r="H206"/>
      <c r="I206"/>
      <c r="J206"/>
      <c r="K206">
        <v>249</v>
      </c>
      <c r="L206">
        <v>245</v>
      </c>
      <c r="M206">
        <v>274</v>
      </c>
      <c r="N206">
        <v>270</v>
      </c>
      <c r="O206"/>
      <c r="P206"/>
      <c r="Q206"/>
      <c r="R206">
        <v>1</v>
      </c>
      <c r="S206" s="61">
        <f t="shared" si="26"/>
        <v>1039</v>
      </c>
      <c r="V206" s="126"/>
    </row>
    <row r="207" spans="1:22">
      <c r="A207" s="536" t="s">
        <v>382</v>
      </c>
      <c r="B207"/>
      <c r="C207"/>
      <c r="D207"/>
      <c r="E207"/>
      <c r="F207"/>
      <c r="G207"/>
      <c r="H207"/>
      <c r="I207"/>
      <c r="J207"/>
      <c r="K207"/>
      <c r="L207"/>
      <c r="M207"/>
      <c r="N207"/>
      <c r="O207">
        <v>291</v>
      </c>
      <c r="P207">
        <v>401</v>
      </c>
      <c r="Q207">
        <v>367</v>
      </c>
      <c r="R207">
        <v>3</v>
      </c>
      <c r="S207" s="61">
        <f t="shared" si="26"/>
        <v>1062</v>
      </c>
      <c r="V207" s="126"/>
    </row>
    <row r="208" spans="1:22">
      <c r="A208" s="536" t="s">
        <v>383</v>
      </c>
      <c r="B208"/>
      <c r="C208"/>
      <c r="D208"/>
      <c r="E208"/>
      <c r="F208"/>
      <c r="G208"/>
      <c r="H208"/>
      <c r="I208"/>
      <c r="J208"/>
      <c r="K208"/>
      <c r="L208"/>
      <c r="M208"/>
      <c r="N208"/>
      <c r="O208">
        <v>273</v>
      </c>
      <c r="P208">
        <v>407</v>
      </c>
      <c r="Q208">
        <v>338</v>
      </c>
      <c r="R208">
        <v>15</v>
      </c>
      <c r="S208" s="61">
        <f t="shared" si="26"/>
        <v>1033</v>
      </c>
      <c r="V208" s="126"/>
    </row>
    <row r="209" spans="1:22">
      <c r="A209" s="536" t="s">
        <v>384</v>
      </c>
      <c r="B209"/>
      <c r="C209"/>
      <c r="D209"/>
      <c r="E209"/>
      <c r="F209"/>
      <c r="G209"/>
      <c r="H209"/>
      <c r="I209"/>
      <c r="J209"/>
      <c r="K209"/>
      <c r="L209"/>
      <c r="M209"/>
      <c r="N209"/>
      <c r="O209">
        <v>251</v>
      </c>
      <c r="P209">
        <v>415</v>
      </c>
      <c r="Q209">
        <v>329</v>
      </c>
      <c r="R209">
        <v>7</v>
      </c>
      <c r="S209" s="61">
        <f t="shared" si="26"/>
        <v>1002</v>
      </c>
      <c r="V209" s="126"/>
    </row>
    <row r="210" spans="1:22">
      <c r="A210" s="536" t="s">
        <v>385</v>
      </c>
      <c r="B210"/>
      <c r="C210"/>
      <c r="D210"/>
      <c r="E210"/>
      <c r="F210"/>
      <c r="G210"/>
      <c r="H210"/>
      <c r="I210"/>
      <c r="J210"/>
      <c r="K210"/>
      <c r="L210"/>
      <c r="M210"/>
      <c r="N210"/>
      <c r="O210">
        <v>249</v>
      </c>
      <c r="P210">
        <v>407</v>
      </c>
      <c r="Q210">
        <v>338</v>
      </c>
      <c r="R210">
        <v>14</v>
      </c>
      <c r="S210" s="61">
        <f t="shared" si="26"/>
        <v>1008</v>
      </c>
      <c r="V210" s="126"/>
    </row>
    <row r="211" spans="1:22">
      <c r="A211" s="537" t="s">
        <v>386</v>
      </c>
      <c r="B211" s="163">
        <v>0</v>
      </c>
      <c r="C211" s="61">
        <v>0</v>
      </c>
      <c r="D211" s="61">
        <v>0</v>
      </c>
      <c r="E211" s="61">
        <v>0</v>
      </c>
      <c r="F211" s="61">
        <v>0</v>
      </c>
      <c r="G211" s="61">
        <v>0</v>
      </c>
      <c r="H211" s="61">
        <v>0</v>
      </c>
      <c r="I211" s="61">
        <v>0</v>
      </c>
      <c r="J211" s="61">
        <v>0</v>
      </c>
      <c r="K211" s="61">
        <v>0</v>
      </c>
      <c r="L211" s="61">
        <v>0</v>
      </c>
      <c r="M211" s="61">
        <v>0</v>
      </c>
      <c r="N211" s="61">
        <v>0</v>
      </c>
      <c r="O211">
        <v>3</v>
      </c>
      <c r="P211">
        <v>10</v>
      </c>
      <c r="Q211">
        <v>8</v>
      </c>
      <c r="R211" s="61">
        <v>0</v>
      </c>
      <c r="S211" s="61">
        <f t="shared" si="26"/>
        <v>21</v>
      </c>
      <c r="V211" s="126"/>
    </row>
    <row r="212" spans="1:22">
      <c r="A212" s="85"/>
      <c r="B212" s="86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8"/>
      <c r="T212" s="89"/>
      <c r="U212" s="89"/>
      <c r="V212" s="127"/>
    </row>
    <row r="213" spans="1:22">
      <c r="A213" s="90" t="s">
        <v>51</v>
      </c>
      <c r="B213" s="260">
        <f t="shared" ref="B213:S213" si="27">SUM(B198:B211)</f>
        <v>563</v>
      </c>
      <c r="C213" s="260">
        <f t="shared" si="27"/>
        <v>516</v>
      </c>
      <c r="D213" s="260">
        <f t="shared" si="27"/>
        <v>513</v>
      </c>
      <c r="E213" s="260">
        <f t="shared" si="27"/>
        <v>569</v>
      </c>
      <c r="F213" s="260">
        <f t="shared" si="27"/>
        <v>677</v>
      </c>
      <c r="G213" s="260">
        <f t="shared" si="27"/>
        <v>637</v>
      </c>
      <c r="H213" s="260">
        <f t="shared" si="27"/>
        <v>653</v>
      </c>
      <c r="I213" s="260">
        <f t="shared" si="27"/>
        <v>437</v>
      </c>
      <c r="J213" s="260">
        <f t="shared" si="27"/>
        <v>790</v>
      </c>
      <c r="K213" s="260">
        <f t="shared" si="27"/>
        <v>690</v>
      </c>
      <c r="L213" s="91">
        <f t="shared" si="27"/>
        <v>773</v>
      </c>
      <c r="M213" s="91">
        <f t="shared" si="27"/>
        <v>781</v>
      </c>
      <c r="N213" s="91">
        <f t="shared" si="27"/>
        <v>778</v>
      </c>
      <c r="O213" s="91">
        <f t="shared" si="27"/>
        <v>1067</v>
      </c>
      <c r="P213" s="91">
        <f t="shared" si="27"/>
        <v>1640</v>
      </c>
      <c r="Q213" s="91">
        <f t="shared" si="27"/>
        <v>1380</v>
      </c>
      <c r="R213" s="91">
        <f t="shared" si="27"/>
        <v>41</v>
      </c>
      <c r="S213" s="92">
        <f t="shared" si="27"/>
        <v>12505</v>
      </c>
      <c r="T213" s="125"/>
      <c r="U213" s="125"/>
      <c r="V213" s="127"/>
    </row>
    <row r="215" spans="1:22" ht="17.399999999999999">
      <c r="D215" s="67" t="s">
        <v>23</v>
      </c>
      <c r="N215" s="67" t="s">
        <v>404</v>
      </c>
    </row>
    <row r="216" spans="1:22">
      <c r="B216" s="339"/>
      <c r="C216" s="339"/>
      <c r="D216" s="339"/>
      <c r="E216" s="339"/>
      <c r="F216" s="339"/>
      <c r="G216" s="339"/>
      <c r="H216" s="339"/>
      <c r="I216" s="339"/>
      <c r="J216" s="339"/>
    </row>
    <row r="217" spans="1:22">
      <c r="A217" s="68" t="s">
        <v>24</v>
      </c>
      <c r="B217" s="770" t="s">
        <v>25</v>
      </c>
      <c r="C217" s="770"/>
      <c r="D217" s="770"/>
      <c r="E217" s="770"/>
      <c r="F217" s="770"/>
      <c r="G217" s="770"/>
      <c r="H217" s="770"/>
      <c r="I217" s="770"/>
      <c r="J217" s="770"/>
      <c r="K217" s="199" t="s">
        <v>63</v>
      </c>
      <c r="L217" s="199"/>
      <c r="M217" s="199"/>
      <c r="N217" s="199"/>
      <c r="O217" s="199" t="s">
        <v>364</v>
      </c>
      <c r="P217" s="199"/>
      <c r="Q217" s="199"/>
      <c r="R217" s="157"/>
      <c r="S217" s="69" t="s">
        <v>27</v>
      </c>
    </row>
    <row r="218" spans="1:22">
      <c r="A218" s="73"/>
      <c r="B218" s="201" t="s">
        <v>289</v>
      </c>
      <c r="C218" s="201" t="s">
        <v>357</v>
      </c>
      <c r="D218" s="201" t="s">
        <v>358</v>
      </c>
      <c r="E218" s="201" t="s">
        <v>359</v>
      </c>
      <c r="F218" s="201" t="s">
        <v>360</v>
      </c>
      <c r="G218" s="201" t="s">
        <v>370</v>
      </c>
      <c r="H218" s="201" t="s">
        <v>356</v>
      </c>
      <c r="I218" s="201" t="s">
        <v>361</v>
      </c>
      <c r="J218" s="201" t="s">
        <v>406</v>
      </c>
      <c r="K218" s="201" t="s">
        <v>363</v>
      </c>
      <c r="L218" s="74" t="s">
        <v>36</v>
      </c>
      <c r="M218" s="74" t="s">
        <v>86</v>
      </c>
      <c r="N218" s="74" t="s">
        <v>99</v>
      </c>
      <c r="O218" s="74" t="s">
        <v>346</v>
      </c>
      <c r="P218" s="74" t="s">
        <v>90</v>
      </c>
      <c r="Q218" s="74" t="s">
        <v>103</v>
      </c>
      <c r="R218" s="540" t="s">
        <v>343</v>
      </c>
      <c r="S218" s="77"/>
      <c r="T218" s="70"/>
    </row>
    <row r="220" spans="1:22">
      <c r="A220" s="536" t="s">
        <v>391</v>
      </c>
      <c r="B220">
        <v>86</v>
      </c>
      <c r="C220">
        <v>71</v>
      </c>
      <c r="D220" s="61">
        <v>65</v>
      </c>
      <c r="E220" s="61">
        <v>88</v>
      </c>
      <c r="F220" s="61">
        <v>96</v>
      </c>
      <c r="G220" s="47">
        <v>84</v>
      </c>
      <c r="H220" s="61">
        <v>97</v>
      </c>
      <c r="I220">
        <v>63</v>
      </c>
      <c r="J220">
        <v>117</v>
      </c>
      <c r="K220"/>
      <c r="L220"/>
      <c r="M220"/>
      <c r="N220"/>
      <c r="O220"/>
      <c r="P220"/>
      <c r="Q220"/>
      <c r="R220"/>
      <c r="S220" s="61">
        <f t="shared" ref="S220:S233" si="28">SUM(B220:R220)</f>
        <v>767</v>
      </c>
    </row>
    <row r="221" spans="1:22">
      <c r="A221" s="536">
        <v>1</v>
      </c>
      <c r="B221">
        <v>85</v>
      </c>
      <c r="C221">
        <v>81</v>
      </c>
      <c r="D221" s="61">
        <v>80</v>
      </c>
      <c r="E221" s="61">
        <v>108</v>
      </c>
      <c r="F221" s="61">
        <v>108</v>
      </c>
      <c r="G221" s="47">
        <v>87</v>
      </c>
      <c r="H221" s="61">
        <v>96</v>
      </c>
      <c r="I221">
        <v>72</v>
      </c>
      <c r="J221">
        <v>114</v>
      </c>
      <c r="K221"/>
      <c r="L221"/>
      <c r="M221"/>
      <c r="N221"/>
      <c r="O221"/>
      <c r="P221"/>
      <c r="Q221"/>
      <c r="R221"/>
      <c r="S221" s="61">
        <f t="shared" si="28"/>
        <v>831</v>
      </c>
    </row>
    <row r="222" spans="1:22">
      <c r="A222" s="536">
        <v>2</v>
      </c>
      <c r="B222">
        <v>70</v>
      </c>
      <c r="C222">
        <v>90</v>
      </c>
      <c r="D222" s="61">
        <v>86</v>
      </c>
      <c r="E222" s="61">
        <v>92</v>
      </c>
      <c r="F222" s="61">
        <v>112</v>
      </c>
      <c r="G222" s="47">
        <v>98</v>
      </c>
      <c r="H222" s="61">
        <v>105</v>
      </c>
      <c r="I222">
        <v>71</v>
      </c>
      <c r="J222">
        <v>137</v>
      </c>
      <c r="K222"/>
      <c r="L222"/>
      <c r="M222"/>
      <c r="N222"/>
      <c r="O222"/>
      <c r="P222"/>
      <c r="Q222"/>
      <c r="R222"/>
      <c r="S222" s="61">
        <f t="shared" si="28"/>
        <v>861</v>
      </c>
    </row>
    <row r="223" spans="1:22">
      <c r="A223" s="536">
        <v>3</v>
      </c>
      <c r="B223">
        <v>89</v>
      </c>
      <c r="C223">
        <v>68</v>
      </c>
      <c r="D223" s="61">
        <v>96</v>
      </c>
      <c r="E223" s="61">
        <v>86</v>
      </c>
      <c r="F223" s="61">
        <v>110</v>
      </c>
      <c r="G223" s="47">
        <v>123</v>
      </c>
      <c r="H223" s="61">
        <v>113</v>
      </c>
      <c r="I223">
        <v>94</v>
      </c>
      <c r="J223">
        <v>122</v>
      </c>
      <c r="K223"/>
      <c r="L223"/>
      <c r="M223"/>
      <c r="N223"/>
      <c r="O223"/>
      <c r="P223"/>
      <c r="Q223"/>
      <c r="R223"/>
      <c r="S223" s="61">
        <f t="shared" si="28"/>
        <v>901</v>
      </c>
    </row>
    <row r="224" spans="1:22">
      <c r="A224" s="536" t="s">
        <v>377</v>
      </c>
      <c r="B224">
        <v>103</v>
      </c>
      <c r="C224">
        <v>96</v>
      </c>
      <c r="D224" s="61">
        <v>85</v>
      </c>
      <c r="E224" s="61">
        <v>100</v>
      </c>
      <c r="F224" s="61">
        <v>125</v>
      </c>
      <c r="G224" s="47">
        <v>128</v>
      </c>
      <c r="H224" s="61">
        <v>130</v>
      </c>
      <c r="I224">
        <v>77</v>
      </c>
      <c r="J224">
        <v>154</v>
      </c>
      <c r="K224"/>
      <c r="L224"/>
      <c r="M224"/>
      <c r="N224"/>
      <c r="O224"/>
      <c r="P224"/>
      <c r="Q224"/>
      <c r="R224"/>
      <c r="S224" s="61">
        <f t="shared" si="28"/>
        <v>998</v>
      </c>
    </row>
    <row r="225" spans="1:21">
      <c r="A225" s="536" t="s">
        <v>378</v>
      </c>
      <c r="B225">
        <v>95</v>
      </c>
      <c r="C225">
        <v>90</v>
      </c>
      <c r="D225" s="61">
        <v>89</v>
      </c>
      <c r="E225" s="61">
        <v>88</v>
      </c>
      <c r="F225" s="61">
        <v>104</v>
      </c>
      <c r="G225" s="47">
        <v>129</v>
      </c>
      <c r="H225" s="61">
        <v>113</v>
      </c>
      <c r="I225">
        <v>74</v>
      </c>
      <c r="J225">
        <v>123</v>
      </c>
      <c r="K225"/>
      <c r="L225"/>
      <c r="M225"/>
      <c r="N225"/>
      <c r="O225"/>
      <c r="P225"/>
      <c r="Q225"/>
      <c r="R225"/>
      <c r="S225" s="61">
        <f t="shared" si="28"/>
        <v>905</v>
      </c>
    </row>
    <row r="226" spans="1:21">
      <c r="A226" s="536" t="s">
        <v>379</v>
      </c>
      <c r="B226"/>
      <c r="C226"/>
      <c r="D226"/>
      <c r="E226"/>
      <c r="F226"/>
      <c r="G226"/>
      <c r="H226"/>
      <c r="I226"/>
      <c r="J226"/>
      <c r="K226">
        <v>224</v>
      </c>
      <c r="L226">
        <v>284</v>
      </c>
      <c r="M226">
        <v>260</v>
      </c>
      <c r="N226">
        <v>253</v>
      </c>
      <c r="O226"/>
      <c r="P226"/>
      <c r="Q226"/>
      <c r="R226"/>
      <c r="S226" s="61">
        <f t="shared" si="28"/>
        <v>1021</v>
      </c>
    </row>
    <row r="227" spans="1:21">
      <c r="A227" s="536" t="s">
        <v>380</v>
      </c>
      <c r="B227"/>
      <c r="C227"/>
      <c r="D227"/>
      <c r="E227"/>
      <c r="F227"/>
      <c r="G227"/>
      <c r="H227"/>
      <c r="I227"/>
      <c r="J227"/>
      <c r="K227">
        <v>238</v>
      </c>
      <c r="L227">
        <v>240</v>
      </c>
      <c r="M227">
        <v>264</v>
      </c>
      <c r="N227">
        <v>255</v>
      </c>
      <c r="O227"/>
      <c r="P227"/>
      <c r="Q227"/>
      <c r="R227"/>
      <c r="S227" s="61">
        <f t="shared" si="28"/>
        <v>997</v>
      </c>
    </row>
    <row r="228" spans="1:21">
      <c r="A228" s="536" t="s">
        <v>381</v>
      </c>
      <c r="B228"/>
      <c r="C228"/>
      <c r="D228"/>
      <c r="E228"/>
      <c r="F228"/>
      <c r="G228"/>
      <c r="H228"/>
      <c r="I228"/>
      <c r="J228"/>
      <c r="K228">
        <v>212</v>
      </c>
      <c r="L228">
        <v>308</v>
      </c>
      <c r="M228">
        <v>264</v>
      </c>
      <c r="N228">
        <v>280</v>
      </c>
      <c r="O228"/>
      <c r="P228"/>
      <c r="Q228"/>
      <c r="R228">
        <v>1</v>
      </c>
      <c r="S228" s="61">
        <f t="shared" si="28"/>
        <v>1065</v>
      </c>
    </row>
    <row r="229" spans="1:21">
      <c r="A229" s="536" t="s">
        <v>382</v>
      </c>
      <c r="B229"/>
      <c r="C229"/>
      <c r="D229"/>
      <c r="E229"/>
      <c r="F229"/>
      <c r="G229"/>
      <c r="H229"/>
      <c r="I229"/>
      <c r="J229"/>
      <c r="K229"/>
      <c r="L229"/>
      <c r="M229"/>
      <c r="N229"/>
      <c r="O229">
        <v>281</v>
      </c>
      <c r="P229">
        <v>414</v>
      </c>
      <c r="Q229">
        <v>348</v>
      </c>
      <c r="R229">
        <v>5</v>
      </c>
      <c r="S229" s="61">
        <f t="shared" si="28"/>
        <v>1048</v>
      </c>
    </row>
    <row r="230" spans="1:21">
      <c r="A230" s="536" t="s">
        <v>383</v>
      </c>
      <c r="B230"/>
      <c r="C230"/>
      <c r="D230"/>
      <c r="E230"/>
      <c r="F230"/>
      <c r="G230"/>
      <c r="H230"/>
      <c r="I230"/>
      <c r="J230"/>
      <c r="K230"/>
      <c r="L230"/>
      <c r="M230"/>
      <c r="N230"/>
      <c r="O230">
        <v>253</v>
      </c>
      <c r="P230">
        <v>412</v>
      </c>
      <c r="Q230">
        <v>327</v>
      </c>
      <c r="R230">
        <v>15</v>
      </c>
      <c r="S230" s="61">
        <f t="shared" si="28"/>
        <v>1007</v>
      </c>
    </row>
    <row r="231" spans="1:21">
      <c r="A231" s="536" t="s">
        <v>384</v>
      </c>
      <c r="B231"/>
      <c r="C231"/>
      <c r="D231"/>
      <c r="E231"/>
      <c r="F231"/>
      <c r="G231"/>
      <c r="H231"/>
      <c r="I231"/>
      <c r="J231"/>
      <c r="K231"/>
      <c r="L231"/>
      <c r="M231"/>
      <c r="N231"/>
      <c r="O231">
        <v>261</v>
      </c>
      <c r="P231">
        <v>422</v>
      </c>
      <c r="Q231">
        <v>351</v>
      </c>
      <c r="R231">
        <v>15</v>
      </c>
      <c r="S231" s="61">
        <f t="shared" si="28"/>
        <v>1049</v>
      </c>
    </row>
    <row r="232" spans="1:21">
      <c r="A232" s="536" t="s">
        <v>385</v>
      </c>
      <c r="B232"/>
      <c r="C232"/>
      <c r="D232"/>
      <c r="E232"/>
      <c r="F232"/>
      <c r="G232"/>
      <c r="H232"/>
      <c r="I232"/>
      <c r="J232"/>
      <c r="K232"/>
      <c r="L232"/>
      <c r="M232"/>
      <c r="N232"/>
      <c r="O232">
        <v>243</v>
      </c>
      <c r="P232">
        <v>388</v>
      </c>
      <c r="Q232">
        <v>308</v>
      </c>
      <c r="R232">
        <v>14</v>
      </c>
      <c r="S232" s="61">
        <f t="shared" si="28"/>
        <v>953</v>
      </c>
    </row>
    <row r="233" spans="1:21">
      <c r="A233" s="537" t="s">
        <v>386</v>
      </c>
      <c r="B233" s="163">
        <v>0</v>
      </c>
      <c r="C233" s="61">
        <v>0</v>
      </c>
      <c r="D233" s="61">
        <v>0</v>
      </c>
      <c r="E233" s="61">
        <v>0</v>
      </c>
      <c r="F233" s="61">
        <v>0</v>
      </c>
      <c r="G233" s="61">
        <v>0</v>
      </c>
      <c r="H233" s="61">
        <v>0</v>
      </c>
      <c r="I233" s="61">
        <v>0</v>
      </c>
      <c r="J233" s="61">
        <v>0</v>
      </c>
      <c r="K233" s="61">
        <v>0</v>
      </c>
      <c r="L233" s="61">
        <v>0</v>
      </c>
      <c r="M233" s="61">
        <v>0</v>
      </c>
      <c r="N233" s="61">
        <v>0</v>
      </c>
      <c r="O233">
        <v>0</v>
      </c>
      <c r="P233">
        <v>6</v>
      </c>
      <c r="Q233">
        <v>3</v>
      </c>
      <c r="R233" s="61">
        <v>0</v>
      </c>
      <c r="S233" s="61">
        <f t="shared" si="28"/>
        <v>9</v>
      </c>
    </row>
    <row r="234" spans="1:21">
      <c r="A234" s="85"/>
      <c r="B234" s="86"/>
      <c r="C234" s="87"/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8"/>
      <c r="T234" s="89"/>
    </row>
    <row r="235" spans="1:21">
      <c r="A235" s="90" t="s">
        <v>51</v>
      </c>
      <c r="B235" s="260">
        <f t="shared" ref="B235:S235" si="29">SUM(B220:B233)</f>
        <v>528</v>
      </c>
      <c r="C235" s="260">
        <f t="shared" si="29"/>
        <v>496</v>
      </c>
      <c r="D235" s="260">
        <f t="shared" si="29"/>
        <v>501</v>
      </c>
      <c r="E235" s="260">
        <f t="shared" si="29"/>
        <v>562</v>
      </c>
      <c r="F235" s="260">
        <f t="shared" si="29"/>
        <v>655</v>
      </c>
      <c r="G235" s="260">
        <f t="shared" si="29"/>
        <v>649</v>
      </c>
      <c r="H235" s="260">
        <f t="shared" si="29"/>
        <v>654</v>
      </c>
      <c r="I235" s="260">
        <f t="shared" si="29"/>
        <v>451</v>
      </c>
      <c r="J235" s="260">
        <f t="shared" si="29"/>
        <v>767</v>
      </c>
      <c r="K235" s="260">
        <f t="shared" si="29"/>
        <v>674</v>
      </c>
      <c r="L235" s="91">
        <f t="shared" si="29"/>
        <v>832</v>
      </c>
      <c r="M235" s="91">
        <f t="shared" si="29"/>
        <v>788</v>
      </c>
      <c r="N235" s="91">
        <f t="shared" si="29"/>
        <v>788</v>
      </c>
      <c r="O235" s="91">
        <f t="shared" si="29"/>
        <v>1038</v>
      </c>
      <c r="P235" s="91">
        <f t="shared" si="29"/>
        <v>1642</v>
      </c>
      <c r="Q235" s="91">
        <f t="shared" si="29"/>
        <v>1337</v>
      </c>
      <c r="R235" s="91">
        <f t="shared" si="29"/>
        <v>50</v>
      </c>
      <c r="S235" s="92">
        <f t="shared" si="29"/>
        <v>12412</v>
      </c>
      <c r="T235" s="125"/>
    </row>
    <row r="237" spans="1:21" ht="17.399999999999999">
      <c r="D237" s="67" t="s">
        <v>23</v>
      </c>
      <c r="N237" s="67" t="s">
        <v>376</v>
      </c>
    </row>
    <row r="238" spans="1:21">
      <c r="B238" s="339"/>
      <c r="C238" s="339"/>
      <c r="D238" s="339"/>
      <c r="E238" s="339"/>
      <c r="F238" s="339"/>
      <c r="G238" s="339"/>
      <c r="H238" s="339"/>
      <c r="I238" s="339"/>
      <c r="J238" s="339"/>
    </row>
    <row r="239" spans="1:21">
      <c r="A239" s="68" t="s">
        <v>24</v>
      </c>
      <c r="B239" s="770" t="s">
        <v>25</v>
      </c>
      <c r="C239" s="770"/>
      <c r="D239" s="770"/>
      <c r="E239" s="770"/>
      <c r="F239" s="770"/>
      <c r="G239" s="770"/>
      <c r="H239" s="770"/>
      <c r="I239" s="770"/>
      <c r="J239" s="770"/>
      <c r="K239" s="199" t="s">
        <v>63</v>
      </c>
      <c r="L239" s="199"/>
      <c r="M239" s="199"/>
      <c r="N239" s="199"/>
      <c r="O239" s="199" t="s">
        <v>364</v>
      </c>
      <c r="P239" s="199"/>
      <c r="Q239" s="199"/>
      <c r="R239" s="157"/>
      <c r="S239" s="69" t="s">
        <v>27</v>
      </c>
    </row>
    <row r="240" spans="1:21">
      <c r="A240" s="73"/>
      <c r="B240" s="201" t="s">
        <v>289</v>
      </c>
      <c r="C240" s="201" t="s">
        <v>357</v>
      </c>
      <c r="D240" s="201" t="s">
        <v>358</v>
      </c>
      <c r="E240" s="201" t="s">
        <v>359</v>
      </c>
      <c r="F240" s="201" t="s">
        <v>360</v>
      </c>
      <c r="G240" s="201" t="s">
        <v>370</v>
      </c>
      <c r="H240" s="201" t="s">
        <v>356</v>
      </c>
      <c r="I240" s="201" t="s">
        <v>361</v>
      </c>
      <c r="J240" s="201" t="s">
        <v>406</v>
      </c>
      <c r="K240" s="201" t="s">
        <v>363</v>
      </c>
      <c r="L240" s="74" t="s">
        <v>36</v>
      </c>
      <c r="M240" s="74" t="s">
        <v>86</v>
      </c>
      <c r="N240" s="74" t="s">
        <v>99</v>
      </c>
      <c r="O240" s="74" t="s">
        <v>346</v>
      </c>
      <c r="P240" s="74" t="s">
        <v>90</v>
      </c>
      <c r="Q240" s="74" t="s">
        <v>103</v>
      </c>
      <c r="R240" s="540" t="s">
        <v>343</v>
      </c>
      <c r="S240" s="77"/>
      <c r="T240" s="128"/>
      <c r="U240" s="129"/>
    </row>
    <row r="241" spans="1:21">
      <c r="T241" s="128"/>
      <c r="U241" s="129"/>
    </row>
    <row r="242" spans="1:21">
      <c r="A242" s="536" t="s">
        <v>391</v>
      </c>
      <c r="B242">
        <v>75</v>
      </c>
      <c r="C242">
        <v>77</v>
      </c>
      <c r="D242" s="61">
        <v>75</v>
      </c>
      <c r="E242" s="61">
        <v>107</v>
      </c>
      <c r="F242" s="61">
        <v>108</v>
      </c>
      <c r="G242" s="47">
        <v>87</v>
      </c>
      <c r="H242" s="61">
        <v>85</v>
      </c>
      <c r="I242">
        <v>79</v>
      </c>
      <c r="J242">
        <v>116</v>
      </c>
      <c r="K242"/>
      <c r="L242"/>
      <c r="M242"/>
      <c r="N242"/>
      <c r="O242"/>
      <c r="P242"/>
      <c r="Q242"/>
      <c r="R242"/>
      <c r="S242" s="61">
        <f t="shared" ref="S242:S255" si="30">SUM(B242:R242)</f>
        <v>809</v>
      </c>
      <c r="T242" s="128"/>
      <c r="U242" s="129"/>
    </row>
    <row r="243" spans="1:21">
      <c r="A243" s="536">
        <v>1</v>
      </c>
      <c r="B243">
        <v>74</v>
      </c>
      <c r="C243">
        <v>87</v>
      </c>
      <c r="D243" s="61">
        <v>81</v>
      </c>
      <c r="E243" s="61">
        <v>95</v>
      </c>
      <c r="F243" s="61">
        <v>103</v>
      </c>
      <c r="G243" s="47">
        <v>90</v>
      </c>
      <c r="H243" s="61">
        <v>102</v>
      </c>
      <c r="I243">
        <v>81</v>
      </c>
      <c r="J243">
        <v>123</v>
      </c>
      <c r="K243"/>
      <c r="L243"/>
      <c r="M243"/>
      <c r="N243"/>
      <c r="O243"/>
      <c r="P243"/>
      <c r="Q243"/>
      <c r="R243"/>
      <c r="S243" s="61">
        <f t="shared" si="30"/>
        <v>836</v>
      </c>
      <c r="T243" s="128"/>
      <c r="U243" s="129"/>
    </row>
    <row r="244" spans="1:21">
      <c r="A244" s="536">
        <v>2</v>
      </c>
      <c r="B244">
        <v>90</v>
      </c>
      <c r="C244">
        <v>69</v>
      </c>
      <c r="D244" s="61">
        <v>93</v>
      </c>
      <c r="E244" s="61">
        <v>80</v>
      </c>
      <c r="F244" s="61">
        <v>104</v>
      </c>
      <c r="G244" s="47">
        <v>107</v>
      </c>
      <c r="H244" s="61">
        <v>101</v>
      </c>
      <c r="I244">
        <v>92</v>
      </c>
      <c r="J244">
        <v>116</v>
      </c>
      <c r="K244"/>
      <c r="L244"/>
      <c r="M244"/>
      <c r="N244"/>
      <c r="O244"/>
      <c r="P244"/>
      <c r="Q244"/>
      <c r="R244"/>
      <c r="S244" s="61">
        <f t="shared" si="30"/>
        <v>852</v>
      </c>
      <c r="T244" s="128"/>
      <c r="U244" s="129"/>
    </row>
    <row r="245" spans="1:21">
      <c r="A245" s="536">
        <v>3</v>
      </c>
      <c r="B245">
        <v>95</v>
      </c>
      <c r="C245">
        <v>95</v>
      </c>
      <c r="D245" s="61">
        <v>78</v>
      </c>
      <c r="E245" s="61">
        <v>101</v>
      </c>
      <c r="F245" s="61">
        <v>121</v>
      </c>
      <c r="G245" s="47">
        <v>116</v>
      </c>
      <c r="H245" s="61">
        <v>122</v>
      </c>
      <c r="I245">
        <v>73</v>
      </c>
      <c r="J245">
        <v>154</v>
      </c>
      <c r="K245"/>
      <c r="L245"/>
      <c r="M245"/>
      <c r="N245"/>
      <c r="O245"/>
      <c r="P245"/>
      <c r="Q245"/>
      <c r="R245"/>
      <c r="S245" s="61">
        <f t="shared" si="30"/>
        <v>955</v>
      </c>
      <c r="T245" s="128"/>
      <c r="U245" s="129"/>
    </row>
    <row r="246" spans="1:21">
      <c r="A246" s="536" t="s">
        <v>377</v>
      </c>
      <c r="B246">
        <v>98</v>
      </c>
      <c r="C246">
        <v>86</v>
      </c>
      <c r="D246" s="61">
        <v>89</v>
      </c>
      <c r="E246" s="61">
        <v>93</v>
      </c>
      <c r="F246" s="61">
        <v>99</v>
      </c>
      <c r="G246" s="47">
        <v>112</v>
      </c>
      <c r="H246" s="61">
        <v>108</v>
      </c>
      <c r="I246">
        <v>82</v>
      </c>
      <c r="J246">
        <v>119</v>
      </c>
      <c r="K246"/>
      <c r="L246"/>
      <c r="M246"/>
      <c r="N246"/>
      <c r="O246"/>
      <c r="P246"/>
      <c r="Q246"/>
      <c r="R246"/>
      <c r="S246" s="61">
        <f t="shared" si="30"/>
        <v>886</v>
      </c>
      <c r="T246" s="128"/>
      <c r="U246" s="129"/>
    </row>
    <row r="247" spans="1:21">
      <c r="A247" s="536" t="s">
        <v>378</v>
      </c>
      <c r="B247">
        <v>99</v>
      </c>
      <c r="C247">
        <v>77</v>
      </c>
      <c r="D247" s="61">
        <v>87</v>
      </c>
      <c r="E247" s="61">
        <v>89</v>
      </c>
      <c r="F247" s="61">
        <v>131</v>
      </c>
      <c r="G247" s="47">
        <v>128</v>
      </c>
      <c r="H247" s="61">
        <v>109</v>
      </c>
      <c r="I247">
        <v>103</v>
      </c>
      <c r="J247">
        <v>139</v>
      </c>
      <c r="K247"/>
      <c r="L247"/>
      <c r="M247"/>
      <c r="N247"/>
      <c r="O247"/>
      <c r="P247"/>
      <c r="Q247"/>
      <c r="R247"/>
      <c r="S247" s="61">
        <f t="shared" si="30"/>
        <v>962</v>
      </c>
      <c r="T247" s="128"/>
      <c r="U247" s="129"/>
    </row>
    <row r="248" spans="1:21">
      <c r="A248" s="536" t="s">
        <v>379</v>
      </c>
      <c r="B248"/>
      <c r="C248"/>
      <c r="D248"/>
      <c r="E248"/>
      <c r="F248"/>
      <c r="G248"/>
      <c r="H248"/>
      <c r="I248"/>
      <c r="J248"/>
      <c r="K248">
        <v>235</v>
      </c>
      <c r="L248">
        <v>234</v>
      </c>
      <c r="M248">
        <v>262</v>
      </c>
      <c r="N248">
        <v>252</v>
      </c>
      <c r="O248"/>
      <c r="P248"/>
      <c r="Q248"/>
      <c r="R248"/>
      <c r="S248" s="61">
        <f t="shared" si="30"/>
        <v>983</v>
      </c>
      <c r="T248" s="128"/>
      <c r="U248" s="129"/>
    </row>
    <row r="249" spans="1:21">
      <c r="A249" s="536" t="s">
        <v>380</v>
      </c>
      <c r="B249"/>
      <c r="C249"/>
      <c r="D249"/>
      <c r="E249"/>
      <c r="F249"/>
      <c r="G249"/>
      <c r="H249"/>
      <c r="I249"/>
      <c r="J249"/>
      <c r="K249">
        <v>208</v>
      </c>
      <c r="L249">
        <v>296</v>
      </c>
      <c r="M249">
        <v>266</v>
      </c>
      <c r="N249">
        <v>268</v>
      </c>
      <c r="O249"/>
      <c r="P249"/>
      <c r="Q249"/>
      <c r="R249"/>
      <c r="S249" s="61">
        <f t="shared" si="30"/>
        <v>1038</v>
      </c>
      <c r="T249" s="128"/>
      <c r="U249" s="129"/>
    </row>
    <row r="250" spans="1:21">
      <c r="A250" s="536" t="s">
        <v>381</v>
      </c>
      <c r="B250"/>
      <c r="C250"/>
      <c r="D250"/>
      <c r="E250"/>
      <c r="F250"/>
      <c r="G250"/>
      <c r="H250"/>
      <c r="I250"/>
      <c r="J250"/>
      <c r="K250">
        <v>213</v>
      </c>
      <c r="L250">
        <v>268</v>
      </c>
      <c r="M250">
        <v>258</v>
      </c>
      <c r="N250">
        <v>241</v>
      </c>
      <c r="O250"/>
      <c r="P250"/>
      <c r="Q250"/>
      <c r="R250">
        <v>1</v>
      </c>
      <c r="S250" s="61">
        <f t="shared" si="30"/>
        <v>981</v>
      </c>
      <c r="T250" s="128"/>
      <c r="U250" s="129"/>
    </row>
    <row r="251" spans="1:21">
      <c r="A251" s="536" t="s">
        <v>382</v>
      </c>
      <c r="B251"/>
      <c r="C251"/>
      <c r="D251"/>
      <c r="E251"/>
      <c r="F251"/>
      <c r="G251"/>
      <c r="H251"/>
      <c r="I251"/>
      <c r="J251"/>
      <c r="K251"/>
      <c r="L251"/>
      <c r="M251"/>
      <c r="N251"/>
      <c r="O251">
        <v>265</v>
      </c>
      <c r="P251">
        <v>412</v>
      </c>
      <c r="Q251">
        <v>339</v>
      </c>
      <c r="R251">
        <v>2</v>
      </c>
      <c r="S251" s="61">
        <f t="shared" si="30"/>
        <v>1018</v>
      </c>
      <c r="T251" s="128"/>
      <c r="U251" s="129"/>
    </row>
    <row r="252" spans="1:21">
      <c r="A252" s="536" t="s">
        <v>383</v>
      </c>
      <c r="B252"/>
      <c r="C252"/>
      <c r="D252"/>
      <c r="E252"/>
      <c r="F252"/>
      <c r="G252"/>
      <c r="H252"/>
      <c r="I252"/>
      <c r="J252"/>
      <c r="K252"/>
      <c r="L252"/>
      <c r="M252"/>
      <c r="N252"/>
      <c r="O252">
        <v>258</v>
      </c>
      <c r="P252">
        <v>443</v>
      </c>
      <c r="Q252">
        <v>351</v>
      </c>
      <c r="R252">
        <v>8</v>
      </c>
      <c r="S252" s="61">
        <f t="shared" si="30"/>
        <v>1060</v>
      </c>
      <c r="T252" s="128"/>
      <c r="U252" s="129"/>
    </row>
    <row r="253" spans="1:21">
      <c r="A253" s="536" t="s">
        <v>384</v>
      </c>
      <c r="B253"/>
      <c r="C253"/>
      <c r="D253"/>
      <c r="E253"/>
      <c r="F253"/>
      <c r="G253"/>
      <c r="H253"/>
      <c r="I253"/>
      <c r="J253"/>
      <c r="K253"/>
      <c r="L253"/>
      <c r="M253"/>
      <c r="N253"/>
      <c r="O253">
        <v>255</v>
      </c>
      <c r="P253">
        <v>403</v>
      </c>
      <c r="Q253">
        <v>317</v>
      </c>
      <c r="R253">
        <v>19</v>
      </c>
      <c r="S253" s="61">
        <f t="shared" si="30"/>
        <v>994</v>
      </c>
      <c r="T253" s="128"/>
      <c r="U253" s="129"/>
    </row>
    <row r="254" spans="1:21">
      <c r="A254" s="536" t="s">
        <v>385</v>
      </c>
      <c r="B254"/>
      <c r="C254"/>
      <c r="D254"/>
      <c r="E254"/>
      <c r="F254"/>
      <c r="G254"/>
      <c r="H254"/>
      <c r="I254"/>
      <c r="J254"/>
      <c r="K254"/>
      <c r="L254"/>
      <c r="M254"/>
      <c r="N254"/>
      <c r="O254">
        <v>247</v>
      </c>
      <c r="P254">
        <v>340</v>
      </c>
      <c r="Q254">
        <v>293</v>
      </c>
      <c r="R254">
        <v>14</v>
      </c>
      <c r="S254" s="61">
        <f t="shared" si="30"/>
        <v>894</v>
      </c>
      <c r="T254" s="128"/>
      <c r="U254" s="129"/>
    </row>
    <row r="255" spans="1:21">
      <c r="A255" s="537" t="s">
        <v>386</v>
      </c>
      <c r="B255" s="163">
        <v>0</v>
      </c>
      <c r="C255" s="61">
        <v>0</v>
      </c>
      <c r="D255" s="61">
        <v>0</v>
      </c>
      <c r="E255" s="61">
        <v>0</v>
      </c>
      <c r="F255" s="61">
        <v>0</v>
      </c>
      <c r="G255" s="61">
        <v>0</v>
      </c>
      <c r="H255" s="61">
        <v>0</v>
      </c>
      <c r="I255" s="61">
        <v>0</v>
      </c>
      <c r="J255" s="61">
        <v>0</v>
      </c>
      <c r="K255" s="61">
        <v>0</v>
      </c>
      <c r="L255" s="61">
        <v>0</v>
      </c>
      <c r="M255" s="61">
        <v>0</v>
      </c>
      <c r="N255" s="61">
        <v>0</v>
      </c>
      <c r="O255">
        <v>0</v>
      </c>
      <c r="P255">
        <v>5</v>
      </c>
      <c r="Q255">
        <v>2</v>
      </c>
      <c r="R255" s="61">
        <v>0</v>
      </c>
      <c r="S255" s="61">
        <f t="shared" si="30"/>
        <v>7</v>
      </c>
      <c r="T255" s="128"/>
      <c r="U255" s="129"/>
    </row>
    <row r="256" spans="1:21">
      <c r="A256" s="85"/>
      <c r="B256" s="86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8"/>
      <c r="T256" s="128"/>
      <c r="U256" s="129"/>
    </row>
    <row r="257" spans="1:22">
      <c r="A257" s="90" t="s">
        <v>51</v>
      </c>
      <c r="B257" s="260">
        <f t="shared" ref="B257:S257" si="31">SUM(B242:B255)</f>
        <v>531</v>
      </c>
      <c r="C257" s="260">
        <f t="shared" si="31"/>
        <v>491</v>
      </c>
      <c r="D257" s="260">
        <f t="shared" si="31"/>
        <v>503</v>
      </c>
      <c r="E257" s="260">
        <f t="shared" si="31"/>
        <v>565</v>
      </c>
      <c r="F257" s="260">
        <f t="shared" si="31"/>
        <v>666</v>
      </c>
      <c r="G257" s="260">
        <f t="shared" si="31"/>
        <v>640</v>
      </c>
      <c r="H257" s="260">
        <f t="shared" si="31"/>
        <v>627</v>
      </c>
      <c r="I257" s="260">
        <f t="shared" si="31"/>
        <v>510</v>
      </c>
      <c r="J257" s="260">
        <f t="shared" si="31"/>
        <v>767</v>
      </c>
      <c r="K257" s="260">
        <f t="shared" si="31"/>
        <v>656</v>
      </c>
      <c r="L257" s="91">
        <f t="shared" si="31"/>
        <v>798</v>
      </c>
      <c r="M257" s="91">
        <f t="shared" si="31"/>
        <v>786</v>
      </c>
      <c r="N257" s="91">
        <f t="shared" si="31"/>
        <v>761</v>
      </c>
      <c r="O257" s="91">
        <f t="shared" si="31"/>
        <v>1025</v>
      </c>
      <c r="P257" s="91">
        <f t="shared" si="31"/>
        <v>1603</v>
      </c>
      <c r="Q257" s="91">
        <f t="shared" si="31"/>
        <v>1302</v>
      </c>
      <c r="R257" s="91">
        <f t="shared" si="31"/>
        <v>44</v>
      </c>
      <c r="S257" s="92">
        <f t="shared" si="31"/>
        <v>12275</v>
      </c>
      <c r="T257" s="128"/>
      <c r="U257" s="128"/>
      <c r="V257" s="129"/>
    </row>
    <row r="259" spans="1:22" ht="17.399999999999999">
      <c r="D259" s="67" t="s">
        <v>23</v>
      </c>
      <c r="N259" s="67" t="s">
        <v>373</v>
      </c>
    </row>
    <row r="260" spans="1:22">
      <c r="B260" s="339"/>
      <c r="C260" s="339"/>
      <c r="D260" s="339"/>
      <c r="E260" s="339"/>
      <c r="F260" s="339"/>
      <c r="G260" s="339"/>
      <c r="H260" s="339"/>
      <c r="I260" s="339"/>
      <c r="J260" s="339"/>
    </row>
    <row r="261" spans="1:22">
      <c r="A261" s="68" t="s">
        <v>24</v>
      </c>
      <c r="B261" s="770" t="s">
        <v>25</v>
      </c>
      <c r="C261" s="770"/>
      <c r="D261" s="770"/>
      <c r="E261" s="770"/>
      <c r="F261" s="770"/>
      <c r="G261" s="770"/>
      <c r="H261" s="770"/>
      <c r="I261" s="770"/>
      <c r="J261" s="770"/>
      <c r="K261" s="199" t="s">
        <v>63</v>
      </c>
      <c r="L261" s="199"/>
      <c r="M261" s="199"/>
      <c r="N261" s="199"/>
      <c r="O261" s="199" t="s">
        <v>364</v>
      </c>
      <c r="P261" s="199"/>
      <c r="Q261" s="199"/>
      <c r="R261" s="157"/>
      <c r="S261" s="69" t="s">
        <v>27</v>
      </c>
    </row>
    <row r="262" spans="1:22">
      <c r="A262" s="73"/>
      <c r="B262" s="201" t="s">
        <v>289</v>
      </c>
      <c r="C262" s="201" t="s">
        <v>357</v>
      </c>
      <c r="D262" s="201" t="s">
        <v>358</v>
      </c>
      <c r="E262" s="201" t="s">
        <v>359</v>
      </c>
      <c r="F262" s="201" t="s">
        <v>360</v>
      </c>
      <c r="G262" s="201" t="s">
        <v>370</v>
      </c>
      <c r="H262" s="201" t="s">
        <v>356</v>
      </c>
      <c r="I262" s="201" t="s">
        <v>361</v>
      </c>
      <c r="J262" s="201" t="s">
        <v>406</v>
      </c>
      <c r="K262" s="201" t="s">
        <v>363</v>
      </c>
      <c r="L262" s="74" t="s">
        <v>36</v>
      </c>
      <c r="M262" s="74" t="s">
        <v>86</v>
      </c>
      <c r="N262" s="74" t="s">
        <v>99</v>
      </c>
      <c r="O262" s="74" t="s">
        <v>346</v>
      </c>
      <c r="P262" s="74" t="s">
        <v>90</v>
      </c>
      <c r="Q262" s="74" t="s">
        <v>103</v>
      </c>
      <c r="R262" s="540" t="s">
        <v>343</v>
      </c>
      <c r="S262" s="77"/>
    </row>
    <row r="264" spans="1:22">
      <c r="A264" s="536" t="s">
        <v>391</v>
      </c>
      <c r="B264">
        <v>67</v>
      </c>
      <c r="C264">
        <v>86</v>
      </c>
      <c r="D264" s="61">
        <v>72</v>
      </c>
      <c r="E264">
        <v>95</v>
      </c>
      <c r="F264" s="61">
        <v>92</v>
      </c>
      <c r="G264" s="47">
        <v>84</v>
      </c>
      <c r="H264">
        <v>92</v>
      </c>
      <c r="I264">
        <v>79</v>
      </c>
      <c r="J264">
        <v>111</v>
      </c>
      <c r="K264"/>
      <c r="L264"/>
      <c r="M264"/>
      <c r="N264"/>
      <c r="O264"/>
      <c r="P264"/>
      <c r="Q264"/>
      <c r="R264"/>
      <c r="S264" s="61">
        <f t="shared" ref="S264:S277" si="32">SUM(B264:R264)</f>
        <v>778</v>
      </c>
    </row>
    <row r="265" spans="1:22">
      <c r="A265" s="536">
        <v>1</v>
      </c>
      <c r="B265">
        <v>85</v>
      </c>
      <c r="C265">
        <v>62</v>
      </c>
      <c r="D265" s="61">
        <v>86</v>
      </c>
      <c r="E265">
        <v>87</v>
      </c>
      <c r="F265" s="61">
        <v>100</v>
      </c>
      <c r="G265" s="47">
        <v>95</v>
      </c>
      <c r="H265">
        <v>88</v>
      </c>
      <c r="I265">
        <v>90</v>
      </c>
      <c r="J265">
        <v>99</v>
      </c>
      <c r="K265"/>
      <c r="L265"/>
      <c r="M265"/>
      <c r="N265"/>
      <c r="O265"/>
      <c r="P265"/>
      <c r="Q265"/>
      <c r="R265"/>
      <c r="S265" s="61">
        <f t="shared" si="32"/>
        <v>792</v>
      </c>
    </row>
    <row r="266" spans="1:22">
      <c r="A266" s="536">
        <v>2</v>
      </c>
      <c r="B266">
        <v>79</v>
      </c>
      <c r="C266">
        <v>82</v>
      </c>
      <c r="D266" s="61">
        <v>78</v>
      </c>
      <c r="E266">
        <v>95</v>
      </c>
      <c r="F266" s="61">
        <v>117</v>
      </c>
      <c r="G266" s="47">
        <v>101</v>
      </c>
      <c r="H266">
        <v>110</v>
      </c>
      <c r="I266">
        <v>86</v>
      </c>
      <c r="J266">
        <v>140</v>
      </c>
      <c r="K266"/>
      <c r="L266"/>
      <c r="M266"/>
      <c r="N266"/>
      <c r="O266"/>
      <c r="P266"/>
      <c r="Q266"/>
      <c r="R266"/>
      <c r="S266" s="61">
        <f t="shared" si="32"/>
        <v>888</v>
      </c>
    </row>
    <row r="267" spans="1:22">
      <c r="A267" s="536">
        <v>3</v>
      </c>
      <c r="B267">
        <v>94</v>
      </c>
      <c r="C267">
        <v>88</v>
      </c>
      <c r="D267" s="61">
        <v>87</v>
      </c>
      <c r="E267">
        <v>95</v>
      </c>
      <c r="F267" s="61">
        <v>105</v>
      </c>
      <c r="G267" s="47">
        <v>98</v>
      </c>
      <c r="H267">
        <v>94</v>
      </c>
      <c r="I267">
        <v>77</v>
      </c>
      <c r="J267">
        <v>106</v>
      </c>
      <c r="K267"/>
      <c r="L267"/>
      <c r="M267"/>
      <c r="N267"/>
      <c r="O267"/>
      <c r="P267"/>
      <c r="Q267"/>
      <c r="R267"/>
      <c r="S267" s="61">
        <f t="shared" si="32"/>
        <v>844</v>
      </c>
    </row>
    <row r="268" spans="1:22">
      <c r="A268" s="536" t="s">
        <v>377</v>
      </c>
      <c r="B268">
        <v>92</v>
      </c>
      <c r="C268">
        <v>78</v>
      </c>
      <c r="D268" s="61">
        <v>81</v>
      </c>
      <c r="E268">
        <v>99</v>
      </c>
      <c r="F268" s="61">
        <v>128</v>
      </c>
      <c r="G268" s="47">
        <v>119</v>
      </c>
      <c r="H268">
        <v>116</v>
      </c>
      <c r="I268">
        <v>107</v>
      </c>
      <c r="J268">
        <v>131</v>
      </c>
      <c r="K268"/>
      <c r="L268"/>
      <c r="M268"/>
      <c r="N268"/>
      <c r="O268"/>
      <c r="P268"/>
      <c r="Q268"/>
      <c r="R268"/>
      <c r="S268" s="61">
        <f t="shared" si="32"/>
        <v>951</v>
      </c>
    </row>
    <row r="269" spans="1:22">
      <c r="A269" s="536" t="s">
        <v>378</v>
      </c>
      <c r="B269">
        <v>118</v>
      </c>
      <c r="C269">
        <v>78</v>
      </c>
      <c r="D269" s="61">
        <v>86</v>
      </c>
      <c r="E269">
        <v>91</v>
      </c>
      <c r="F269" s="61">
        <v>118</v>
      </c>
      <c r="G269" s="47">
        <v>97</v>
      </c>
      <c r="H269">
        <v>125</v>
      </c>
      <c r="I269">
        <v>83</v>
      </c>
      <c r="J269">
        <v>131</v>
      </c>
      <c r="K269"/>
      <c r="L269"/>
      <c r="M269"/>
      <c r="N269"/>
      <c r="O269"/>
      <c r="P269"/>
      <c r="Q269"/>
      <c r="R269"/>
      <c r="S269" s="61">
        <f t="shared" si="32"/>
        <v>927</v>
      </c>
    </row>
    <row r="270" spans="1:22">
      <c r="A270" s="536" t="s">
        <v>379</v>
      </c>
      <c r="B270"/>
      <c r="C270"/>
      <c r="D270"/>
      <c r="E270"/>
      <c r="F270"/>
      <c r="G270"/>
      <c r="H270"/>
      <c r="I270"/>
      <c r="J270"/>
      <c r="K270">
        <v>194</v>
      </c>
      <c r="L270">
        <v>279</v>
      </c>
      <c r="M270">
        <v>268</v>
      </c>
      <c r="N270">
        <v>256</v>
      </c>
      <c r="O270"/>
      <c r="P270"/>
      <c r="Q270"/>
      <c r="R270"/>
      <c r="S270" s="61">
        <f t="shared" si="32"/>
        <v>997</v>
      </c>
    </row>
    <row r="271" spans="1:22">
      <c r="A271" s="536" t="s">
        <v>380</v>
      </c>
      <c r="B271"/>
      <c r="C271"/>
      <c r="D271"/>
      <c r="E271"/>
      <c r="F271"/>
      <c r="G271"/>
      <c r="H271"/>
      <c r="I271"/>
      <c r="J271"/>
      <c r="K271">
        <v>217</v>
      </c>
      <c r="L271">
        <v>262</v>
      </c>
      <c r="M271">
        <v>246</v>
      </c>
      <c r="N271">
        <v>242</v>
      </c>
      <c r="O271"/>
      <c r="P271"/>
      <c r="Q271"/>
      <c r="R271">
        <v>0</v>
      </c>
      <c r="S271" s="61">
        <f t="shared" si="32"/>
        <v>967</v>
      </c>
    </row>
    <row r="272" spans="1:22">
      <c r="A272" s="536" t="s">
        <v>381</v>
      </c>
      <c r="B272"/>
      <c r="C272"/>
      <c r="D272"/>
      <c r="E272"/>
      <c r="F272"/>
      <c r="G272"/>
      <c r="H272"/>
      <c r="I272"/>
      <c r="J272"/>
      <c r="K272">
        <v>215</v>
      </c>
      <c r="L272">
        <v>268</v>
      </c>
      <c r="M272">
        <v>258</v>
      </c>
      <c r="N272">
        <v>237</v>
      </c>
      <c r="O272"/>
      <c r="P272"/>
      <c r="Q272"/>
      <c r="R272">
        <v>1</v>
      </c>
      <c r="S272" s="61">
        <f t="shared" si="32"/>
        <v>979</v>
      </c>
    </row>
    <row r="273" spans="1:19">
      <c r="A273" s="536" t="s">
        <v>382</v>
      </c>
      <c r="B273"/>
      <c r="C273"/>
      <c r="D273"/>
      <c r="E273"/>
      <c r="F273"/>
      <c r="G273"/>
      <c r="H273"/>
      <c r="I273"/>
      <c r="J273"/>
      <c r="K273"/>
      <c r="L273"/>
      <c r="M273"/>
      <c r="N273"/>
      <c r="O273">
        <v>262</v>
      </c>
      <c r="P273">
        <v>433</v>
      </c>
      <c r="Q273">
        <v>352</v>
      </c>
      <c r="R273">
        <v>5</v>
      </c>
      <c r="S273" s="61">
        <f t="shared" si="32"/>
        <v>1052</v>
      </c>
    </row>
    <row r="274" spans="1:19">
      <c r="A274" s="536" t="s">
        <v>383</v>
      </c>
      <c r="B274"/>
      <c r="C274"/>
      <c r="D274"/>
      <c r="E274"/>
      <c r="F274"/>
      <c r="G274"/>
      <c r="H274"/>
      <c r="I274"/>
      <c r="J274"/>
      <c r="K274"/>
      <c r="L274"/>
      <c r="M274"/>
      <c r="N274"/>
      <c r="O274">
        <v>266</v>
      </c>
      <c r="P274">
        <v>422</v>
      </c>
      <c r="Q274">
        <v>316</v>
      </c>
      <c r="R274">
        <v>16</v>
      </c>
      <c r="S274" s="61">
        <f t="shared" si="32"/>
        <v>1020</v>
      </c>
    </row>
    <row r="275" spans="1:19">
      <c r="A275" s="536" t="s">
        <v>384</v>
      </c>
      <c r="B275"/>
      <c r="C275"/>
      <c r="D275"/>
      <c r="E275"/>
      <c r="F275"/>
      <c r="G275"/>
      <c r="H275"/>
      <c r="I275"/>
      <c r="J275"/>
      <c r="K275"/>
      <c r="L275"/>
      <c r="M275"/>
      <c r="N275"/>
      <c r="O275">
        <v>267</v>
      </c>
      <c r="P275">
        <v>362</v>
      </c>
      <c r="Q275">
        <v>315</v>
      </c>
      <c r="R275">
        <v>13</v>
      </c>
      <c r="S275" s="61">
        <f t="shared" si="32"/>
        <v>957</v>
      </c>
    </row>
    <row r="276" spans="1:19">
      <c r="A276" s="536" t="s">
        <v>385</v>
      </c>
      <c r="B276"/>
      <c r="C276"/>
      <c r="D276"/>
      <c r="E276"/>
      <c r="F276"/>
      <c r="G276"/>
      <c r="H276"/>
      <c r="I276"/>
      <c r="J276"/>
      <c r="K276"/>
      <c r="L276"/>
      <c r="M276"/>
      <c r="N276"/>
      <c r="O276">
        <v>211</v>
      </c>
      <c r="P276">
        <v>360</v>
      </c>
      <c r="Q276">
        <v>306</v>
      </c>
      <c r="R276">
        <v>11</v>
      </c>
      <c r="S276" s="61">
        <f t="shared" si="32"/>
        <v>888</v>
      </c>
    </row>
    <row r="277" spans="1:19">
      <c r="A277" s="537" t="s">
        <v>386</v>
      </c>
      <c r="B277" s="163">
        <v>0</v>
      </c>
      <c r="C277" s="61">
        <v>0</v>
      </c>
      <c r="D277" s="61">
        <v>0</v>
      </c>
      <c r="E277" s="61">
        <v>0</v>
      </c>
      <c r="F277" s="61">
        <v>0</v>
      </c>
      <c r="G277" s="61">
        <v>0</v>
      </c>
      <c r="H277" s="61">
        <v>0</v>
      </c>
      <c r="I277" s="61">
        <v>0</v>
      </c>
      <c r="J277" s="61">
        <v>0</v>
      </c>
      <c r="K277" s="61">
        <v>0</v>
      </c>
      <c r="L277" s="61">
        <v>0</v>
      </c>
      <c r="M277" s="61">
        <v>0</v>
      </c>
      <c r="N277" s="61">
        <v>0</v>
      </c>
      <c r="O277">
        <v>1</v>
      </c>
      <c r="P277">
        <v>7</v>
      </c>
      <c r="Q277">
        <v>1</v>
      </c>
      <c r="R277" s="61">
        <v>0</v>
      </c>
      <c r="S277" s="61">
        <f t="shared" si="32"/>
        <v>9</v>
      </c>
    </row>
    <row r="278" spans="1:19">
      <c r="A278" s="85"/>
      <c r="B278" s="86"/>
      <c r="C278" s="87"/>
      <c r="D278" s="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8"/>
    </row>
    <row r="279" spans="1:19">
      <c r="A279" s="90" t="s">
        <v>51</v>
      </c>
      <c r="B279" s="260">
        <f t="shared" ref="B279:S279" si="33">SUM(B264:B277)</f>
        <v>535</v>
      </c>
      <c r="C279" s="260">
        <f t="shared" si="33"/>
        <v>474</v>
      </c>
      <c r="D279" s="260">
        <f t="shared" si="33"/>
        <v>490</v>
      </c>
      <c r="E279" s="260">
        <f t="shared" si="33"/>
        <v>562</v>
      </c>
      <c r="F279" s="260">
        <f t="shared" si="33"/>
        <v>660</v>
      </c>
      <c r="G279" s="260">
        <f t="shared" si="33"/>
        <v>594</v>
      </c>
      <c r="H279" s="260">
        <f t="shared" si="33"/>
        <v>625</v>
      </c>
      <c r="I279" s="260">
        <f t="shared" si="33"/>
        <v>522</v>
      </c>
      <c r="J279" s="260">
        <f t="shared" si="33"/>
        <v>718</v>
      </c>
      <c r="K279" s="260">
        <f t="shared" si="33"/>
        <v>626</v>
      </c>
      <c r="L279" s="91">
        <f t="shared" si="33"/>
        <v>809</v>
      </c>
      <c r="M279" s="91">
        <f t="shared" si="33"/>
        <v>772</v>
      </c>
      <c r="N279" s="91">
        <f t="shared" si="33"/>
        <v>735</v>
      </c>
      <c r="O279" s="91">
        <f t="shared" si="33"/>
        <v>1007</v>
      </c>
      <c r="P279" s="91">
        <f t="shared" si="33"/>
        <v>1584</v>
      </c>
      <c r="Q279" s="91">
        <f t="shared" si="33"/>
        <v>1290</v>
      </c>
      <c r="R279" s="91">
        <f t="shared" si="33"/>
        <v>46</v>
      </c>
      <c r="S279" s="92">
        <f t="shared" si="33"/>
        <v>12049</v>
      </c>
    </row>
    <row r="281" spans="1:19" ht="17.399999999999999">
      <c r="D281" s="67" t="s">
        <v>23</v>
      </c>
      <c r="N281" s="67" t="s">
        <v>366</v>
      </c>
    </row>
    <row r="282" spans="1:19">
      <c r="B282" s="339"/>
      <c r="C282" s="339"/>
      <c r="D282" s="339"/>
      <c r="E282" s="339"/>
      <c r="F282" s="339"/>
      <c r="G282" s="339"/>
      <c r="H282" s="339"/>
      <c r="I282" s="339"/>
      <c r="J282" s="339"/>
    </row>
    <row r="283" spans="1:19">
      <c r="A283" s="68" t="s">
        <v>24</v>
      </c>
      <c r="B283" s="770" t="s">
        <v>25</v>
      </c>
      <c r="C283" s="770"/>
      <c r="D283" s="770"/>
      <c r="E283" s="770"/>
      <c r="F283" s="770"/>
      <c r="G283" s="770"/>
      <c r="H283" s="770"/>
      <c r="I283" s="770"/>
      <c r="J283" s="770"/>
      <c r="K283" s="199" t="s">
        <v>63</v>
      </c>
      <c r="L283" s="199"/>
      <c r="M283" s="199"/>
      <c r="N283" s="199"/>
      <c r="O283" s="199" t="s">
        <v>364</v>
      </c>
      <c r="P283" s="199"/>
      <c r="Q283" s="199"/>
      <c r="R283" s="157"/>
      <c r="S283" s="69" t="s">
        <v>27</v>
      </c>
    </row>
    <row r="284" spans="1:19">
      <c r="A284" s="73"/>
      <c r="B284" s="201" t="s">
        <v>289</v>
      </c>
      <c r="C284" s="201" t="s">
        <v>357</v>
      </c>
      <c r="D284" s="201" t="s">
        <v>358</v>
      </c>
      <c r="E284" s="201" t="s">
        <v>359</v>
      </c>
      <c r="F284" s="201" t="s">
        <v>360</v>
      </c>
      <c r="G284" s="201" t="s">
        <v>370</v>
      </c>
      <c r="H284" s="201" t="s">
        <v>356</v>
      </c>
      <c r="I284" s="201" t="s">
        <v>361</v>
      </c>
      <c r="J284" s="201" t="s">
        <v>406</v>
      </c>
      <c r="K284" s="201" t="s">
        <v>363</v>
      </c>
      <c r="L284" s="74" t="s">
        <v>36</v>
      </c>
      <c r="M284" s="74" t="s">
        <v>86</v>
      </c>
      <c r="N284" s="74" t="s">
        <v>99</v>
      </c>
      <c r="O284" s="74" t="s">
        <v>346</v>
      </c>
      <c r="P284" s="74" t="s">
        <v>90</v>
      </c>
      <c r="Q284" s="74" t="s">
        <v>103</v>
      </c>
      <c r="R284" s="540" t="s">
        <v>343</v>
      </c>
      <c r="S284" s="77"/>
    </row>
    <row r="286" spans="1:19">
      <c r="A286" s="536" t="s">
        <v>391</v>
      </c>
      <c r="B286">
        <v>77</v>
      </c>
      <c r="C286">
        <v>68</v>
      </c>
      <c r="D286">
        <v>75</v>
      </c>
      <c r="E286">
        <v>87</v>
      </c>
      <c r="F286">
        <v>89</v>
      </c>
      <c r="G286" s="47">
        <v>89</v>
      </c>
      <c r="H286">
        <v>78</v>
      </c>
      <c r="I286">
        <v>93</v>
      </c>
      <c r="J286">
        <v>87</v>
      </c>
      <c r="K286"/>
      <c r="L286"/>
      <c r="M286"/>
      <c r="N286"/>
      <c r="O286"/>
      <c r="P286"/>
      <c r="Q286"/>
      <c r="R286"/>
      <c r="S286" s="61">
        <f t="shared" ref="S286:S299" si="34">SUM(B286:R286)</f>
        <v>743</v>
      </c>
    </row>
    <row r="287" spans="1:19">
      <c r="A287" s="536">
        <v>1</v>
      </c>
      <c r="B287">
        <v>82</v>
      </c>
      <c r="C287">
        <v>77</v>
      </c>
      <c r="D287">
        <v>73</v>
      </c>
      <c r="E287">
        <v>98</v>
      </c>
      <c r="F287">
        <v>104</v>
      </c>
      <c r="G287" s="47">
        <v>97</v>
      </c>
      <c r="H287">
        <v>105</v>
      </c>
      <c r="I287">
        <v>90</v>
      </c>
      <c r="J287">
        <v>135</v>
      </c>
      <c r="K287"/>
      <c r="L287"/>
      <c r="M287"/>
      <c r="N287"/>
      <c r="O287"/>
      <c r="P287"/>
      <c r="Q287"/>
      <c r="R287"/>
      <c r="S287" s="61">
        <f t="shared" si="34"/>
        <v>861</v>
      </c>
    </row>
    <row r="288" spans="1:19">
      <c r="A288" s="536">
        <v>2</v>
      </c>
      <c r="B288">
        <v>83</v>
      </c>
      <c r="C288">
        <v>84</v>
      </c>
      <c r="D288">
        <v>80</v>
      </c>
      <c r="E288">
        <v>92</v>
      </c>
      <c r="F288">
        <v>103</v>
      </c>
      <c r="G288" s="47">
        <v>93</v>
      </c>
      <c r="H288">
        <v>92</v>
      </c>
      <c r="I288">
        <v>83</v>
      </c>
      <c r="J288">
        <v>104</v>
      </c>
      <c r="K288"/>
      <c r="L288"/>
      <c r="M288"/>
      <c r="N288"/>
      <c r="O288"/>
      <c r="P288"/>
      <c r="Q288"/>
      <c r="R288"/>
      <c r="S288" s="61">
        <f t="shared" si="34"/>
        <v>814</v>
      </c>
    </row>
    <row r="289" spans="1:19">
      <c r="A289" s="536">
        <v>3</v>
      </c>
      <c r="B289">
        <v>87</v>
      </c>
      <c r="C289">
        <v>75</v>
      </c>
      <c r="D289">
        <v>85</v>
      </c>
      <c r="E289">
        <v>105</v>
      </c>
      <c r="F289">
        <v>117</v>
      </c>
      <c r="G289" s="47">
        <v>112</v>
      </c>
      <c r="H289">
        <v>108</v>
      </c>
      <c r="I289">
        <v>107</v>
      </c>
      <c r="J289">
        <v>112</v>
      </c>
      <c r="K289"/>
      <c r="L289"/>
      <c r="M289"/>
      <c r="N289"/>
      <c r="O289"/>
      <c r="P289"/>
      <c r="Q289"/>
      <c r="R289"/>
      <c r="S289" s="61">
        <f t="shared" si="34"/>
        <v>908</v>
      </c>
    </row>
    <row r="290" spans="1:19">
      <c r="A290" s="536" t="s">
        <v>377</v>
      </c>
      <c r="B290">
        <v>112</v>
      </c>
      <c r="C290">
        <v>78</v>
      </c>
      <c r="D290">
        <v>84</v>
      </c>
      <c r="E290">
        <v>94</v>
      </c>
      <c r="F290">
        <v>118</v>
      </c>
      <c r="G290" s="47">
        <v>99</v>
      </c>
      <c r="H290">
        <v>116</v>
      </c>
      <c r="I290">
        <v>84</v>
      </c>
      <c r="J290">
        <v>119</v>
      </c>
      <c r="K290"/>
      <c r="L290"/>
      <c r="M290"/>
      <c r="N290"/>
      <c r="O290"/>
      <c r="P290"/>
      <c r="Q290"/>
      <c r="R290"/>
      <c r="S290" s="61">
        <f t="shared" si="34"/>
        <v>904</v>
      </c>
    </row>
    <row r="291" spans="1:19">
      <c r="A291" s="536" t="s">
        <v>378</v>
      </c>
      <c r="B291">
        <v>97</v>
      </c>
      <c r="C291">
        <v>76</v>
      </c>
      <c r="D291">
        <v>74</v>
      </c>
      <c r="E291">
        <v>121</v>
      </c>
      <c r="F291">
        <v>125</v>
      </c>
      <c r="G291" s="47">
        <v>141</v>
      </c>
      <c r="H291">
        <v>108</v>
      </c>
      <c r="I291">
        <v>102</v>
      </c>
      <c r="J291">
        <v>117</v>
      </c>
      <c r="K291"/>
      <c r="L291"/>
      <c r="M291"/>
      <c r="N291"/>
      <c r="O291"/>
      <c r="P291"/>
      <c r="Q291"/>
      <c r="R291"/>
      <c r="S291" s="61">
        <f t="shared" si="34"/>
        <v>961</v>
      </c>
    </row>
    <row r="292" spans="1:19">
      <c r="A292" s="536" t="s">
        <v>379</v>
      </c>
      <c r="B292"/>
      <c r="C292"/>
      <c r="D292"/>
      <c r="E292"/>
      <c r="F292"/>
      <c r="G292"/>
      <c r="H292"/>
      <c r="I292"/>
      <c r="J292"/>
      <c r="K292">
        <v>214</v>
      </c>
      <c r="L292">
        <v>264</v>
      </c>
      <c r="M292">
        <v>243</v>
      </c>
      <c r="N292">
        <v>232</v>
      </c>
      <c r="O292"/>
      <c r="P292"/>
      <c r="Q292"/>
      <c r="R292"/>
      <c r="S292" s="61">
        <f t="shared" si="34"/>
        <v>953</v>
      </c>
    </row>
    <row r="293" spans="1:19">
      <c r="A293" s="536" t="s">
        <v>380</v>
      </c>
      <c r="B293"/>
      <c r="C293"/>
      <c r="D293"/>
      <c r="E293"/>
      <c r="F293"/>
      <c r="G293"/>
      <c r="H293"/>
      <c r="I293"/>
      <c r="J293"/>
      <c r="K293">
        <v>210</v>
      </c>
      <c r="L293">
        <v>265</v>
      </c>
      <c r="M293">
        <v>254</v>
      </c>
      <c r="N293">
        <v>230</v>
      </c>
      <c r="O293"/>
      <c r="P293"/>
      <c r="Q293"/>
      <c r="R293">
        <v>0</v>
      </c>
      <c r="S293" s="61">
        <f t="shared" si="34"/>
        <v>959</v>
      </c>
    </row>
    <row r="294" spans="1:19">
      <c r="A294" s="536" t="s">
        <v>381</v>
      </c>
      <c r="B294"/>
      <c r="C294"/>
      <c r="D294"/>
      <c r="E294"/>
      <c r="F294"/>
      <c r="G294"/>
      <c r="H294"/>
      <c r="I294"/>
      <c r="J294"/>
      <c r="K294">
        <v>229</v>
      </c>
      <c r="L294">
        <v>263</v>
      </c>
      <c r="M294">
        <v>287</v>
      </c>
      <c r="N294">
        <v>244</v>
      </c>
      <c r="O294"/>
      <c r="P294"/>
      <c r="Q294"/>
      <c r="R294">
        <v>1</v>
      </c>
      <c r="S294" s="61">
        <f t="shared" si="34"/>
        <v>1024</v>
      </c>
    </row>
    <row r="295" spans="1:19">
      <c r="A295" s="536" t="s">
        <v>382</v>
      </c>
      <c r="B295"/>
      <c r="C295"/>
      <c r="D295"/>
      <c r="E295"/>
      <c r="F295"/>
      <c r="G295"/>
      <c r="H295"/>
      <c r="I295"/>
      <c r="J295"/>
      <c r="K295"/>
      <c r="L295"/>
      <c r="M295"/>
      <c r="N295"/>
      <c r="O295">
        <v>271</v>
      </c>
      <c r="P295">
        <v>425</v>
      </c>
      <c r="Q295">
        <v>319</v>
      </c>
      <c r="R295">
        <v>10</v>
      </c>
      <c r="S295" s="61">
        <f t="shared" si="34"/>
        <v>1025</v>
      </c>
    </row>
    <row r="296" spans="1:19">
      <c r="A296" s="536" t="s">
        <v>383</v>
      </c>
      <c r="B296"/>
      <c r="C296"/>
      <c r="D296"/>
      <c r="E296"/>
      <c r="F296"/>
      <c r="G296"/>
      <c r="H296"/>
      <c r="I296"/>
      <c r="J296"/>
      <c r="K296"/>
      <c r="L296"/>
      <c r="M296"/>
      <c r="N296"/>
      <c r="O296">
        <v>267</v>
      </c>
      <c r="P296">
        <v>387</v>
      </c>
      <c r="Q296">
        <v>313</v>
      </c>
      <c r="R296">
        <v>14</v>
      </c>
      <c r="S296" s="61">
        <f t="shared" si="34"/>
        <v>981</v>
      </c>
    </row>
    <row r="297" spans="1:19">
      <c r="A297" s="536" t="s">
        <v>384</v>
      </c>
      <c r="B297"/>
      <c r="C297"/>
      <c r="D297"/>
      <c r="E297"/>
      <c r="F297"/>
      <c r="G297"/>
      <c r="H297"/>
      <c r="I297"/>
      <c r="J297"/>
      <c r="K297"/>
      <c r="L297"/>
      <c r="M297"/>
      <c r="N297"/>
      <c r="O297">
        <v>224</v>
      </c>
      <c r="P297">
        <v>380</v>
      </c>
      <c r="Q297">
        <v>305</v>
      </c>
      <c r="R297">
        <v>12</v>
      </c>
      <c r="S297" s="61">
        <f t="shared" si="34"/>
        <v>921</v>
      </c>
    </row>
    <row r="298" spans="1:19">
      <c r="A298" s="536" t="s">
        <v>385</v>
      </c>
      <c r="B298"/>
      <c r="C298"/>
      <c r="D298"/>
      <c r="E298"/>
      <c r="F298"/>
      <c r="G298"/>
      <c r="H298"/>
      <c r="I298"/>
      <c r="J298"/>
      <c r="K298"/>
      <c r="L298"/>
      <c r="M298"/>
      <c r="N298"/>
      <c r="O298">
        <v>276</v>
      </c>
      <c r="P298">
        <v>371</v>
      </c>
      <c r="Q298">
        <v>278</v>
      </c>
      <c r="R298">
        <v>13</v>
      </c>
      <c r="S298" s="61">
        <f t="shared" si="34"/>
        <v>938</v>
      </c>
    </row>
    <row r="299" spans="1:19">
      <c r="A299" s="537" t="s">
        <v>386</v>
      </c>
      <c r="B299" s="163">
        <v>0</v>
      </c>
      <c r="C299" s="61">
        <v>0</v>
      </c>
      <c r="D299" s="61">
        <v>0</v>
      </c>
      <c r="E299" s="61">
        <v>0</v>
      </c>
      <c r="F299" s="61">
        <v>0</v>
      </c>
      <c r="G299" s="61">
        <v>0</v>
      </c>
      <c r="H299" s="61">
        <v>0</v>
      </c>
      <c r="I299" s="61">
        <v>0</v>
      </c>
      <c r="J299" s="61">
        <v>0</v>
      </c>
      <c r="K299" s="61">
        <v>0</v>
      </c>
      <c r="L299" s="61">
        <v>0</v>
      </c>
      <c r="M299" s="61">
        <v>0</v>
      </c>
      <c r="N299" s="61">
        <v>0</v>
      </c>
      <c r="O299">
        <v>3</v>
      </c>
      <c r="P299">
        <v>9</v>
      </c>
      <c r="Q299">
        <v>0</v>
      </c>
      <c r="R299" s="61">
        <v>0</v>
      </c>
      <c r="S299" s="61">
        <f t="shared" si="34"/>
        <v>12</v>
      </c>
    </row>
    <row r="300" spans="1:19">
      <c r="A300" s="85"/>
      <c r="B300" s="86"/>
      <c r="C300" s="87"/>
      <c r="D300" s="87"/>
      <c r="E300" s="87"/>
      <c r="F300" s="87"/>
      <c r="G300" s="87"/>
      <c r="H300" s="87"/>
      <c r="I300" s="87"/>
      <c r="J300" s="87"/>
      <c r="K300" s="87"/>
      <c r="L300" s="87"/>
      <c r="M300" s="87"/>
      <c r="N300" s="87"/>
      <c r="O300" s="87"/>
      <c r="P300" s="87"/>
      <c r="Q300" s="87"/>
      <c r="R300" s="87"/>
      <c r="S300" s="88"/>
    </row>
    <row r="301" spans="1:19">
      <c r="A301" s="90" t="s">
        <v>51</v>
      </c>
      <c r="B301" s="260">
        <f t="shared" ref="B301:S301" si="35">SUM(B286:B299)</f>
        <v>538</v>
      </c>
      <c r="C301" s="260">
        <f t="shared" si="35"/>
        <v>458</v>
      </c>
      <c r="D301" s="260">
        <f t="shared" si="35"/>
        <v>471</v>
      </c>
      <c r="E301" s="260">
        <f t="shared" si="35"/>
        <v>597</v>
      </c>
      <c r="F301" s="260">
        <f t="shared" si="35"/>
        <v>656</v>
      </c>
      <c r="G301" s="260">
        <f t="shared" si="35"/>
        <v>631</v>
      </c>
      <c r="H301" s="260">
        <f t="shared" si="35"/>
        <v>607</v>
      </c>
      <c r="I301" s="260">
        <f t="shared" si="35"/>
        <v>559</v>
      </c>
      <c r="J301" s="260">
        <f t="shared" si="35"/>
        <v>674</v>
      </c>
      <c r="K301" s="260">
        <f t="shared" si="35"/>
        <v>653</v>
      </c>
      <c r="L301" s="91">
        <f t="shared" si="35"/>
        <v>792</v>
      </c>
      <c r="M301" s="91">
        <f t="shared" si="35"/>
        <v>784</v>
      </c>
      <c r="N301" s="91">
        <f t="shared" si="35"/>
        <v>706</v>
      </c>
      <c r="O301" s="91">
        <f t="shared" si="35"/>
        <v>1041</v>
      </c>
      <c r="P301" s="91">
        <f t="shared" si="35"/>
        <v>1572</v>
      </c>
      <c r="Q301" s="91">
        <f t="shared" si="35"/>
        <v>1215</v>
      </c>
      <c r="R301" s="91">
        <f t="shared" si="35"/>
        <v>50</v>
      </c>
      <c r="S301" s="92">
        <f t="shared" si="35"/>
        <v>12004</v>
      </c>
    </row>
    <row r="303" spans="1:19" ht="17.399999999999999">
      <c r="D303" s="67" t="s">
        <v>23</v>
      </c>
      <c r="N303" s="67" t="s">
        <v>352</v>
      </c>
    </row>
    <row r="304" spans="1:19">
      <c r="B304" s="339"/>
      <c r="C304" s="339"/>
      <c r="D304" s="339"/>
      <c r="E304" s="339"/>
      <c r="F304" s="339"/>
      <c r="G304" s="339"/>
      <c r="H304" s="339"/>
      <c r="I304" s="339"/>
      <c r="J304" s="339"/>
    </row>
    <row r="305" spans="1:19">
      <c r="A305" s="68" t="s">
        <v>24</v>
      </c>
      <c r="B305" s="770" t="s">
        <v>25</v>
      </c>
      <c r="C305" s="770"/>
      <c r="D305" s="770"/>
      <c r="E305" s="770"/>
      <c r="F305" s="770"/>
      <c r="G305" s="770"/>
      <c r="H305" s="770"/>
      <c r="I305" s="770"/>
      <c r="J305" s="770"/>
      <c r="K305" s="199" t="s">
        <v>63</v>
      </c>
      <c r="L305" s="199"/>
      <c r="M305" s="199"/>
      <c r="N305" s="199"/>
      <c r="O305" s="199" t="s">
        <v>364</v>
      </c>
      <c r="P305" s="199"/>
      <c r="Q305" s="199"/>
      <c r="R305" s="157"/>
      <c r="S305" s="69" t="s">
        <v>27</v>
      </c>
    </row>
    <row r="306" spans="1:19">
      <c r="A306" s="73"/>
      <c r="B306" s="201" t="s">
        <v>289</v>
      </c>
      <c r="C306" s="201" t="s">
        <v>357</v>
      </c>
      <c r="D306" s="201" t="s">
        <v>358</v>
      </c>
      <c r="E306" s="201" t="s">
        <v>359</v>
      </c>
      <c r="F306" s="201" t="s">
        <v>360</v>
      </c>
      <c r="G306" s="201" t="s">
        <v>370</v>
      </c>
      <c r="H306" s="201" t="s">
        <v>356</v>
      </c>
      <c r="I306" s="201" t="s">
        <v>361</v>
      </c>
      <c r="J306" s="201" t="s">
        <v>406</v>
      </c>
      <c r="K306" s="201" t="s">
        <v>363</v>
      </c>
      <c r="L306" s="74" t="s">
        <v>36</v>
      </c>
      <c r="M306" s="74" t="s">
        <v>86</v>
      </c>
      <c r="N306" s="74" t="s">
        <v>99</v>
      </c>
      <c r="O306" s="74" t="s">
        <v>346</v>
      </c>
      <c r="P306" s="74" t="s">
        <v>90</v>
      </c>
      <c r="Q306" s="74" t="s">
        <v>103</v>
      </c>
      <c r="R306" s="540" t="s">
        <v>343</v>
      </c>
      <c r="S306" s="77"/>
    </row>
    <row r="308" spans="1:19">
      <c r="A308" s="536" t="s">
        <v>391</v>
      </c>
      <c r="B308">
        <v>73</v>
      </c>
      <c r="C308">
        <v>70</v>
      </c>
      <c r="D308">
        <v>77</v>
      </c>
      <c r="E308">
        <v>100</v>
      </c>
      <c r="F308">
        <v>96</v>
      </c>
      <c r="G308" s="47">
        <v>101</v>
      </c>
      <c r="H308">
        <v>108</v>
      </c>
      <c r="I308">
        <v>92</v>
      </c>
      <c r="J308">
        <v>121</v>
      </c>
      <c r="K308"/>
      <c r="L308"/>
      <c r="M308"/>
      <c r="N308"/>
      <c r="O308"/>
      <c r="P308"/>
      <c r="Q308"/>
      <c r="R308"/>
      <c r="S308" s="61">
        <f t="shared" ref="S308:S321" si="36">SUM(B308:R308)</f>
        <v>838</v>
      </c>
    </row>
    <row r="309" spans="1:19">
      <c r="A309" s="536">
        <v>1</v>
      </c>
      <c r="B309">
        <v>78</v>
      </c>
      <c r="C309">
        <v>85</v>
      </c>
      <c r="D309">
        <v>87</v>
      </c>
      <c r="E309">
        <v>90</v>
      </c>
      <c r="F309">
        <v>94</v>
      </c>
      <c r="G309" s="47">
        <v>82</v>
      </c>
      <c r="H309">
        <v>83</v>
      </c>
      <c r="I309">
        <v>90</v>
      </c>
      <c r="J309">
        <v>108</v>
      </c>
      <c r="K309"/>
      <c r="L309"/>
      <c r="M309"/>
      <c r="N309"/>
      <c r="O309"/>
      <c r="P309"/>
      <c r="Q309"/>
      <c r="R309"/>
      <c r="S309" s="61">
        <f t="shared" si="36"/>
        <v>797</v>
      </c>
    </row>
    <row r="310" spans="1:19">
      <c r="A310" s="536">
        <v>2</v>
      </c>
      <c r="B310">
        <v>72</v>
      </c>
      <c r="C310">
        <v>76</v>
      </c>
      <c r="D310">
        <v>79</v>
      </c>
      <c r="E310">
        <v>103</v>
      </c>
      <c r="F310">
        <v>115</v>
      </c>
      <c r="G310" s="47">
        <v>100</v>
      </c>
      <c r="H310">
        <v>98</v>
      </c>
      <c r="I310">
        <v>93</v>
      </c>
      <c r="J310">
        <v>109</v>
      </c>
      <c r="K310"/>
      <c r="L310"/>
      <c r="M310"/>
      <c r="N310"/>
      <c r="O310"/>
      <c r="P310"/>
      <c r="Q310"/>
      <c r="R310"/>
      <c r="S310" s="61">
        <f t="shared" si="36"/>
        <v>845</v>
      </c>
    </row>
    <row r="311" spans="1:19">
      <c r="A311" s="536">
        <v>3</v>
      </c>
      <c r="B311">
        <v>107</v>
      </c>
      <c r="C311">
        <v>84</v>
      </c>
      <c r="D311">
        <v>78</v>
      </c>
      <c r="E311">
        <v>90</v>
      </c>
      <c r="F311">
        <v>121</v>
      </c>
      <c r="G311" s="47">
        <v>91</v>
      </c>
      <c r="H311">
        <v>104</v>
      </c>
      <c r="I311">
        <v>90</v>
      </c>
      <c r="J311">
        <v>114</v>
      </c>
      <c r="K311"/>
      <c r="L311"/>
      <c r="M311"/>
      <c r="N311"/>
      <c r="O311"/>
      <c r="P311"/>
      <c r="Q311"/>
      <c r="R311"/>
      <c r="S311" s="61">
        <f t="shared" si="36"/>
        <v>879</v>
      </c>
    </row>
    <row r="312" spans="1:19">
      <c r="A312" s="536" t="s">
        <v>377</v>
      </c>
      <c r="B312">
        <v>84</v>
      </c>
      <c r="C312">
        <v>96</v>
      </c>
      <c r="D312">
        <v>88</v>
      </c>
      <c r="E312">
        <v>108</v>
      </c>
      <c r="F312">
        <v>118</v>
      </c>
      <c r="G312" s="47">
        <v>122</v>
      </c>
      <c r="H312">
        <v>103</v>
      </c>
      <c r="I312">
        <v>102</v>
      </c>
      <c r="J312">
        <v>106</v>
      </c>
      <c r="K312"/>
      <c r="L312"/>
      <c r="M312"/>
      <c r="N312"/>
      <c r="O312"/>
      <c r="P312"/>
      <c r="Q312"/>
      <c r="R312"/>
      <c r="S312" s="61">
        <f t="shared" si="36"/>
        <v>927</v>
      </c>
    </row>
    <row r="313" spans="1:19">
      <c r="A313" s="536" t="s">
        <v>378</v>
      </c>
      <c r="B313">
        <v>114</v>
      </c>
      <c r="C313">
        <v>83</v>
      </c>
      <c r="D313">
        <v>93</v>
      </c>
      <c r="E313">
        <v>86</v>
      </c>
      <c r="F313">
        <v>133</v>
      </c>
      <c r="G313" s="47">
        <v>114</v>
      </c>
      <c r="H313">
        <v>101</v>
      </c>
      <c r="I313">
        <v>88</v>
      </c>
      <c r="J313">
        <v>117</v>
      </c>
      <c r="K313"/>
      <c r="L313"/>
      <c r="M313"/>
      <c r="N313"/>
      <c r="O313"/>
      <c r="P313"/>
      <c r="Q313"/>
      <c r="R313"/>
      <c r="S313" s="61">
        <f t="shared" si="36"/>
        <v>929</v>
      </c>
    </row>
    <row r="314" spans="1:19">
      <c r="A314" s="536" t="s">
        <v>379</v>
      </c>
      <c r="B314"/>
      <c r="C314"/>
      <c r="D314"/>
      <c r="E314"/>
      <c r="F314"/>
      <c r="G314"/>
      <c r="H314"/>
      <c r="I314"/>
      <c r="J314"/>
      <c r="K314">
        <v>221</v>
      </c>
      <c r="L314">
        <v>242</v>
      </c>
      <c r="M314">
        <v>250</v>
      </c>
      <c r="N314">
        <v>227</v>
      </c>
      <c r="O314"/>
      <c r="P314"/>
      <c r="Q314"/>
      <c r="R314"/>
      <c r="S314" s="61">
        <f t="shared" si="36"/>
        <v>940</v>
      </c>
    </row>
    <row r="315" spans="1:19">
      <c r="A315" s="536" t="s">
        <v>380</v>
      </c>
      <c r="B315"/>
      <c r="C315"/>
      <c r="D315"/>
      <c r="E315"/>
      <c r="F315"/>
      <c r="G315"/>
      <c r="H315"/>
      <c r="I315"/>
      <c r="J315"/>
      <c r="K315">
        <v>242</v>
      </c>
      <c r="L315">
        <v>230</v>
      </c>
      <c r="M315">
        <v>285</v>
      </c>
      <c r="N315">
        <v>235</v>
      </c>
      <c r="O315"/>
      <c r="P315"/>
      <c r="Q315"/>
      <c r="R315">
        <v>0</v>
      </c>
      <c r="S315" s="61">
        <f t="shared" si="36"/>
        <v>992</v>
      </c>
    </row>
    <row r="316" spans="1:19">
      <c r="A316" s="536" t="s">
        <v>381</v>
      </c>
      <c r="B316"/>
      <c r="C316"/>
      <c r="D316"/>
      <c r="E316"/>
      <c r="F316"/>
      <c r="G316"/>
      <c r="H316"/>
      <c r="I316"/>
      <c r="J316"/>
      <c r="K316">
        <v>205</v>
      </c>
      <c r="L316">
        <v>273</v>
      </c>
      <c r="M316">
        <v>299</v>
      </c>
      <c r="N316">
        <v>236</v>
      </c>
      <c r="O316"/>
      <c r="P316"/>
      <c r="Q316"/>
      <c r="R316">
        <v>3</v>
      </c>
      <c r="S316" s="61">
        <f t="shared" si="36"/>
        <v>1016</v>
      </c>
    </row>
    <row r="317" spans="1:19">
      <c r="A317" s="536" t="s">
        <v>382</v>
      </c>
      <c r="B317"/>
      <c r="C317"/>
      <c r="D317"/>
      <c r="E317"/>
      <c r="F317"/>
      <c r="G317"/>
      <c r="H317"/>
      <c r="I317"/>
      <c r="J317"/>
      <c r="K317"/>
      <c r="L317"/>
      <c r="M317"/>
      <c r="N317"/>
      <c r="O317">
        <v>272</v>
      </c>
      <c r="P317">
        <v>387</v>
      </c>
      <c r="Q317">
        <v>315</v>
      </c>
      <c r="R317">
        <v>4</v>
      </c>
      <c r="S317" s="61">
        <f t="shared" si="36"/>
        <v>978</v>
      </c>
    </row>
    <row r="318" spans="1:19">
      <c r="A318" s="536" t="s">
        <v>383</v>
      </c>
      <c r="B318"/>
      <c r="C318"/>
      <c r="D318"/>
      <c r="E318"/>
      <c r="F318"/>
      <c r="G318"/>
      <c r="H318"/>
      <c r="I318"/>
      <c r="J318"/>
      <c r="K318"/>
      <c r="L318"/>
      <c r="M318"/>
      <c r="N318"/>
      <c r="O318">
        <v>227</v>
      </c>
      <c r="P318">
        <v>391</v>
      </c>
      <c r="Q318">
        <v>331</v>
      </c>
      <c r="R318">
        <v>12</v>
      </c>
      <c r="S318" s="61">
        <f t="shared" si="36"/>
        <v>961</v>
      </c>
    </row>
    <row r="319" spans="1:19">
      <c r="A319" s="536" t="s">
        <v>384</v>
      </c>
      <c r="B319"/>
      <c r="C319"/>
      <c r="D319"/>
      <c r="E319"/>
      <c r="F319"/>
      <c r="G319"/>
      <c r="H319"/>
      <c r="I319"/>
      <c r="J319"/>
      <c r="K319"/>
      <c r="L319"/>
      <c r="M319"/>
      <c r="N319"/>
      <c r="O319">
        <v>289</v>
      </c>
      <c r="P319">
        <v>389</v>
      </c>
      <c r="Q319">
        <v>297</v>
      </c>
      <c r="R319">
        <v>10</v>
      </c>
      <c r="S319" s="61">
        <f t="shared" si="36"/>
        <v>985</v>
      </c>
    </row>
    <row r="320" spans="1:19">
      <c r="A320" s="536" t="s">
        <v>385</v>
      </c>
      <c r="B320"/>
      <c r="C320"/>
      <c r="D320"/>
      <c r="E320"/>
      <c r="F320"/>
      <c r="G320"/>
      <c r="H320"/>
      <c r="I320"/>
      <c r="J320"/>
      <c r="K320"/>
      <c r="L320"/>
      <c r="M320"/>
      <c r="N320"/>
      <c r="O320">
        <v>205</v>
      </c>
      <c r="P320">
        <v>380</v>
      </c>
      <c r="Q320">
        <v>280</v>
      </c>
      <c r="R320">
        <v>15</v>
      </c>
      <c r="S320" s="61">
        <f t="shared" si="36"/>
        <v>880</v>
      </c>
    </row>
    <row r="321" spans="1:19">
      <c r="A321" s="537" t="s">
        <v>386</v>
      </c>
      <c r="B321" s="163">
        <v>0</v>
      </c>
      <c r="C321" s="61">
        <v>0</v>
      </c>
      <c r="D321" s="61">
        <v>0</v>
      </c>
      <c r="E321" s="61">
        <v>0</v>
      </c>
      <c r="F321" s="61">
        <v>0</v>
      </c>
      <c r="G321" s="61">
        <v>0</v>
      </c>
      <c r="H321" s="61">
        <v>0</v>
      </c>
      <c r="I321" s="61">
        <v>0</v>
      </c>
      <c r="J321" s="61">
        <v>0</v>
      </c>
      <c r="K321" s="61">
        <v>0</v>
      </c>
      <c r="L321" s="61">
        <v>0</v>
      </c>
      <c r="M321" s="61">
        <v>0</v>
      </c>
      <c r="N321" s="61">
        <v>0</v>
      </c>
      <c r="O321">
        <v>2</v>
      </c>
      <c r="P321">
        <v>8</v>
      </c>
      <c r="Q321">
        <v>2</v>
      </c>
      <c r="R321" s="61">
        <v>0</v>
      </c>
      <c r="S321" s="61">
        <f t="shared" si="36"/>
        <v>12</v>
      </c>
    </row>
    <row r="322" spans="1:19">
      <c r="A322" s="85"/>
      <c r="B322" s="86"/>
      <c r="C322" s="87"/>
      <c r="D322" s="87"/>
      <c r="E322" s="87"/>
      <c r="F322" s="87"/>
      <c r="G322" s="87"/>
      <c r="H322" s="87"/>
      <c r="I322" s="87"/>
      <c r="J322" s="87"/>
      <c r="K322" s="87"/>
      <c r="L322" s="87"/>
      <c r="M322" s="87"/>
      <c r="N322" s="87"/>
      <c r="O322" s="87"/>
      <c r="P322" s="87"/>
      <c r="Q322" s="87"/>
      <c r="R322" s="87"/>
      <c r="S322" s="88"/>
    </row>
    <row r="323" spans="1:19">
      <c r="A323" s="90" t="s">
        <v>51</v>
      </c>
      <c r="B323" s="260">
        <f t="shared" ref="B323:S323" si="37">SUM(B308:B321)</f>
        <v>528</v>
      </c>
      <c r="C323" s="260">
        <f t="shared" si="37"/>
        <v>494</v>
      </c>
      <c r="D323" s="260">
        <f t="shared" si="37"/>
        <v>502</v>
      </c>
      <c r="E323" s="260">
        <f t="shared" si="37"/>
        <v>577</v>
      </c>
      <c r="F323" s="260">
        <f t="shared" si="37"/>
        <v>677</v>
      </c>
      <c r="G323" s="260">
        <f t="shared" si="37"/>
        <v>610</v>
      </c>
      <c r="H323" s="260">
        <f t="shared" si="37"/>
        <v>597</v>
      </c>
      <c r="I323" s="260">
        <f t="shared" si="37"/>
        <v>555</v>
      </c>
      <c r="J323" s="260">
        <f t="shared" si="37"/>
        <v>675</v>
      </c>
      <c r="K323" s="260">
        <f t="shared" si="37"/>
        <v>668</v>
      </c>
      <c r="L323" s="91">
        <f t="shared" si="37"/>
        <v>745</v>
      </c>
      <c r="M323" s="91">
        <f t="shared" si="37"/>
        <v>834</v>
      </c>
      <c r="N323" s="91">
        <f t="shared" si="37"/>
        <v>698</v>
      </c>
      <c r="O323" s="91">
        <f t="shared" si="37"/>
        <v>995</v>
      </c>
      <c r="P323" s="91">
        <f t="shared" si="37"/>
        <v>1555</v>
      </c>
      <c r="Q323" s="91">
        <f t="shared" si="37"/>
        <v>1225</v>
      </c>
      <c r="R323" s="91">
        <f t="shared" si="37"/>
        <v>44</v>
      </c>
      <c r="S323" s="92">
        <f t="shared" si="37"/>
        <v>11979</v>
      </c>
    </row>
    <row r="325" spans="1:19" ht="17.399999999999999">
      <c r="D325" s="67" t="s">
        <v>23</v>
      </c>
      <c r="N325" s="67" t="s">
        <v>344</v>
      </c>
    </row>
    <row r="326" spans="1:19">
      <c r="B326" s="339"/>
      <c r="C326" s="339"/>
      <c r="D326" s="339"/>
      <c r="E326" s="339"/>
      <c r="F326" s="339"/>
      <c r="G326" s="339"/>
      <c r="H326" s="339"/>
      <c r="I326" s="339"/>
      <c r="J326" s="339"/>
    </row>
    <row r="327" spans="1:19">
      <c r="A327" s="68" t="s">
        <v>24</v>
      </c>
      <c r="B327" s="770" t="s">
        <v>25</v>
      </c>
      <c r="C327" s="770"/>
      <c r="D327" s="770"/>
      <c r="E327" s="770"/>
      <c r="F327" s="770"/>
      <c r="G327" s="770"/>
      <c r="H327" s="770"/>
      <c r="I327" s="770"/>
      <c r="J327" s="770"/>
      <c r="K327" s="199" t="s">
        <v>63</v>
      </c>
      <c r="L327" s="199"/>
      <c r="M327" s="199"/>
      <c r="N327" s="199"/>
      <c r="O327" s="199" t="s">
        <v>364</v>
      </c>
      <c r="P327" s="199"/>
      <c r="Q327" s="199"/>
      <c r="R327" s="157"/>
      <c r="S327" s="69" t="s">
        <v>27</v>
      </c>
    </row>
    <row r="328" spans="1:19">
      <c r="A328" s="73"/>
      <c r="B328" s="201" t="s">
        <v>289</v>
      </c>
      <c r="C328" s="201" t="s">
        <v>357</v>
      </c>
      <c r="D328" s="201" t="s">
        <v>358</v>
      </c>
      <c r="E328" s="201" t="s">
        <v>359</v>
      </c>
      <c r="F328" s="201" t="s">
        <v>360</v>
      </c>
      <c r="G328" s="201" t="s">
        <v>370</v>
      </c>
      <c r="H328" s="201" t="s">
        <v>356</v>
      </c>
      <c r="I328" s="201" t="s">
        <v>361</v>
      </c>
      <c r="J328" s="201" t="s">
        <v>406</v>
      </c>
      <c r="K328" s="201" t="s">
        <v>363</v>
      </c>
      <c r="L328" s="74" t="s">
        <v>36</v>
      </c>
      <c r="M328" s="74" t="s">
        <v>86</v>
      </c>
      <c r="N328" s="74" t="s">
        <v>99</v>
      </c>
      <c r="O328" s="74" t="s">
        <v>346</v>
      </c>
      <c r="P328" s="74" t="s">
        <v>90</v>
      </c>
      <c r="Q328" s="74" t="s">
        <v>103</v>
      </c>
      <c r="R328" s="540" t="s">
        <v>343</v>
      </c>
      <c r="S328" s="77"/>
    </row>
    <row r="330" spans="1:19">
      <c r="A330" s="536" t="s">
        <v>391</v>
      </c>
      <c r="B330">
        <v>64</v>
      </c>
      <c r="C330">
        <v>61</v>
      </c>
      <c r="D330">
        <v>67</v>
      </c>
      <c r="E330">
        <v>88</v>
      </c>
      <c r="F330">
        <v>85</v>
      </c>
      <c r="G330" s="47">
        <v>89</v>
      </c>
      <c r="H330">
        <v>95</v>
      </c>
      <c r="I330">
        <v>81</v>
      </c>
      <c r="J330">
        <v>107</v>
      </c>
      <c r="K330"/>
      <c r="L330"/>
      <c r="M330"/>
      <c r="N330"/>
      <c r="O330"/>
      <c r="P330"/>
      <c r="Q330"/>
      <c r="R330"/>
      <c r="S330" s="61">
        <f t="shared" ref="S330:S343" si="38">SUM(B330:R330)</f>
        <v>737</v>
      </c>
    </row>
    <row r="331" spans="1:19">
      <c r="A331" s="536">
        <v>1</v>
      </c>
      <c r="B331">
        <v>80</v>
      </c>
      <c r="C331">
        <v>89</v>
      </c>
      <c r="D331">
        <v>91</v>
      </c>
      <c r="E331">
        <v>94</v>
      </c>
      <c r="F331">
        <v>98</v>
      </c>
      <c r="G331" s="47">
        <v>85</v>
      </c>
      <c r="H331">
        <v>87</v>
      </c>
      <c r="I331">
        <v>94</v>
      </c>
      <c r="J331">
        <v>108</v>
      </c>
      <c r="K331"/>
      <c r="L331"/>
      <c r="M331"/>
      <c r="N331"/>
      <c r="O331"/>
      <c r="P331"/>
      <c r="Q331"/>
      <c r="R331"/>
      <c r="S331" s="61">
        <f t="shared" si="38"/>
        <v>826</v>
      </c>
    </row>
    <row r="332" spans="1:19">
      <c r="A332" s="536">
        <v>2</v>
      </c>
      <c r="B332">
        <v>73</v>
      </c>
      <c r="C332">
        <v>77</v>
      </c>
      <c r="D332">
        <v>80</v>
      </c>
      <c r="E332">
        <v>104</v>
      </c>
      <c r="F332">
        <v>116</v>
      </c>
      <c r="G332" s="47">
        <v>101</v>
      </c>
      <c r="H332">
        <v>99</v>
      </c>
      <c r="I332">
        <v>93</v>
      </c>
      <c r="J332">
        <v>110</v>
      </c>
      <c r="K332"/>
      <c r="L332"/>
      <c r="M332"/>
      <c r="N332"/>
      <c r="O332"/>
      <c r="P332"/>
      <c r="Q332"/>
      <c r="R332"/>
      <c r="S332" s="61">
        <f t="shared" si="38"/>
        <v>853</v>
      </c>
    </row>
    <row r="333" spans="1:19">
      <c r="A333" s="536">
        <v>3</v>
      </c>
      <c r="B333">
        <v>108</v>
      </c>
      <c r="C333">
        <v>84</v>
      </c>
      <c r="D333">
        <v>78</v>
      </c>
      <c r="E333">
        <v>91</v>
      </c>
      <c r="F333">
        <v>122</v>
      </c>
      <c r="G333" s="47">
        <v>92</v>
      </c>
      <c r="H333">
        <v>105</v>
      </c>
      <c r="I333">
        <v>91</v>
      </c>
      <c r="J333">
        <v>111</v>
      </c>
      <c r="K333"/>
      <c r="L333"/>
      <c r="M333"/>
      <c r="N333"/>
      <c r="O333"/>
      <c r="P333"/>
      <c r="Q333"/>
      <c r="R333"/>
      <c r="S333" s="61">
        <f t="shared" si="38"/>
        <v>882</v>
      </c>
    </row>
    <row r="334" spans="1:19">
      <c r="A334" s="536" t="s">
        <v>377</v>
      </c>
      <c r="B334">
        <v>81</v>
      </c>
      <c r="C334">
        <v>93</v>
      </c>
      <c r="D334">
        <v>85</v>
      </c>
      <c r="E334">
        <v>104</v>
      </c>
      <c r="F334">
        <v>114</v>
      </c>
      <c r="G334" s="47">
        <v>118</v>
      </c>
      <c r="H334">
        <v>99</v>
      </c>
      <c r="I334">
        <v>98</v>
      </c>
      <c r="J334">
        <v>105</v>
      </c>
      <c r="K334"/>
      <c r="L334"/>
      <c r="M334"/>
      <c r="N334"/>
      <c r="O334"/>
      <c r="P334"/>
      <c r="Q334"/>
      <c r="R334"/>
      <c r="S334" s="61">
        <f t="shared" si="38"/>
        <v>897</v>
      </c>
    </row>
    <row r="335" spans="1:19">
      <c r="A335" s="536" t="s">
        <v>378</v>
      </c>
      <c r="B335">
        <v>112</v>
      </c>
      <c r="C335">
        <v>82</v>
      </c>
      <c r="D335">
        <v>91</v>
      </c>
      <c r="E335">
        <v>85</v>
      </c>
      <c r="F335">
        <v>131</v>
      </c>
      <c r="G335" s="47">
        <v>112</v>
      </c>
      <c r="H335">
        <v>99</v>
      </c>
      <c r="I335">
        <v>86</v>
      </c>
      <c r="J335">
        <v>114</v>
      </c>
      <c r="K335"/>
      <c r="L335"/>
      <c r="M335"/>
      <c r="N335"/>
      <c r="O335"/>
      <c r="P335"/>
      <c r="Q335"/>
      <c r="R335"/>
      <c r="S335" s="61">
        <f t="shared" si="38"/>
        <v>912</v>
      </c>
    </row>
    <row r="336" spans="1:19">
      <c r="A336" s="536" t="s">
        <v>379</v>
      </c>
      <c r="B336"/>
      <c r="C336"/>
      <c r="D336"/>
      <c r="E336"/>
      <c r="F336"/>
      <c r="G336"/>
      <c r="H336"/>
      <c r="I336"/>
      <c r="J336"/>
      <c r="K336">
        <v>233</v>
      </c>
      <c r="L336">
        <v>255</v>
      </c>
      <c r="M336">
        <v>263</v>
      </c>
      <c r="N336">
        <v>239</v>
      </c>
      <c r="O336"/>
      <c r="P336"/>
      <c r="Q336"/>
      <c r="R336"/>
      <c r="S336" s="61">
        <f t="shared" si="38"/>
        <v>990</v>
      </c>
    </row>
    <row r="337" spans="1:19">
      <c r="A337" s="536" t="s">
        <v>380</v>
      </c>
      <c r="B337"/>
      <c r="C337"/>
      <c r="D337"/>
      <c r="E337"/>
      <c r="F337"/>
      <c r="G337"/>
      <c r="H337"/>
      <c r="I337"/>
      <c r="J337"/>
      <c r="K337">
        <v>243</v>
      </c>
      <c r="L337">
        <v>231</v>
      </c>
      <c r="M337">
        <v>287</v>
      </c>
      <c r="N337">
        <v>236</v>
      </c>
      <c r="O337"/>
      <c r="P337"/>
      <c r="Q337"/>
      <c r="R337">
        <v>1</v>
      </c>
      <c r="S337" s="61">
        <f t="shared" si="38"/>
        <v>998</v>
      </c>
    </row>
    <row r="338" spans="1:19">
      <c r="A338" s="536" t="s">
        <v>381</v>
      </c>
      <c r="B338"/>
      <c r="C338"/>
      <c r="D338"/>
      <c r="E338"/>
      <c r="F338"/>
      <c r="G338"/>
      <c r="H338"/>
      <c r="I338"/>
      <c r="J338"/>
      <c r="K338">
        <v>196</v>
      </c>
      <c r="L338">
        <v>261</v>
      </c>
      <c r="M338">
        <v>286</v>
      </c>
      <c r="N338">
        <v>226</v>
      </c>
      <c r="O338"/>
      <c r="P338"/>
      <c r="Q338"/>
      <c r="R338">
        <v>2</v>
      </c>
      <c r="S338" s="61">
        <f t="shared" si="38"/>
        <v>971</v>
      </c>
    </row>
    <row r="339" spans="1:19">
      <c r="A339" s="536" t="s">
        <v>382</v>
      </c>
      <c r="B339"/>
      <c r="C339"/>
      <c r="D339"/>
      <c r="E339"/>
      <c r="F339"/>
      <c r="G339"/>
      <c r="H339"/>
      <c r="I339"/>
      <c r="J339"/>
      <c r="K339"/>
      <c r="L339"/>
      <c r="M339"/>
      <c r="N339"/>
      <c r="O339">
        <v>268</v>
      </c>
      <c r="P339">
        <v>384</v>
      </c>
      <c r="Q339">
        <v>312</v>
      </c>
      <c r="R339">
        <v>10</v>
      </c>
      <c r="S339" s="61">
        <f t="shared" si="38"/>
        <v>974</v>
      </c>
    </row>
    <row r="340" spans="1:19">
      <c r="A340" s="536" t="s">
        <v>383</v>
      </c>
      <c r="B340"/>
      <c r="C340"/>
      <c r="D340"/>
      <c r="E340"/>
      <c r="F340"/>
      <c r="G340"/>
      <c r="H340"/>
      <c r="I340"/>
      <c r="J340"/>
      <c r="K340"/>
      <c r="L340"/>
      <c r="M340"/>
      <c r="N340"/>
      <c r="O340">
        <v>231</v>
      </c>
      <c r="P340">
        <v>403</v>
      </c>
      <c r="Q340">
        <v>341</v>
      </c>
      <c r="R340">
        <v>14</v>
      </c>
      <c r="S340" s="61">
        <f t="shared" si="38"/>
        <v>989</v>
      </c>
    </row>
    <row r="341" spans="1:19">
      <c r="A341" s="536" t="s">
        <v>384</v>
      </c>
      <c r="B341"/>
      <c r="C341"/>
      <c r="D341"/>
      <c r="E341"/>
      <c r="F341"/>
      <c r="G341"/>
      <c r="H341"/>
      <c r="I341"/>
      <c r="J341"/>
      <c r="K341"/>
      <c r="L341"/>
      <c r="M341"/>
      <c r="N341"/>
      <c r="O341">
        <v>269</v>
      </c>
      <c r="P341">
        <v>364</v>
      </c>
      <c r="Q341">
        <v>278</v>
      </c>
      <c r="R341">
        <v>13</v>
      </c>
      <c r="S341" s="61">
        <f t="shared" si="38"/>
        <v>924</v>
      </c>
    </row>
    <row r="342" spans="1:19">
      <c r="A342" s="536" t="s">
        <v>385</v>
      </c>
      <c r="B342"/>
      <c r="C342"/>
      <c r="D342"/>
      <c r="E342"/>
      <c r="F342"/>
      <c r="G342"/>
      <c r="H342"/>
      <c r="I342"/>
      <c r="J342"/>
      <c r="K342"/>
      <c r="L342"/>
      <c r="M342"/>
      <c r="N342"/>
      <c r="O342">
        <v>196</v>
      </c>
      <c r="P342">
        <v>363</v>
      </c>
      <c r="Q342">
        <v>267</v>
      </c>
      <c r="R342">
        <v>9</v>
      </c>
      <c r="S342" s="61">
        <f t="shared" si="38"/>
        <v>835</v>
      </c>
    </row>
    <row r="343" spans="1:19">
      <c r="A343" s="537" t="s">
        <v>386</v>
      </c>
      <c r="B343" s="163">
        <v>0</v>
      </c>
      <c r="C343" s="61">
        <v>0</v>
      </c>
      <c r="D343" s="61">
        <v>0</v>
      </c>
      <c r="E343" s="61">
        <v>0</v>
      </c>
      <c r="F343" s="61">
        <v>0</v>
      </c>
      <c r="G343" s="61">
        <v>0</v>
      </c>
      <c r="H343" s="61">
        <v>0</v>
      </c>
      <c r="I343" s="61">
        <v>0</v>
      </c>
      <c r="J343" s="61">
        <v>0</v>
      </c>
      <c r="K343" s="61">
        <v>0</v>
      </c>
      <c r="L343" s="61">
        <v>0</v>
      </c>
      <c r="M343" s="61">
        <v>0</v>
      </c>
      <c r="N343" s="61">
        <v>0</v>
      </c>
      <c r="O343">
        <v>2</v>
      </c>
      <c r="P343">
        <v>7</v>
      </c>
      <c r="Q343">
        <v>5</v>
      </c>
      <c r="R343" s="61">
        <v>0</v>
      </c>
      <c r="S343" s="61">
        <f t="shared" si="38"/>
        <v>14</v>
      </c>
    </row>
    <row r="344" spans="1:19">
      <c r="A344" s="85"/>
      <c r="B344" s="86"/>
      <c r="C344" s="87"/>
      <c r="D344" s="87"/>
      <c r="E344" s="87"/>
      <c r="F344" s="87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  <c r="S344" s="88"/>
    </row>
    <row r="345" spans="1:19">
      <c r="A345" s="90" t="s">
        <v>51</v>
      </c>
      <c r="B345" s="260">
        <f t="shared" ref="B345:S345" si="39">SUM(B330:B343)</f>
        <v>518</v>
      </c>
      <c r="C345" s="260">
        <f t="shared" si="39"/>
        <v>486</v>
      </c>
      <c r="D345" s="260">
        <f t="shared" si="39"/>
        <v>492</v>
      </c>
      <c r="E345" s="260">
        <f t="shared" si="39"/>
        <v>566</v>
      </c>
      <c r="F345" s="260">
        <f t="shared" si="39"/>
        <v>666</v>
      </c>
      <c r="G345" s="260">
        <f t="shared" si="39"/>
        <v>597</v>
      </c>
      <c r="H345" s="260">
        <f t="shared" si="39"/>
        <v>584</v>
      </c>
      <c r="I345" s="260">
        <f t="shared" si="39"/>
        <v>543</v>
      </c>
      <c r="J345" s="260">
        <f t="shared" si="39"/>
        <v>655</v>
      </c>
      <c r="K345" s="260">
        <f t="shared" si="39"/>
        <v>672</v>
      </c>
      <c r="L345" s="91">
        <f t="shared" si="39"/>
        <v>747</v>
      </c>
      <c r="M345" s="91">
        <f t="shared" si="39"/>
        <v>836</v>
      </c>
      <c r="N345" s="91">
        <f t="shared" si="39"/>
        <v>701</v>
      </c>
      <c r="O345" s="91">
        <f t="shared" si="39"/>
        <v>966</v>
      </c>
      <c r="P345" s="91">
        <f t="shared" si="39"/>
        <v>1521</v>
      </c>
      <c r="Q345" s="91">
        <f t="shared" si="39"/>
        <v>1203</v>
      </c>
      <c r="R345" s="91">
        <f t="shared" si="39"/>
        <v>49</v>
      </c>
      <c r="S345" s="92">
        <f t="shared" si="39"/>
        <v>11802</v>
      </c>
    </row>
    <row r="347" spans="1:19" ht="17.399999999999999">
      <c r="D347" s="67" t="s">
        <v>23</v>
      </c>
      <c r="N347" s="67" t="s">
        <v>341</v>
      </c>
    </row>
    <row r="348" spans="1:19">
      <c r="B348" s="339"/>
      <c r="C348" s="339"/>
      <c r="D348" s="339"/>
      <c r="E348" s="339"/>
      <c r="F348" s="339"/>
      <c r="G348" s="339"/>
      <c r="H348" s="339"/>
      <c r="I348" s="339"/>
      <c r="J348" s="339"/>
    </row>
    <row r="349" spans="1:19">
      <c r="A349" s="68" t="s">
        <v>24</v>
      </c>
      <c r="B349" s="770" t="s">
        <v>25</v>
      </c>
      <c r="C349" s="770"/>
      <c r="D349" s="770"/>
      <c r="E349" s="770"/>
      <c r="F349" s="770"/>
      <c r="G349" s="770"/>
      <c r="H349" s="770"/>
      <c r="I349" s="770"/>
      <c r="J349" s="770"/>
      <c r="K349" s="199" t="s">
        <v>63</v>
      </c>
      <c r="L349" s="199"/>
      <c r="M349" s="199"/>
      <c r="N349" s="199"/>
      <c r="O349" s="199" t="s">
        <v>364</v>
      </c>
      <c r="P349" s="199"/>
      <c r="Q349" s="199"/>
      <c r="R349" s="157"/>
      <c r="S349" s="69" t="s">
        <v>27</v>
      </c>
    </row>
    <row r="350" spans="1:19">
      <c r="A350" s="73"/>
      <c r="B350" s="201" t="s">
        <v>289</v>
      </c>
      <c r="C350" s="201" t="s">
        <v>357</v>
      </c>
      <c r="D350" s="201" t="s">
        <v>358</v>
      </c>
      <c r="E350" s="201" t="s">
        <v>359</v>
      </c>
      <c r="F350" s="201" t="s">
        <v>360</v>
      </c>
      <c r="G350" s="201" t="s">
        <v>370</v>
      </c>
      <c r="H350" s="201" t="s">
        <v>356</v>
      </c>
      <c r="I350" s="201" t="s">
        <v>361</v>
      </c>
      <c r="J350" s="201" t="s">
        <v>406</v>
      </c>
      <c r="K350" s="201" t="s">
        <v>363</v>
      </c>
      <c r="L350" s="74" t="s">
        <v>36</v>
      </c>
      <c r="M350" s="74" t="s">
        <v>86</v>
      </c>
      <c r="N350" s="74" t="s">
        <v>99</v>
      </c>
      <c r="O350" s="74" t="s">
        <v>346</v>
      </c>
      <c r="P350" s="74" t="s">
        <v>90</v>
      </c>
      <c r="Q350" s="74" t="s">
        <v>103</v>
      </c>
      <c r="R350" s="540" t="s">
        <v>343</v>
      </c>
      <c r="S350" s="77"/>
    </row>
    <row r="352" spans="1:19">
      <c r="A352" s="536" t="s">
        <v>391</v>
      </c>
      <c r="B352">
        <v>69</v>
      </c>
      <c r="C352">
        <v>66</v>
      </c>
      <c r="D352">
        <v>73</v>
      </c>
      <c r="E352">
        <v>96</v>
      </c>
      <c r="F352">
        <v>92</v>
      </c>
      <c r="G352" s="47">
        <v>97</v>
      </c>
      <c r="H352">
        <v>103</v>
      </c>
      <c r="I352">
        <v>88</v>
      </c>
      <c r="J352">
        <v>115</v>
      </c>
      <c r="K352"/>
      <c r="L352"/>
      <c r="M352"/>
      <c r="N352"/>
      <c r="O352"/>
      <c r="P352"/>
      <c r="Q352"/>
      <c r="R352"/>
      <c r="S352" s="61">
        <f t="shared" ref="S352:S365" si="40">SUM(B352:R352)</f>
        <v>799</v>
      </c>
    </row>
    <row r="353" spans="1:21">
      <c r="A353" s="536">
        <v>1</v>
      </c>
      <c r="B353">
        <v>80</v>
      </c>
      <c r="C353">
        <v>89</v>
      </c>
      <c r="D353">
        <v>91</v>
      </c>
      <c r="E353">
        <v>94</v>
      </c>
      <c r="F353">
        <v>98</v>
      </c>
      <c r="G353" s="47">
        <v>86</v>
      </c>
      <c r="H353">
        <v>87</v>
      </c>
      <c r="I353">
        <v>94</v>
      </c>
      <c r="J353">
        <v>108</v>
      </c>
      <c r="K353"/>
      <c r="L353"/>
      <c r="M353"/>
      <c r="N353"/>
      <c r="O353"/>
      <c r="P353"/>
      <c r="Q353"/>
      <c r="R353"/>
      <c r="S353" s="61">
        <f t="shared" si="40"/>
        <v>827</v>
      </c>
    </row>
    <row r="354" spans="1:21">
      <c r="A354" s="536">
        <v>2</v>
      </c>
      <c r="B354">
        <v>73</v>
      </c>
      <c r="C354">
        <v>77</v>
      </c>
      <c r="D354">
        <v>80</v>
      </c>
      <c r="E354">
        <v>105</v>
      </c>
      <c r="F354">
        <v>117</v>
      </c>
      <c r="G354" s="47">
        <v>102</v>
      </c>
      <c r="H354">
        <v>100</v>
      </c>
      <c r="I354">
        <v>94</v>
      </c>
      <c r="J354">
        <v>107</v>
      </c>
      <c r="K354"/>
      <c r="L354"/>
      <c r="M354"/>
      <c r="N354"/>
      <c r="O354"/>
      <c r="P354"/>
      <c r="Q354"/>
      <c r="R354"/>
      <c r="S354" s="61">
        <f t="shared" si="40"/>
        <v>855</v>
      </c>
      <c r="U354" s="94"/>
    </row>
    <row r="355" spans="1:21">
      <c r="A355" s="536">
        <v>3</v>
      </c>
      <c r="B355">
        <v>105</v>
      </c>
      <c r="C355">
        <v>81</v>
      </c>
      <c r="D355">
        <v>76</v>
      </c>
      <c r="E355">
        <v>88</v>
      </c>
      <c r="F355">
        <v>118</v>
      </c>
      <c r="G355" s="47">
        <v>89</v>
      </c>
      <c r="H355">
        <v>102</v>
      </c>
      <c r="I355">
        <v>88</v>
      </c>
      <c r="J355">
        <v>109</v>
      </c>
      <c r="K355"/>
      <c r="L355"/>
      <c r="M355"/>
      <c r="N355"/>
      <c r="O355"/>
      <c r="P355"/>
      <c r="Q355"/>
      <c r="R355"/>
      <c r="S355" s="61">
        <f t="shared" si="40"/>
        <v>856</v>
      </c>
    </row>
    <row r="356" spans="1:21">
      <c r="A356" s="536" t="s">
        <v>377</v>
      </c>
      <c r="B356">
        <v>81</v>
      </c>
      <c r="C356">
        <v>93</v>
      </c>
      <c r="D356">
        <v>85</v>
      </c>
      <c r="E356">
        <v>104</v>
      </c>
      <c r="F356">
        <v>114</v>
      </c>
      <c r="G356" s="47">
        <v>118</v>
      </c>
      <c r="H356">
        <v>100</v>
      </c>
      <c r="I356">
        <v>99</v>
      </c>
      <c r="J356">
        <v>104</v>
      </c>
      <c r="K356"/>
      <c r="L356"/>
      <c r="M356"/>
      <c r="N356"/>
      <c r="O356"/>
      <c r="P356"/>
      <c r="Q356"/>
      <c r="R356"/>
      <c r="S356" s="61">
        <f t="shared" si="40"/>
        <v>898</v>
      </c>
    </row>
    <row r="357" spans="1:21">
      <c r="A357" s="536" t="s">
        <v>378</v>
      </c>
      <c r="B357">
        <v>120</v>
      </c>
      <c r="C357">
        <v>87</v>
      </c>
      <c r="D357">
        <v>98</v>
      </c>
      <c r="E357">
        <v>90</v>
      </c>
      <c r="F357">
        <v>140</v>
      </c>
      <c r="G357" s="47">
        <v>120</v>
      </c>
      <c r="H357">
        <v>106</v>
      </c>
      <c r="I357">
        <v>93</v>
      </c>
      <c r="J357">
        <v>122</v>
      </c>
      <c r="K357"/>
      <c r="L357"/>
      <c r="M357"/>
      <c r="N357"/>
      <c r="O357"/>
      <c r="P357"/>
      <c r="Q357"/>
      <c r="R357"/>
      <c r="S357" s="61">
        <f t="shared" si="40"/>
        <v>976</v>
      </c>
    </row>
    <row r="358" spans="1:21">
      <c r="A358" s="536" t="s">
        <v>379</v>
      </c>
      <c r="B358"/>
      <c r="C358"/>
      <c r="D358"/>
      <c r="E358"/>
      <c r="F358"/>
      <c r="G358"/>
      <c r="H358"/>
      <c r="I358"/>
      <c r="J358"/>
      <c r="K358">
        <v>231</v>
      </c>
      <c r="L358">
        <v>253</v>
      </c>
      <c r="M358">
        <v>261</v>
      </c>
      <c r="N358">
        <f>237-1</f>
        <v>236</v>
      </c>
      <c r="O358"/>
      <c r="P358"/>
      <c r="Q358"/>
      <c r="R358"/>
      <c r="S358" s="61">
        <f t="shared" si="40"/>
        <v>981</v>
      </c>
    </row>
    <row r="359" spans="1:21">
      <c r="A359" s="536" t="s">
        <v>380</v>
      </c>
      <c r="B359"/>
      <c r="C359"/>
      <c r="D359"/>
      <c r="E359"/>
      <c r="F359"/>
      <c r="G359"/>
      <c r="H359"/>
      <c r="I359"/>
      <c r="J359"/>
      <c r="K359">
        <v>233</v>
      </c>
      <c r="L359">
        <v>222</v>
      </c>
      <c r="M359">
        <v>277</v>
      </c>
      <c r="N359">
        <f>227-2</f>
        <v>225</v>
      </c>
      <c r="O359"/>
      <c r="P359"/>
      <c r="Q359"/>
      <c r="R359">
        <v>2</v>
      </c>
      <c r="S359" s="61">
        <f t="shared" si="40"/>
        <v>959</v>
      </c>
    </row>
    <row r="360" spans="1:21">
      <c r="A360" s="536" t="s">
        <v>381</v>
      </c>
      <c r="B360"/>
      <c r="C360"/>
      <c r="D360"/>
      <c r="E360"/>
      <c r="F360"/>
      <c r="G360"/>
      <c r="H360"/>
      <c r="I360"/>
      <c r="J360"/>
      <c r="K360">
        <v>192</v>
      </c>
      <c r="L360">
        <v>256</v>
      </c>
      <c r="M360">
        <v>281</v>
      </c>
      <c r="N360">
        <v>222</v>
      </c>
      <c r="O360"/>
      <c r="P360"/>
      <c r="Q360"/>
      <c r="R360">
        <v>2</v>
      </c>
      <c r="S360" s="61">
        <f t="shared" si="40"/>
        <v>953</v>
      </c>
    </row>
    <row r="361" spans="1:21">
      <c r="A361" s="536" t="s">
        <v>382</v>
      </c>
      <c r="B361"/>
      <c r="C361"/>
      <c r="D361"/>
      <c r="E361"/>
      <c r="F361"/>
      <c r="G361"/>
      <c r="H361"/>
      <c r="I361"/>
      <c r="J361"/>
      <c r="K361"/>
      <c r="L361"/>
      <c r="M361"/>
      <c r="N361"/>
      <c r="O361">
        <v>284</v>
      </c>
      <c r="P361">
        <v>407</v>
      </c>
      <c r="Q361">
        <v>331</v>
      </c>
      <c r="R361">
        <v>8</v>
      </c>
      <c r="S361" s="61">
        <f t="shared" si="40"/>
        <v>1030</v>
      </c>
    </row>
    <row r="362" spans="1:21">
      <c r="A362" s="536" t="s">
        <v>383</v>
      </c>
      <c r="B362"/>
      <c r="C362"/>
      <c r="D362"/>
      <c r="E362"/>
      <c r="F362"/>
      <c r="G362"/>
      <c r="H362"/>
      <c r="I362"/>
      <c r="J362"/>
      <c r="K362"/>
      <c r="L362"/>
      <c r="M362"/>
      <c r="N362"/>
      <c r="O362">
        <v>213</v>
      </c>
      <c r="P362">
        <v>371</v>
      </c>
      <c r="Q362">
        <v>314</v>
      </c>
      <c r="R362">
        <v>15</v>
      </c>
      <c r="S362" s="61">
        <f t="shared" si="40"/>
        <v>913</v>
      </c>
    </row>
    <row r="363" spans="1:21">
      <c r="A363" s="536" t="s">
        <v>384</v>
      </c>
      <c r="B363"/>
      <c r="C363"/>
      <c r="D363"/>
      <c r="E363"/>
      <c r="F363"/>
      <c r="G363"/>
      <c r="H363"/>
      <c r="I363"/>
      <c r="J363"/>
      <c r="K363"/>
      <c r="L363"/>
      <c r="M363"/>
      <c r="N363"/>
      <c r="O363">
        <v>256</v>
      </c>
      <c r="P363">
        <v>347</v>
      </c>
      <c r="Q363">
        <v>265</v>
      </c>
      <c r="R363">
        <v>20</v>
      </c>
      <c r="S363" s="61">
        <f t="shared" si="40"/>
        <v>888</v>
      </c>
    </row>
    <row r="364" spans="1:21">
      <c r="A364" s="536" t="s">
        <v>385</v>
      </c>
      <c r="B364"/>
      <c r="C364"/>
      <c r="D364"/>
      <c r="E364"/>
      <c r="F364"/>
      <c r="G364"/>
      <c r="H364"/>
      <c r="I364"/>
      <c r="J364"/>
      <c r="K364"/>
      <c r="L364"/>
      <c r="M364"/>
      <c r="N364"/>
      <c r="O364">
        <v>192</v>
      </c>
      <c r="P364">
        <v>357</v>
      </c>
      <c r="Q364">
        <v>263</v>
      </c>
      <c r="R364">
        <v>19</v>
      </c>
      <c r="S364" s="61">
        <f t="shared" si="40"/>
        <v>831</v>
      </c>
    </row>
    <row r="365" spans="1:21">
      <c r="A365" s="537" t="s">
        <v>386</v>
      </c>
      <c r="B365" s="163">
        <v>0</v>
      </c>
      <c r="C365" s="61">
        <v>0</v>
      </c>
      <c r="D365" s="61">
        <v>0</v>
      </c>
      <c r="E365" s="61">
        <v>0</v>
      </c>
      <c r="F365" s="61">
        <v>0</v>
      </c>
      <c r="G365" s="61">
        <v>0</v>
      </c>
      <c r="H365" s="61">
        <v>0</v>
      </c>
      <c r="I365" s="61">
        <v>0</v>
      </c>
      <c r="J365" s="61">
        <v>0</v>
      </c>
      <c r="K365" s="61">
        <v>0</v>
      </c>
      <c r="L365" s="61">
        <v>0</v>
      </c>
      <c r="M365" s="61">
        <v>0</v>
      </c>
      <c r="N365" s="61">
        <v>0</v>
      </c>
      <c r="O365">
        <v>2</v>
      </c>
      <c r="P365">
        <v>6</v>
      </c>
      <c r="Q365">
        <v>4</v>
      </c>
      <c r="R365" s="61">
        <v>0</v>
      </c>
      <c r="S365" s="61">
        <f t="shared" si="40"/>
        <v>12</v>
      </c>
    </row>
    <row r="366" spans="1:21">
      <c r="A366" s="85"/>
      <c r="B366" s="86"/>
      <c r="C366" s="87"/>
      <c r="D366" s="87"/>
      <c r="E366" s="87"/>
      <c r="F366" s="87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  <c r="S366" s="88"/>
    </row>
    <row r="367" spans="1:21">
      <c r="A367" s="90" t="s">
        <v>51</v>
      </c>
      <c r="B367" s="260">
        <f t="shared" ref="B367:S367" si="41">SUM(B352:B365)</f>
        <v>528</v>
      </c>
      <c r="C367" s="260">
        <f t="shared" si="41"/>
        <v>493</v>
      </c>
      <c r="D367" s="260">
        <f t="shared" si="41"/>
        <v>503</v>
      </c>
      <c r="E367" s="260">
        <f t="shared" si="41"/>
        <v>577</v>
      </c>
      <c r="F367" s="260">
        <f t="shared" si="41"/>
        <v>679</v>
      </c>
      <c r="G367" s="260">
        <f t="shared" si="41"/>
        <v>612</v>
      </c>
      <c r="H367" s="260">
        <f t="shared" si="41"/>
        <v>598</v>
      </c>
      <c r="I367" s="260">
        <f t="shared" si="41"/>
        <v>556</v>
      </c>
      <c r="J367" s="260">
        <f t="shared" si="41"/>
        <v>665</v>
      </c>
      <c r="K367" s="260">
        <f t="shared" si="41"/>
        <v>656</v>
      </c>
      <c r="L367" s="91">
        <f t="shared" si="41"/>
        <v>731</v>
      </c>
      <c r="M367" s="91">
        <f t="shared" si="41"/>
        <v>819</v>
      </c>
      <c r="N367" s="91">
        <f t="shared" si="41"/>
        <v>683</v>
      </c>
      <c r="O367" s="91">
        <f t="shared" si="41"/>
        <v>947</v>
      </c>
      <c r="P367" s="91">
        <f t="shared" si="41"/>
        <v>1488</v>
      </c>
      <c r="Q367" s="91">
        <f t="shared" si="41"/>
        <v>1177</v>
      </c>
      <c r="R367" s="91">
        <f t="shared" si="41"/>
        <v>66</v>
      </c>
      <c r="S367" s="92">
        <f t="shared" si="41"/>
        <v>11778</v>
      </c>
    </row>
    <row r="369" spans="1:21" ht="17.399999999999999">
      <c r="D369" s="67" t="s">
        <v>23</v>
      </c>
      <c r="N369" s="67" t="s">
        <v>340</v>
      </c>
    </row>
    <row r="370" spans="1:21">
      <c r="B370" s="339"/>
      <c r="C370" s="339"/>
      <c r="D370" s="339"/>
      <c r="E370" s="339"/>
      <c r="F370" s="339"/>
      <c r="G370" s="339"/>
      <c r="H370" s="339"/>
      <c r="I370" s="339"/>
      <c r="J370" s="339"/>
    </row>
    <row r="371" spans="1:21">
      <c r="A371" s="68" t="s">
        <v>24</v>
      </c>
      <c r="B371" s="770" t="s">
        <v>25</v>
      </c>
      <c r="C371" s="770"/>
      <c r="D371" s="770"/>
      <c r="E371" s="770"/>
      <c r="F371" s="770"/>
      <c r="G371" s="770"/>
      <c r="H371" s="770"/>
      <c r="I371" s="770"/>
      <c r="J371" s="770"/>
      <c r="K371" s="199" t="s">
        <v>63</v>
      </c>
      <c r="L371" s="199"/>
      <c r="M371" s="199"/>
      <c r="N371" s="199"/>
      <c r="O371" s="199" t="s">
        <v>364</v>
      </c>
      <c r="P371" s="199"/>
      <c r="Q371" s="199"/>
      <c r="R371" s="157"/>
      <c r="S371" s="69" t="s">
        <v>27</v>
      </c>
    </row>
    <row r="372" spans="1:21">
      <c r="A372" s="73"/>
      <c r="B372" s="201" t="s">
        <v>289</v>
      </c>
      <c r="C372" s="201" t="s">
        <v>357</v>
      </c>
      <c r="D372" s="201" t="s">
        <v>358</v>
      </c>
      <c r="E372" s="201" t="s">
        <v>359</v>
      </c>
      <c r="F372" s="201" t="s">
        <v>360</v>
      </c>
      <c r="G372" s="201" t="s">
        <v>370</v>
      </c>
      <c r="H372" s="201" t="s">
        <v>356</v>
      </c>
      <c r="I372" s="201" t="s">
        <v>361</v>
      </c>
      <c r="J372" s="201" t="s">
        <v>406</v>
      </c>
      <c r="K372" s="201" t="s">
        <v>363</v>
      </c>
      <c r="L372" s="74" t="s">
        <v>36</v>
      </c>
      <c r="M372" s="74" t="s">
        <v>86</v>
      </c>
      <c r="N372" s="74" t="s">
        <v>99</v>
      </c>
      <c r="O372" s="74" t="s">
        <v>346</v>
      </c>
      <c r="P372" s="74" t="s">
        <v>90</v>
      </c>
      <c r="Q372" s="74" t="s">
        <v>103</v>
      </c>
      <c r="R372" s="540" t="s">
        <v>343</v>
      </c>
      <c r="S372" s="77"/>
    </row>
    <row r="373" spans="1:21">
      <c r="U373" s="94"/>
    </row>
    <row r="374" spans="1:21">
      <c r="A374" s="536" t="s">
        <v>391</v>
      </c>
      <c r="B374">
        <v>69</v>
      </c>
      <c r="C374">
        <v>66</v>
      </c>
      <c r="D374">
        <v>73</v>
      </c>
      <c r="E374">
        <v>95</v>
      </c>
      <c r="F374">
        <v>91</v>
      </c>
      <c r="G374" s="47">
        <v>96</v>
      </c>
      <c r="H374">
        <v>103</v>
      </c>
      <c r="I374">
        <v>88</v>
      </c>
      <c r="J374">
        <v>113</v>
      </c>
      <c r="K374"/>
      <c r="L374"/>
      <c r="M374"/>
      <c r="N374"/>
      <c r="O374"/>
      <c r="P374"/>
      <c r="Q374"/>
      <c r="R374"/>
      <c r="S374" s="61">
        <f t="shared" ref="S374:S387" si="42">SUM(B374:R374)</f>
        <v>794</v>
      </c>
    </row>
    <row r="375" spans="1:21">
      <c r="A375" s="536">
        <v>1</v>
      </c>
      <c r="B375">
        <v>82</v>
      </c>
      <c r="C375">
        <v>90</v>
      </c>
      <c r="D375">
        <v>92</v>
      </c>
      <c r="E375">
        <v>96</v>
      </c>
      <c r="F375">
        <v>100</v>
      </c>
      <c r="G375" s="47">
        <v>87</v>
      </c>
      <c r="H375">
        <v>88</v>
      </c>
      <c r="I375">
        <v>96</v>
      </c>
      <c r="J375">
        <v>112</v>
      </c>
      <c r="K375"/>
      <c r="L375"/>
      <c r="M375"/>
      <c r="N375"/>
      <c r="O375"/>
      <c r="P375"/>
      <c r="Q375"/>
      <c r="R375"/>
      <c r="S375" s="61">
        <f t="shared" si="42"/>
        <v>843</v>
      </c>
    </row>
    <row r="376" spans="1:21">
      <c r="A376" s="536">
        <v>2</v>
      </c>
      <c r="B376">
        <v>73</v>
      </c>
      <c r="C376">
        <v>77</v>
      </c>
      <c r="D376">
        <v>80</v>
      </c>
      <c r="E376">
        <v>105</v>
      </c>
      <c r="F376">
        <v>117</v>
      </c>
      <c r="G376" s="47">
        <v>102</v>
      </c>
      <c r="H376">
        <v>100</v>
      </c>
      <c r="I376">
        <v>94</v>
      </c>
      <c r="J376">
        <v>109</v>
      </c>
      <c r="K376"/>
      <c r="L376"/>
      <c r="M376"/>
      <c r="N376"/>
      <c r="O376"/>
      <c r="P376"/>
      <c r="Q376"/>
      <c r="R376"/>
      <c r="S376" s="61">
        <f t="shared" si="42"/>
        <v>857</v>
      </c>
    </row>
    <row r="377" spans="1:21">
      <c r="A377" s="536">
        <v>3</v>
      </c>
      <c r="B377">
        <v>107</v>
      </c>
      <c r="C377">
        <v>84</v>
      </c>
      <c r="D377">
        <v>78</v>
      </c>
      <c r="E377">
        <v>90</v>
      </c>
      <c r="F377">
        <v>121</v>
      </c>
      <c r="G377" s="47">
        <v>91</v>
      </c>
      <c r="H377">
        <v>104</v>
      </c>
      <c r="I377">
        <v>90</v>
      </c>
      <c r="J377">
        <v>114</v>
      </c>
      <c r="K377"/>
      <c r="L377"/>
      <c r="M377"/>
      <c r="N377"/>
      <c r="O377"/>
      <c r="P377"/>
      <c r="Q377"/>
      <c r="R377"/>
      <c r="S377" s="61">
        <f t="shared" si="42"/>
        <v>879</v>
      </c>
    </row>
    <row r="378" spans="1:21">
      <c r="A378" s="536" t="s">
        <v>377</v>
      </c>
      <c r="B378">
        <v>86</v>
      </c>
      <c r="C378">
        <v>98</v>
      </c>
      <c r="D378">
        <v>90</v>
      </c>
      <c r="E378">
        <v>110</v>
      </c>
      <c r="F378">
        <v>121</v>
      </c>
      <c r="G378" s="47">
        <v>125</v>
      </c>
      <c r="H378">
        <v>105</v>
      </c>
      <c r="I378">
        <v>104</v>
      </c>
      <c r="J378">
        <v>110</v>
      </c>
      <c r="K378"/>
      <c r="L378"/>
      <c r="M378"/>
      <c r="N378"/>
      <c r="O378"/>
      <c r="P378"/>
      <c r="Q378"/>
      <c r="R378"/>
      <c r="S378" s="61">
        <f t="shared" si="42"/>
        <v>949</v>
      </c>
    </row>
    <row r="379" spans="1:21">
      <c r="A379" s="536" t="s">
        <v>378</v>
      </c>
      <c r="B379">
        <v>118</v>
      </c>
      <c r="C379">
        <v>86</v>
      </c>
      <c r="D379">
        <v>97</v>
      </c>
      <c r="E379">
        <v>89</v>
      </c>
      <c r="F379">
        <v>138</v>
      </c>
      <c r="G379" s="47">
        <v>118</v>
      </c>
      <c r="H379">
        <v>105</v>
      </c>
      <c r="I379">
        <v>91</v>
      </c>
      <c r="J379">
        <v>121</v>
      </c>
      <c r="K379"/>
      <c r="L379"/>
      <c r="M379"/>
      <c r="N379"/>
      <c r="O379"/>
      <c r="P379"/>
      <c r="Q379"/>
      <c r="R379"/>
      <c r="S379" s="61">
        <f t="shared" si="42"/>
        <v>963</v>
      </c>
    </row>
    <row r="380" spans="1:21">
      <c r="A380" s="536" t="s">
        <v>379</v>
      </c>
      <c r="B380"/>
      <c r="C380"/>
      <c r="D380"/>
      <c r="E380"/>
      <c r="F380"/>
      <c r="G380"/>
      <c r="H380"/>
      <c r="I380"/>
      <c r="J380"/>
      <c r="K380">
        <v>222</v>
      </c>
      <c r="L380">
        <v>243</v>
      </c>
      <c r="M380">
        <v>251</v>
      </c>
      <c r="N380">
        <f>228-1</f>
        <v>227</v>
      </c>
      <c r="O380"/>
      <c r="P380"/>
      <c r="Q380"/>
      <c r="R380"/>
      <c r="S380" s="61">
        <f t="shared" si="42"/>
        <v>943</v>
      </c>
    </row>
    <row r="381" spans="1:21">
      <c r="A381" s="536" t="s">
        <v>380</v>
      </c>
      <c r="B381"/>
      <c r="C381"/>
      <c r="D381"/>
      <c r="E381"/>
      <c r="F381"/>
      <c r="G381"/>
      <c r="H381"/>
      <c r="I381"/>
      <c r="J381"/>
      <c r="K381">
        <v>233</v>
      </c>
      <c r="L381">
        <v>221</v>
      </c>
      <c r="M381">
        <v>275</v>
      </c>
      <c r="N381">
        <v>226</v>
      </c>
      <c r="O381"/>
      <c r="P381"/>
      <c r="Q381"/>
      <c r="R381">
        <v>1</v>
      </c>
      <c r="S381" s="61">
        <f t="shared" si="42"/>
        <v>956</v>
      </c>
    </row>
    <row r="382" spans="1:21">
      <c r="A382" s="536" t="s">
        <v>381</v>
      </c>
      <c r="B382"/>
      <c r="C382"/>
      <c r="D382"/>
      <c r="E382"/>
      <c r="F382"/>
      <c r="G382"/>
      <c r="H382"/>
      <c r="I382"/>
      <c r="J382"/>
      <c r="K382">
        <v>204</v>
      </c>
      <c r="L382">
        <v>273</v>
      </c>
      <c r="M382">
        <v>299</v>
      </c>
      <c r="N382">
        <v>236</v>
      </c>
      <c r="O382"/>
      <c r="P382"/>
      <c r="Q382"/>
      <c r="R382">
        <v>2</v>
      </c>
      <c r="S382" s="61">
        <f t="shared" si="42"/>
        <v>1014</v>
      </c>
    </row>
    <row r="383" spans="1:21">
      <c r="A383" s="536" t="s">
        <v>382</v>
      </c>
      <c r="B383"/>
      <c r="C383"/>
      <c r="D383"/>
      <c r="E383"/>
      <c r="F383"/>
      <c r="G383"/>
      <c r="H383"/>
      <c r="I383"/>
      <c r="J383"/>
      <c r="K383"/>
      <c r="L383"/>
      <c r="M383"/>
      <c r="N383"/>
      <c r="O383">
        <v>260</v>
      </c>
      <c r="P383">
        <v>374</v>
      </c>
      <c r="Q383">
        <v>304</v>
      </c>
      <c r="R383">
        <v>7</v>
      </c>
      <c r="S383" s="61">
        <f t="shared" si="42"/>
        <v>945</v>
      </c>
    </row>
    <row r="384" spans="1:21">
      <c r="A384" s="536" t="s">
        <v>383</v>
      </c>
      <c r="B384"/>
      <c r="C384"/>
      <c r="D384"/>
      <c r="E384"/>
      <c r="F384"/>
      <c r="G384"/>
      <c r="H384"/>
      <c r="I384"/>
      <c r="J384"/>
      <c r="K384"/>
      <c r="L384"/>
      <c r="M384"/>
      <c r="N384"/>
      <c r="O384">
        <v>205</v>
      </c>
      <c r="P384">
        <v>356</v>
      </c>
      <c r="Q384">
        <v>302</v>
      </c>
      <c r="R384">
        <v>11</v>
      </c>
      <c r="S384" s="61">
        <f t="shared" si="42"/>
        <v>874</v>
      </c>
    </row>
    <row r="385" spans="1:31">
      <c r="A385" s="536" t="s">
        <v>384</v>
      </c>
      <c r="B385"/>
      <c r="C385"/>
      <c r="D385"/>
      <c r="E385"/>
      <c r="F385"/>
      <c r="G385"/>
      <c r="H385"/>
      <c r="I385"/>
      <c r="J385"/>
      <c r="K385"/>
      <c r="L385"/>
      <c r="M385"/>
      <c r="N385"/>
      <c r="O385">
        <v>257</v>
      </c>
      <c r="P385">
        <v>347</v>
      </c>
      <c r="Q385">
        <v>265</v>
      </c>
      <c r="R385">
        <v>22</v>
      </c>
      <c r="S385" s="61">
        <f t="shared" si="42"/>
        <v>891</v>
      </c>
    </row>
    <row r="386" spans="1:31">
      <c r="A386" s="536" t="s">
        <v>385</v>
      </c>
      <c r="B386"/>
      <c r="C386"/>
      <c r="D386"/>
      <c r="E386"/>
      <c r="F386"/>
      <c r="G386"/>
      <c r="H386"/>
      <c r="I386"/>
      <c r="J386"/>
      <c r="K386"/>
      <c r="L386"/>
      <c r="M386"/>
      <c r="N386"/>
      <c r="O386">
        <v>188</v>
      </c>
      <c r="P386">
        <v>349</v>
      </c>
      <c r="Q386">
        <v>257</v>
      </c>
      <c r="R386">
        <v>24</v>
      </c>
      <c r="S386" s="61">
        <f t="shared" si="42"/>
        <v>818</v>
      </c>
    </row>
    <row r="387" spans="1:31">
      <c r="A387" s="537" t="s">
        <v>386</v>
      </c>
      <c r="B387" s="163">
        <v>0</v>
      </c>
      <c r="C387" s="61">
        <v>0</v>
      </c>
      <c r="D387" s="61">
        <v>0</v>
      </c>
      <c r="E387" s="61">
        <v>0</v>
      </c>
      <c r="F387" s="61">
        <v>0</v>
      </c>
      <c r="G387" s="61">
        <v>0</v>
      </c>
      <c r="H387" s="61">
        <v>0</v>
      </c>
      <c r="I387" s="61">
        <v>0</v>
      </c>
      <c r="J387" s="61">
        <v>0</v>
      </c>
      <c r="K387" s="61">
        <v>0</v>
      </c>
      <c r="L387" s="61">
        <v>0</v>
      </c>
      <c r="M387" s="61">
        <v>0</v>
      </c>
      <c r="N387" s="61">
        <v>0</v>
      </c>
      <c r="O387">
        <v>1</v>
      </c>
      <c r="P387">
        <v>7</v>
      </c>
      <c r="Q387">
        <v>3</v>
      </c>
      <c r="R387" s="61">
        <v>0</v>
      </c>
      <c r="S387" s="61">
        <f t="shared" si="42"/>
        <v>11</v>
      </c>
    </row>
    <row r="388" spans="1:31">
      <c r="A388" s="85"/>
      <c r="B388" s="86"/>
      <c r="C388" s="87"/>
      <c r="D388" s="87"/>
      <c r="E388" s="87"/>
      <c r="F388" s="87"/>
      <c r="G388" s="87"/>
      <c r="H388" s="87"/>
      <c r="I388" s="87"/>
      <c r="J388" s="87"/>
      <c r="K388" s="87"/>
      <c r="L388" s="87"/>
      <c r="M388" s="87"/>
      <c r="N388" s="87"/>
      <c r="O388" s="87"/>
      <c r="P388" s="87"/>
      <c r="Q388" s="87"/>
      <c r="R388" s="87"/>
      <c r="S388" s="88"/>
    </row>
    <row r="389" spans="1:31">
      <c r="A389" s="90" t="s">
        <v>51</v>
      </c>
      <c r="B389" s="260">
        <f t="shared" ref="B389:S389" si="43">SUM(B374:B387)</f>
        <v>535</v>
      </c>
      <c r="C389" s="260">
        <f t="shared" si="43"/>
        <v>501</v>
      </c>
      <c r="D389" s="260">
        <f t="shared" si="43"/>
        <v>510</v>
      </c>
      <c r="E389" s="260">
        <f t="shared" si="43"/>
        <v>585</v>
      </c>
      <c r="F389" s="260">
        <f t="shared" si="43"/>
        <v>688</v>
      </c>
      <c r="G389" s="260">
        <f t="shared" si="43"/>
        <v>619</v>
      </c>
      <c r="H389" s="260">
        <f t="shared" si="43"/>
        <v>605</v>
      </c>
      <c r="I389" s="260">
        <f t="shared" si="43"/>
        <v>563</v>
      </c>
      <c r="J389" s="260">
        <f t="shared" si="43"/>
        <v>679</v>
      </c>
      <c r="K389" s="260">
        <f t="shared" si="43"/>
        <v>659</v>
      </c>
      <c r="L389" s="91">
        <f t="shared" si="43"/>
        <v>737</v>
      </c>
      <c r="M389" s="91">
        <f t="shared" si="43"/>
        <v>825</v>
      </c>
      <c r="N389" s="91">
        <f t="shared" si="43"/>
        <v>689</v>
      </c>
      <c r="O389" s="91">
        <f t="shared" si="43"/>
        <v>911</v>
      </c>
      <c r="P389" s="91">
        <f t="shared" si="43"/>
        <v>1433</v>
      </c>
      <c r="Q389" s="91">
        <f t="shared" si="43"/>
        <v>1131</v>
      </c>
      <c r="R389" s="91">
        <f t="shared" si="43"/>
        <v>67</v>
      </c>
      <c r="S389" s="92">
        <f t="shared" si="43"/>
        <v>11737</v>
      </c>
    </row>
    <row r="390" spans="1:31" ht="17.399999999999999">
      <c r="A390" s="130" t="s">
        <v>393</v>
      </c>
      <c r="B390" s="131"/>
      <c r="C390" s="131"/>
      <c r="D390" s="131"/>
      <c r="E390" s="130"/>
      <c r="F390" s="131"/>
      <c r="G390" s="131"/>
      <c r="H390" s="131"/>
      <c r="I390" s="131"/>
      <c r="J390" s="131"/>
      <c r="K390" s="131"/>
      <c r="L390" s="131"/>
      <c r="M390" s="131"/>
      <c r="N390" s="131"/>
      <c r="O390" s="131"/>
      <c r="P390" s="131"/>
      <c r="Q390" s="131"/>
      <c r="R390" s="131"/>
      <c r="S390" s="131"/>
      <c r="T390" s="131"/>
      <c r="U390" s="131"/>
      <c r="V390" s="131"/>
      <c r="W390" s="131"/>
      <c r="X390" s="131"/>
      <c r="Y390" s="131"/>
    </row>
    <row r="391" spans="1:31" ht="17.399999999999999">
      <c r="A391" s="130" t="s">
        <v>65</v>
      </c>
      <c r="B391" s="131"/>
      <c r="C391" s="131"/>
      <c r="D391" s="131"/>
      <c r="E391" s="131"/>
      <c r="F391" s="131"/>
      <c r="G391" s="131"/>
      <c r="H391" s="131"/>
      <c r="I391" s="130"/>
      <c r="J391" s="131"/>
      <c r="K391" s="131"/>
      <c r="L391" s="131"/>
      <c r="M391" s="131"/>
      <c r="N391" s="131"/>
      <c r="O391" s="131"/>
      <c r="P391" s="131"/>
      <c r="Q391" s="131"/>
      <c r="R391" s="131"/>
      <c r="S391" s="131"/>
      <c r="T391" s="131"/>
      <c r="U391" s="131"/>
      <c r="V391" s="131"/>
      <c r="W391" s="131"/>
      <c r="X391" s="131"/>
      <c r="Y391" s="131"/>
    </row>
    <row r="392" spans="1:31" ht="13.8" thickBot="1"/>
    <row r="393" spans="1:31">
      <c r="A393" s="353" t="s">
        <v>66</v>
      </c>
      <c r="B393" s="358" t="s">
        <v>67</v>
      </c>
      <c r="C393" s="359"/>
      <c r="D393" s="360"/>
      <c r="E393" s="358" t="s">
        <v>68</v>
      </c>
      <c r="F393" s="359"/>
      <c r="G393" s="360"/>
      <c r="H393" s="358" t="s">
        <v>272</v>
      </c>
      <c r="I393" s="359"/>
      <c r="J393" s="360"/>
      <c r="K393" s="358" t="s">
        <v>69</v>
      </c>
      <c r="L393" s="359"/>
      <c r="M393" s="360"/>
      <c r="N393" s="787" t="s">
        <v>273</v>
      </c>
      <c r="O393" s="788"/>
      <c r="P393" s="789"/>
      <c r="Q393" s="787" t="s">
        <v>371</v>
      </c>
      <c r="R393" s="788"/>
      <c r="S393" s="789"/>
      <c r="T393" s="787" t="s">
        <v>372</v>
      </c>
      <c r="U393" s="788"/>
      <c r="V393" s="789"/>
      <c r="W393" s="787" t="s">
        <v>70</v>
      </c>
      <c r="X393" s="788"/>
      <c r="Y393" s="789"/>
      <c r="Z393" s="787" t="s">
        <v>407</v>
      </c>
      <c r="AA393" s="788"/>
      <c r="AB393" s="788"/>
      <c r="AC393" s="380" t="s">
        <v>52</v>
      </c>
      <c r="AD393" s="381"/>
      <c r="AE393" s="382"/>
    </row>
    <row r="394" spans="1:31" ht="13.8" thickBot="1">
      <c r="A394" s="366"/>
      <c r="B394" s="367" t="s">
        <v>391</v>
      </c>
      <c r="C394" s="368" t="s">
        <v>397</v>
      </c>
      <c r="D394" s="369" t="s">
        <v>79</v>
      </c>
      <c r="E394" s="367" t="s">
        <v>391</v>
      </c>
      <c r="F394" s="368" t="s">
        <v>397</v>
      </c>
      <c r="G394" s="370" t="s">
        <v>71</v>
      </c>
      <c r="H394" s="367" t="s">
        <v>391</v>
      </c>
      <c r="I394" s="368" t="s">
        <v>397</v>
      </c>
      <c r="J394" s="370" t="s">
        <v>71</v>
      </c>
      <c r="K394" s="367" t="s">
        <v>391</v>
      </c>
      <c r="L394" s="368" t="s">
        <v>397</v>
      </c>
      <c r="M394" s="370" t="s">
        <v>71</v>
      </c>
      <c r="N394" s="367" t="s">
        <v>391</v>
      </c>
      <c r="O394" s="368" t="s">
        <v>397</v>
      </c>
      <c r="P394" s="371" t="s">
        <v>71</v>
      </c>
      <c r="Q394" s="367" t="s">
        <v>391</v>
      </c>
      <c r="R394" s="368" t="s">
        <v>397</v>
      </c>
      <c r="S394" s="371" t="s">
        <v>71</v>
      </c>
      <c r="T394" s="367" t="s">
        <v>391</v>
      </c>
      <c r="U394" s="368" t="s">
        <v>397</v>
      </c>
      <c r="V394" s="370" t="s">
        <v>71</v>
      </c>
      <c r="W394" s="367" t="s">
        <v>391</v>
      </c>
      <c r="X394" s="368" t="s">
        <v>397</v>
      </c>
      <c r="Y394" s="371" t="s">
        <v>71</v>
      </c>
      <c r="Z394" s="367" t="s">
        <v>391</v>
      </c>
      <c r="AA394" s="368" t="s">
        <v>397</v>
      </c>
      <c r="AB394" s="379" t="s">
        <v>71</v>
      </c>
      <c r="AC394" s="383" t="s">
        <v>391</v>
      </c>
      <c r="AD394" s="368" t="s">
        <v>397</v>
      </c>
      <c r="AE394" s="384" t="s">
        <v>71</v>
      </c>
    </row>
    <row r="395" spans="1:31" ht="13.8" thickTop="1">
      <c r="A395" s="222"/>
      <c r="B395" s="194"/>
      <c r="C395" s="29"/>
      <c r="D395" s="226"/>
      <c r="E395" s="194"/>
      <c r="F395" s="29"/>
      <c r="G395" s="226"/>
      <c r="H395" s="194"/>
      <c r="I395" s="29"/>
      <c r="J395" s="226"/>
      <c r="K395" s="194"/>
      <c r="L395" s="29"/>
      <c r="M395" s="226"/>
      <c r="N395" s="194"/>
      <c r="O395" s="29"/>
      <c r="P395" s="226"/>
      <c r="Q395" s="194"/>
      <c r="R395" s="29"/>
      <c r="S395" s="226"/>
      <c r="T395" s="194"/>
      <c r="U395" s="29"/>
      <c r="V395" s="226"/>
      <c r="W395" s="194"/>
      <c r="X395" s="29"/>
      <c r="Y395" s="226"/>
      <c r="Z395" s="194"/>
      <c r="AA395" s="29"/>
      <c r="AB395" s="29"/>
      <c r="AC395" s="174"/>
      <c r="AD395" s="29"/>
      <c r="AE395" s="175"/>
    </row>
    <row r="396" spans="1:31">
      <c r="A396" s="354" t="str">
        <f>$N$347</f>
        <v>2011-12</v>
      </c>
      <c r="B396" s="194">
        <f>B352</f>
        <v>69</v>
      </c>
      <c r="C396" s="29"/>
      <c r="D396" s="226"/>
      <c r="E396" s="194">
        <f>$C$352</f>
        <v>66</v>
      </c>
      <c r="F396" s="29"/>
      <c r="G396" s="135"/>
      <c r="H396" s="194">
        <f>$D$352</f>
        <v>73</v>
      </c>
      <c r="I396" s="29"/>
      <c r="J396" s="135"/>
      <c r="K396" s="194">
        <f>$E$352</f>
        <v>96</v>
      </c>
      <c r="L396" s="29"/>
      <c r="M396" s="135"/>
      <c r="N396" s="194">
        <f>$F$352</f>
        <v>92</v>
      </c>
      <c r="O396" s="29"/>
      <c r="P396" s="135"/>
      <c r="Q396" s="194">
        <f>$G$352</f>
        <v>97</v>
      </c>
      <c r="R396" s="29"/>
      <c r="S396" s="135"/>
      <c r="T396" s="194">
        <f>$H$352</f>
        <v>103</v>
      </c>
      <c r="U396" s="29"/>
      <c r="V396" s="135"/>
      <c r="W396" s="194">
        <f>$I$352</f>
        <v>88</v>
      </c>
      <c r="X396" s="29"/>
      <c r="Y396" s="135"/>
      <c r="Z396" s="194">
        <f>$J$352</f>
        <v>115</v>
      </c>
      <c r="AA396" s="29"/>
      <c r="AB396" s="134"/>
      <c r="AC396" s="385">
        <f>Z396+W396+T396+Q396+N396+K396+H396+E396+B396</f>
        <v>799</v>
      </c>
      <c r="AD396" s="29"/>
      <c r="AE396" s="386"/>
    </row>
    <row r="397" spans="1:31">
      <c r="A397" s="354" t="str">
        <f>$N$325</f>
        <v>2012-13</v>
      </c>
      <c r="B397" s="194">
        <f>B330</f>
        <v>64</v>
      </c>
      <c r="C397" s="29">
        <f>B353</f>
        <v>80</v>
      </c>
      <c r="D397" s="135">
        <f>C397/B396</f>
        <v>1.1594202898550725</v>
      </c>
      <c r="E397" s="194">
        <f>C330</f>
        <v>61</v>
      </c>
      <c r="F397" s="29">
        <f>C331</f>
        <v>89</v>
      </c>
      <c r="G397" s="135">
        <f t="shared" ref="G397:G410" si="44">F397/E396</f>
        <v>1.3484848484848484</v>
      </c>
      <c r="H397" s="194">
        <f>D330</f>
        <v>67</v>
      </c>
      <c r="I397" s="29">
        <f>D331</f>
        <v>91</v>
      </c>
      <c r="J397" s="135">
        <f t="shared" ref="J397:J409" si="45">I397/H396</f>
        <v>1.2465753424657535</v>
      </c>
      <c r="K397" s="194">
        <f>E330</f>
        <v>88</v>
      </c>
      <c r="L397" s="29">
        <f>E331</f>
        <v>94</v>
      </c>
      <c r="M397" s="135">
        <f t="shared" ref="M397:M409" si="46">L397/K396</f>
        <v>0.97916666666666663</v>
      </c>
      <c r="N397" s="194">
        <f>F330</f>
        <v>85</v>
      </c>
      <c r="O397" s="29">
        <f>F331</f>
        <v>98</v>
      </c>
      <c r="P397" s="135">
        <f t="shared" ref="P397:P409" si="47">O397/N396</f>
        <v>1.0652173913043479</v>
      </c>
      <c r="Q397" s="194">
        <f>G330</f>
        <v>89</v>
      </c>
      <c r="R397" s="29">
        <f>G331</f>
        <v>85</v>
      </c>
      <c r="S397" s="135">
        <f t="shared" ref="S397:S409" si="48">R397/Q396</f>
        <v>0.87628865979381443</v>
      </c>
      <c r="T397" s="194">
        <f>H330</f>
        <v>95</v>
      </c>
      <c r="U397" s="29">
        <f>H331</f>
        <v>87</v>
      </c>
      <c r="V397" s="135">
        <f t="shared" ref="V397:V409" si="49">U397/T396</f>
        <v>0.84466019417475724</v>
      </c>
      <c r="W397" s="194">
        <f>I330</f>
        <v>81</v>
      </c>
      <c r="X397" s="29">
        <f>I331</f>
        <v>94</v>
      </c>
      <c r="Y397" s="135">
        <f t="shared" ref="Y397:Y410" si="50">X397/W396</f>
        <v>1.0681818181818181</v>
      </c>
      <c r="Z397" s="194">
        <f>J330</f>
        <v>107</v>
      </c>
      <c r="AA397" s="29">
        <f>J331</f>
        <v>108</v>
      </c>
      <c r="AB397" s="134">
        <f t="shared" ref="AB397:AB410" si="51">AA397/Z396</f>
        <v>0.93913043478260871</v>
      </c>
      <c r="AC397" s="385">
        <f t="shared" ref="AC397:AC410" si="52">Z397+W397+T397+Q397+N397+K397+H397+E397+B397</f>
        <v>737</v>
      </c>
      <c r="AD397" s="329">
        <f>AA397+X397+U397+R397+O397+L397+I397+F397+C397</f>
        <v>826</v>
      </c>
      <c r="AE397" s="386">
        <f t="shared" ref="AE397:AE409" si="53">AD397/AC396</f>
        <v>1.0337922403003754</v>
      </c>
    </row>
    <row r="398" spans="1:31">
      <c r="A398" s="354" t="str">
        <f>$N$303</f>
        <v>2013-14</v>
      </c>
      <c r="B398" s="194">
        <f>$B$308</f>
        <v>73</v>
      </c>
      <c r="C398" s="29">
        <f>B331</f>
        <v>80</v>
      </c>
      <c r="D398" s="135">
        <f t="shared" ref="D398:D410" si="54">C398/B397</f>
        <v>1.25</v>
      </c>
      <c r="E398" s="194">
        <f>C308</f>
        <v>70</v>
      </c>
      <c r="F398" s="29">
        <f>C309</f>
        <v>85</v>
      </c>
      <c r="G398" s="135">
        <f t="shared" si="44"/>
        <v>1.3934426229508197</v>
      </c>
      <c r="H398" s="194">
        <f>D308</f>
        <v>77</v>
      </c>
      <c r="I398" s="29">
        <f>D309</f>
        <v>87</v>
      </c>
      <c r="J398" s="135">
        <f t="shared" si="45"/>
        <v>1.2985074626865671</v>
      </c>
      <c r="K398" s="194">
        <f>E308</f>
        <v>100</v>
      </c>
      <c r="L398" s="29">
        <f>E309</f>
        <v>90</v>
      </c>
      <c r="M398" s="135">
        <f t="shared" si="46"/>
        <v>1.0227272727272727</v>
      </c>
      <c r="N398" s="194">
        <f>F308</f>
        <v>96</v>
      </c>
      <c r="O398" s="29">
        <f>F309</f>
        <v>94</v>
      </c>
      <c r="P398" s="135">
        <f t="shared" si="47"/>
        <v>1.1058823529411765</v>
      </c>
      <c r="Q398" s="194">
        <f>G308</f>
        <v>101</v>
      </c>
      <c r="R398" s="29">
        <f>G309</f>
        <v>82</v>
      </c>
      <c r="S398" s="135">
        <f t="shared" si="48"/>
        <v>0.9213483146067416</v>
      </c>
      <c r="T398" s="194">
        <f>H308</f>
        <v>108</v>
      </c>
      <c r="U398" s="29">
        <f>H309</f>
        <v>83</v>
      </c>
      <c r="V398" s="135">
        <f t="shared" si="49"/>
        <v>0.87368421052631584</v>
      </c>
      <c r="W398" s="194">
        <f>I308</f>
        <v>92</v>
      </c>
      <c r="X398" s="29">
        <f>I309</f>
        <v>90</v>
      </c>
      <c r="Y398" s="135">
        <f t="shared" si="50"/>
        <v>1.1111111111111112</v>
      </c>
      <c r="Z398" s="194">
        <f>J308</f>
        <v>121</v>
      </c>
      <c r="AA398" s="29">
        <f>J309</f>
        <v>108</v>
      </c>
      <c r="AB398" s="134">
        <f t="shared" si="51"/>
        <v>1.0093457943925233</v>
      </c>
      <c r="AC398" s="385">
        <f t="shared" si="52"/>
        <v>838</v>
      </c>
      <c r="AD398" s="329">
        <f t="shared" ref="AD398:AD410" si="55">AA398+X398+U398+R398+O398+L398+I398+F398+C398</f>
        <v>799</v>
      </c>
      <c r="AE398" s="386">
        <f t="shared" si="53"/>
        <v>1.0841248303934872</v>
      </c>
    </row>
    <row r="399" spans="1:31">
      <c r="A399" s="354" t="str">
        <f>$N$281</f>
        <v>2014-15</v>
      </c>
      <c r="B399" s="194">
        <f>B286</f>
        <v>77</v>
      </c>
      <c r="C399" s="29">
        <f>B287</f>
        <v>82</v>
      </c>
      <c r="D399" s="135">
        <f t="shared" si="54"/>
        <v>1.1232876712328768</v>
      </c>
      <c r="E399" s="194">
        <f>C286</f>
        <v>68</v>
      </c>
      <c r="F399" s="29">
        <f>C287</f>
        <v>77</v>
      </c>
      <c r="G399" s="135">
        <f t="shared" si="44"/>
        <v>1.1000000000000001</v>
      </c>
      <c r="H399" s="194">
        <f>D286</f>
        <v>75</v>
      </c>
      <c r="I399" s="29">
        <f>D287</f>
        <v>73</v>
      </c>
      <c r="J399" s="135">
        <f t="shared" si="45"/>
        <v>0.94805194805194803</v>
      </c>
      <c r="K399" s="194">
        <f>E286</f>
        <v>87</v>
      </c>
      <c r="L399" s="29">
        <f>E287</f>
        <v>98</v>
      </c>
      <c r="M399" s="135">
        <f t="shared" si="46"/>
        <v>0.98</v>
      </c>
      <c r="N399" s="194">
        <f>F286</f>
        <v>89</v>
      </c>
      <c r="O399" s="29">
        <f>F287</f>
        <v>104</v>
      </c>
      <c r="P399" s="135">
        <f t="shared" si="47"/>
        <v>1.0833333333333333</v>
      </c>
      <c r="Q399" s="194">
        <f>G286</f>
        <v>89</v>
      </c>
      <c r="R399" s="29">
        <f>G287</f>
        <v>97</v>
      </c>
      <c r="S399" s="135">
        <f t="shared" si="48"/>
        <v>0.96039603960396036</v>
      </c>
      <c r="T399" s="194">
        <f>H286</f>
        <v>78</v>
      </c>
      <c r="U399" s="29">
        <f>H287</f>
        <v>105</v>
      </c>
      <c r="V399" s="135">
        <f t="shared" si="49"/>
        <v>0.97222222222222221</v>
      </c>
      <c r="W399" s="194">
        <f>I286</f>
        <v>93</v>
      </c>
      <c r="X399" s="29">
        <f>I287</f>
        <v>90</v>
      </c>
      <c r="Y399" s="135">
        <f t="shared" si="50"/>
        <v>0.97826086956521741</v>
      </c>
      <c r="Z399" s="194">
        <f>J286</f>
        <v>87</v>
      </c>
      <c r="AA399" s="29">
        <f>J287</f>
        <v>135</v>
      </c>
      <c r="AB399" s="134">
        <f t="shared" si="51"/>
        <v>1.115702479338843</v>
      </c>
      <c r="AC399" s="385">
        <f t="shared" si="52"/>
        <v>743</v>
      </c>
      <c r="AD399" s="329">
        <f t="shared" si="55"/>
        <v>861</v>
      </c>
      <c r="AE399" s="386">
        <f t="shared" si="53"/>
        <v>1.0274463007159904</v>
      </c>
    </row>
    <row r="400" spans="1:31">
      <c r="A400" s="354" t="str">
        <f>$N$259</f>
        <v>2015-16</v>
      </c>
      <c r="B400" s="194">
        <f>B264</f>
        <v>67</v>
      </c>
      <c r="C400" s="29">
        <f>B265</f>
        <v>85</v>
      </c>
      <c r="D400" s="135">
        <f t="shared" si="54"/>
        <v>1.1038961038961039</v>
      </c>
      <c r="E400" s="194">
        <f>C264</f>
        <v>86</v>
      </c>
      <c r="F400" s="29">
        <f>C265</f>
        <v>62</v>
      </c>
      <c r="G400" s="135">
        <f t="shared" si="44"/>
        <v>0.91176470588235292</v>
      </c>
      <c r="H400" s="194">
        <f>D264</f>
        <v>72</v>
      </c>
      <c r="I400" s="29">
        <f>D265</f>
        <v>86</v>
      </c>
      <c r="J400" s="135">
        <f t="shared" si="45"/>
        <v>1.1466666666666667</v>
      </c>
      <c r="K400" s="194">
        <f>E264</f>
        <v>95</v>
      </c>
      <c r="L400" s="29">
        <f>E265</f>
        <v>87</v>
      </c>
      <c r="M400" s="135">
        <f t="shared" si="46"/>
        <v>1</v>
      </c>
      <c r="N400" s="194">
        <f>F264</f>
        <v>92</v>
      </c>
      <c r="O400" s="29">
        <f>F265</f>
        <v>100</v>
      </c>
      <c r="P400" s="135">
        <f t="shared" si="47"/>
        <v>1.1235955056179776</v>
      </c>
      <c r="Q400" s="194">
        <f>G264</f>
        <v>84</v>
      </c>
      <c r="R400" s="29">
        <f>G265</f>
        <v>95</v>
      </c>
      <c r="S400" s="135">
        <f t="shared" si="48"/>
        <v>1.0674157303370786</v>
      </c>
      <c r="T400" s="194">
        <f>H264</f>
        <v>92</v>
      </c>
      <c r="U400" s="29">
        <f>H265</f>
        <v>88</v>
      </c>
      <c r="V400" s="135">
        <f t="shared" si="49"/>
        <v>1.1282051282051282</v>
      </c>
      <c r="W400" s="194">
        <f>I264</f>
        <v>79</v>
      </c>
      <c r="X400" s="29">
        <f>I265</f>
        <v>90</v>
      </c>
      <c r="Y400" s="135">
        <f t="shared" si="50"/>
        <v>0.967741935483871</v>
      </c>
      <c r="Z400" s="194">
        <f>J264</f>
        <v>111</v>
      </c>
      <c r="AA400" s="29">
        <f>J265</f>
        <v>99</v>
      </c>
      <c r="AB400" s="134">
        <f t="shared" si="51"/>
        <v>1.1379310344827587</v>
      </c>
      <c r="AC400" s="385">
        <f t="shared" si="52"/>
        <v>778</v>
      </c>
      <c r="AD400" s="329">
        <f t="shared" si="55"/>
        <v>792</v>
      </c>
      <c r="AE400" s="386">
        <f t="shared" si="53"/>
        <v>1.0659488559892329</v>
      </c>
    </row>
    <row r="401" spans="1:31">
      <c r="A401" s="354" t="str">
        <f>$N$237</f>
        <v>2016-17</v>
      </c>
      <c r="B401" s="194">
        <f>B242</f>
        <v>75</v>
      </c>
      <c r="C401" s="29">
        <f>B243</f>
        <v>74</v>
      </c>
      <c r="D401" s="135">
        <f t="shared" si="54"/>
        <v>1.1044776119402986</v>
      </c>
      <c r="E401" s="194">
        <f>C242</f>
        <v>77</v>
      </c>
      <c r="F401" s="29">
        <f>C243</f>
        <v>87</v>
      </c>
      <c r="G401" s="135">
        <f t="shared" si="44"/>
        <v>1.0116279069767442</v>
      </c>
      <c r="H401" s="194">
        <f>D242</f>
        <v>75</v>
      </c>
      <c r="I401" s="29">
        <f>D243</f>
        <v>81</v>
      </c>
      <c r="J401" s="135">
        <f t="shared" si="45"/>
        <v>1.125</v>
      </c>
      <c r="K401" s="194">
        <f>E242</f>
        <v>107</v>
      </c>
      <c r="L401" s="29">
        <f>E243</f>
        <v>95</v>
      </c>
      <c r="M401" s="135">
        <f t="shared" si="46"/>
        <v>1</v>
      </c>
      <c r="N401" s="194">
        <f>F242</f>
        <v>108</v>
      </c>
      <c r="O401" s="29">
        <f>F243</f>
        <v>103</v>
      </c>
      <c r="P401" s="135">
        <f t="shared" si="47"/>
        <v>1.1195652173913044</v>
      </c>
      <c r="Q401" s="194">
        <f>G242</f>
        <v>87</v>
      </c>
      <c r="R401" s="29">
        <f>G243</f>
        <v>90</v>
      </c>
      <c r="S401" s="135">
        <f t="shared" si="48"/>
        <v>1.0714285714285714</v>
      </c>
      <c r="T401" s="194">
        <f>H242</f>
        <v>85</v>
      </c>
      <c r="U401" s="29">
        <f>H243</f>
        <v>102</v>
      </c>
      <c r="V401" s="135">
        <f t="shared" si="49"/>
        <v>1.1086956521739131</v>
      </c>
      <c r="W401" s="194">
        <f>I242</f>
        <v>79</v>
      </c>
      <c r="X401" s="29">
        <f>I243</f>
        <v>81</v>
      </c>
      <c r="Y401" s="135">
        <f t="shared" si="50"/>
        <v>1.0253164556962024</v>
      </c>
      <c r="Z401" s="194">
        <f>J242</f>
        <v>116</v>
      </c>
      <c r="AA401" s="29">
        <f>J243</f>
        <v>123</v>
      </c>
      <c r="AB401" s="134">
        <f t="shared" si="51"/>
        <v>1.1081081081081081</v>
      </c>
      <c r="AC401" s="385">
        <f t="shared" si="52"/>
        <v>809</v>
      </c>
      <c r="AD401" s="329">
        <f t="shared" si="55"/>
        <v>836</v>
      </c>
      <c r="AE401" s="386">
        <f t="shared" si="53"/>
        <v>1.0745501285347043</v>
      </c>
    </row>
    <row r="402" spans="1:31">
      <c r="A402" s="354" t="str">
        <f>$N$215</f>
        <v>2017-18</v>
      </c>
      <c r="B402" s="194">
        <f>B220</f>
        <v>86</v>
      </c>
      <c r="C402" s="29">
        <f>B221</f>
        <v>85</v>
      </c>
      <c r="D402" s="135">
        <f t="shared" si="54"/>
        <v>1.1333333333333333</v>
      </c>
      <c r="E402" s="194">
        <f>C220</f>
        <v>71</v>
      </c>
      <c r="F402" s="29">
        <f>C221</f>
        <v>81</v>
      </c>
      <c r="G402" s="135">
        <f t="shared" si="44"/>
        <v>1.051948051948052</v>
      </c>
      <c r="H402" s="194">
        <f>D220</f>
        <v>65</v>
      </c>
      <c r="I402" s="29">
        <f>D221</f>
        <v>80</v>
      </c>
      <c r="J402" s="135">
        <f t="shared" si="45"/>
        <v>1.0666666666666667</v>
      </c>
      <c r="K402" s="194">
        <f>E220</f>
        <v>88</v>
      </c>
      <c r="L402" s="29">
        <f>E221</f>
        <v>108</v>
      </c>
      <c r="M402" s="135">
        <f t="shared" si="46"/>
        <v>1.0093457943925233</v>
      </c>
      <c r="N402" s="194">
        <f>F220</f>
        <v>96</v>
      </c>
      <c r="O402" s="29">
        <f>F221</f>
        <v>108</v>
      </c>
      <c r="P402" s="135">
        <f t="shared" si="47"/>
        <v>1</v>
      </c>
      <c r="Q402" s="194">
        <f>G220</f>
        <v>84</v>
      </c>
      <c r="R402" s="29">
        <f>G221</f>
        <v>87</v>
      </c>
      <c r="S402" s="135">
        <f t="shared" si="48"/>
        <v>1</v>
      </c>
      <c r="T402" s="194">
        <f>H220</f>
        <v>97</v>
      </c>
      <c r="U402" s="29">
        <f>H221</f>
        <v>96</v>
      </c>
      <c r="V402" s="135">
        <f t="shared" si="49"/>
        <v>1.1294117647058823</v>
      </c>
      <c r="W402" s="194">
        <f>I220</f>
        <v>63</v>
      </c>
      <c r="X402" s="29">
        <f>I221</f>
        <v>72</v>
      </c>
      <c r="Y402" s="135">
        <f t="shared" si="50"/>
        <v>0.91139240506329111</v>
      </c>
      <c r="Z402" s="194">
        <f>J220</f>
        <v>117</v>
      </c>
      <c r="AA402" s="29">
        <f>J221</f>
        <v>114</v>
      </c>
      <c r="AB402" s="134">
        <f t="shared" si="51"/>
        <v>0.98275862068965514</v>
      </c>
      <c r="AC402" s="385">
        <f t="shared" si="52"/>
        <v>767</v>
      </c>
      <c r="AD402" s="329">
        <f t="shared" si="55"/>
        <v>831</v>
      </c>
      <c r="AE402" s="386">
        <f t="shared" si="53"/>
        <v>1.0271940667490729</v>
      </c>
    </row>
    <row r="403" spans="1:31">
      <c r="A403" s="354" t="str">
        <f>$N$193</f>
        <v>2018-19</v>
      </c>
      <c r="B403" s="194">
        <f>B198</f>
        <v>113</v>
      </c>
      <c r="C403" s="29">
        <f>B199</f>
        <v>91</v>
      </c>
      <c r="D403" s="135">
        <f t="shared" si="54"/>
        <v>1.058139534883721</v>
      </c>
      <c r="E403" s="194">
        <f>C198</f>
        <v>94</v>
      </c>
      <c r="F403" s="29">
        <f>C199</f>
        <v>72</v>
      </c>
      <c r="G403" s="135">
        <f t="shared" si="44"/>
        <v>1.0140845070422535</v>
      </c>
      <c r="H403" s="194">
        <f>D198</f>
        <v>89</v>
      </c>
      <c r="I403" s="29">
        <f>D199</f>
        <v>73</v>
      </c>
      <c r="J403" s="135">
        <f t="shared" si="45"/>
        <v>1.1230769230769231</v>
      </c>
      <c r="K403" s="194">
        <f>E198</f>
        <v>82</v>
      </c>
      <c r="L403" s="29">
        <f>E199</f>
        <v>88</v>
      </c>
      <c r="M403" s="135">
        <f t="shared" si="46"/>
        <v>1</v>
      </c>
      <c r="N403" s="194">
        <f>F198</f>
        <v>93</v>
      </c>
      <c r="O403" s="29">
        <f>F199</f>
        <v>97</v>
      </c>
      <c r="P403" s="135">
        <f t="shared" si="47"/>
        <v>1.0104166666666667</v>
      </c>
      <c r="Q403" s="194">
        <f>G198</f>
        <v>93</v>
      </c>
      <c r="R403" s="29">
        <f>G199</f>
        <v>98</v>
      </c>
      <c r="S403" s="135">
        <f t="shared" si="48"/>
        <v>1.1666666666666667</v>
      </c>
      <c r="T403" s="194">
        <f>H198</f>
        <v>89</v>
      </c>
      <c r="U403" s="29">
        <f>H199</f>
        <v>106</v>
      </c>
      <c r="V403" s="135">
        <f t="shared" si="49"/>
        <v>1.0927835051546391</v>
      </c>
      <c r="W403" s="194">
        <f>I198</f>
        <v>77</v>
      </c>
      <c r="X403" s="29">
        <f>I199</f>
        <v>59</v>
      </c>
      <c r="Y403" s="135">
        <f t="shared" si="50"/>
        <v>0.93650793650793651</v>
      </c>
      <c r="Z403" s="194">
        <f>J198</f>
        <v>127</v>
      </c>
      <c r="AA403" s="29">
        <f>J199</f>
        <v>117</v>
      </c>
      <c r="AB403" s="134">
        <f t="shared" si="51"/>
        <v>1</v>
      </c>
      <c r="AC403" s="385">
        <f t="shared" si="52"/>
        <v>857</v>
      </c>
      <c r="AD403" s="329">
        <f t="shared" si="55"/>
        <v>801</v>
      </c>
      <c r="AE403" s="386">
        <f t="shared" si="53"/>
        <v>1.044328552803129</v>
      </c>
    </row>
    <row r="404" spans="1:31">
      <c r="A404" s="354" t="str">
        <f>$N$171</f>
        <v>2019-20</v>
      </c>
      <c r="B404" s="194">
        <f>B176</f>
        <v>86</v>
      </c>
      <c r="C404" s="29">
        <f>B177</f>
        <v>131</v>
      </c>
      <c r="D404" s="135">
        <f t="shared" si="54"/>
        <v>1.1592920353982301</v>
      </c>
      <c r="E404" s="194">
        <f>C176</f>
        <v>74</v>
      </c>
      <c r="F404" s="29">
        <f>C177</f>
        <v>97</v>
      </c>
      <c r="G404" s="135">
        <f t="shared" si="44"/>
        <v>1.0319148936170213</v>
      </c>
      <c r="H404" s="194">
        <f>D176</f>
        <v>91</v>
      </c>
      <c r="I404" s="29">
        <f>D177</f>
        <v>85</v>
      </c>
      <c r="J404" s="135">
        <f t="shared" si="45"/>
        <v>0.9550561797752809</v>
      </c>
      <c r="K404" s="194">
        <f>E176</f>
        <v>84</v>
      </c>
      <c r="L404" s="29">
        <f>E177</f>
        <v>94</v>
      </c>
      <c r="M404" s="135">
        <f t="shared" si="46"/>
        <v>1.1463414634146341</v>
      </c>
      <c r="N404" s="194">
        <f>F176</f>
        <v>94</v>
      </c>
      <c r="O404" s="29">
        <f>F177</f>
        <v>94</v>
      </c>
      <c r="P404" s="135">
        <f t="shared" si="47"/>
        <v>1.010752688172043</v>
      </c>
      <c r="Q404" s="194">
        <f>G176</f>
        <v>108</v>
      </c>
      <c r="R404" s="29">
        <f>G177</f>
        <v>104</v>
      </c>
      <c r="S404" s="135">
        <f t="shared" si="48"/>
        <v>1.118279569892473</v>
      </c>
      <c r="T404" s="194">
        <f>H176</f>
        <v>106</v>
      </c>
      <c r="U404" s="29">
        <f>H177</f>
        <v>98</v>
      </c>
      <c r="V404" s="135">
        <f t="shared" si="49"/>
        <v>1.101123595505618</v>
      </c>
      <c r="W404" s="194">
        <f>I176</f>
        <v>83</v>
      </c>
      <c r="X404" s="29">
        <f>I177</f>
        <v>95</v>
      </c>
      <c r="Y404" s="135">
        <f t="shared" si="50"/>
        <v>1.2337662337662338</v>
      </c>
      <c r="Z404" s="194">
        <f>J176</f>
        <v>93</v>
      </c>
      <c r="AA404" s="29">
        <f>J177</f>
        <v>111</v>
      </c>
      <c r="AB404" s="134">
        <f t="shared" si="51"/>
        <v>0.87401574803149606</v>
      </c>
      <c r="AC404" s="385">
        <f t="shared" si="52"/>
        <v>819</v>
      </c>
      <c r="AD404" s="329">
        <f t="shared" si="55"/>
        <v>909</v>
      </c>
      <c r="AE404" s="386">
        <f t="shared" si="53"/>
        <v>1.0606767794632439</v>
      </c>
    </row>
    <row r="405" spans="1:31">
      <c r="A405" s="354" t="str">
        <f>$N$149</f>
        <v>2020-21</v>
      </c>
      <c r="B405" s="194">
        <f>B154</f>
        <v>93</v>
      </c>
      <c r="C405" s="29">
        <f>B155</f>
        <v>79</v>
      </c>
      <c r="D405" s="135">
        <f t="shared" si="54"/>
        <v>0.91860465116279066</v>
      </c>
      <c r="E405" s="194">
        <f>C154</f>
        <v>69</v>
      </c>
      <c r="F405" s="29">
        <f>C155</f>
        <v>77</v>
      </c>
      <c r="G405" s="135">
        <f t="shared" si="44"/>
        <v>1.0405405405405406</v>
      </c>
      <c r="H405" s="194">
        <f>D154</f>
        <v>87</v>
      </c>
      <c r="I405" s="29">
        <f>D155</f>
        <v>92</v>
      </c>
      <c r="J405" s="135">
        <f t="shared" si="45"/>
        <v>1.0109890109890109</v>
      </c>
      <c r="K405" s="194">
        <f>E154</f>
        <v>76</v>
      </c>
      <c r="L405" s="29">
        <f>E155</f>
        <v>84</v>
      </c>
      <c r="M405" s="135">
        <f t="shared" si="46"/>
        <v>1</v>
      </c>
      <c r="N405" s="194">
        <f>F154</f>
        <v>96</v>
      </c>
      <c r="O405" s="29">
        <f>F155</f>
        <v>95</v>
      </c>
      <c r="P405" s="135">
        <f t="shared" si="47"/>
        <v>1.0106382978723405</v>
      </c>
      <c r="Q405" s="194">
        <f>G154</f>
        <v>92</v>
      </c>
      <c r="R405" s="29">
        <f>G155</f>
        <v>106</v>
      </c>
      <c r="S405" s="135">
        <f t="shared" si="48"/>
        <v>0.98148148148148151</v>
      </c>
      <c r="T405" s="194">
        <f>H154</f>
        <v>98</v>
      </c>
      <c r="U405" s="29">
        <f>H155</f>
        <v>103</v>
      </c>
      <c r="V405" s="135">
        <f t="shared" si="49"/>
        <v>0.97169811320754718</v>
      </c>
      <c r="W405" s="194">
        <f>I154</f>
        <v>90</v>
      </c>
      <c r="X405" s="29">
        <f>I155</f>
        <v>71</v>
      </c>
      <c r="Y405" s="135">
        <f t="shared" si="50"/>
        <v>0.85542168674698793</v>
      </c>
      <c r="Z405" s="194">
        <f>J154</f>
        <v>94</v>
      </c>
      <c r="AA405" s="29">
        <f>J155</f>
        <v>99</v>
      </c>
      <c r="AB405" s="134">
        <f t="shared" si="51"/>
        <v>1.064516129032258</v>
      </c>
      <c r="AC405" s="385">
        <f t="shared" si="52"/>
        <v>795</v>
      </c>
      <c r="AD405" s="329">
        <f t="shared" si="55"/>
        <v>806</v>
      </c>
      <c r="AE405" s="386">
        <f t="shared" si="53"/>
        <v>0.98412698412698407</v>
      </c>
    </row>
    <row r="406" spans="1:31">
      <c r="A406" s="354" t="str">
        <f>$N$127</f>
        <v>2021-22</v>
      </c>
      <c r="B406" s="194">
        <f>B132</f>
        <v>114</v>
      </c>
      <c r="C406" s="29">
        <f>B133</f>
        <v>107</v>
      </c>
      <c r="D406" s="135">
        <f t="shared" si="54"/>
        <v>1.1505376344086022</v>
      </c>
      <c r="E406" s="194">
        <f>C132</f>
        <v>76</v>
      </c>
      <c r="F406" s="29">
        <f>C133</f>
        <v>76</v>
      </c>
      <c r="G406" s="135">
        <f t="shared" si="44"/>
        <v>1.1014492753623188</v>
      </c>
      <c r="H406" s="194">
        <f>D132</f>
        <v>67</v>
      </c>
      <c r="I406" s="29">
        <f>D133</f>
        <v>90</v>
      </c>
      <c r="J406" s="135">
        <f t="shared" si="45"/>
        <v>1.0344827586206897</v>
      </c>
      <c r="K406" s="194">
        <f>E132</f>
        <v>94</v>
      </c>
      <c r="L406" s="29">
        <f>E133</f>
        <v>86</v>
      </c>
      <c r="M406" s="135">
        <f t="shared" si="46"/>
        <v>1.131578947368421</v>
      </c>
      <c r="N406" s="194">
        <f>F132</f>
        <v>94</v>
      </c>
      <c r="O406" s="29">
        <f>F133</f>
        <v>114</v>
      </c>
      <c r="P406" s="135">
        <f t="shared" si="47"/>
        <v>1.1875</v>
      </c>
      <c r="Q406" s="194">
        <f>G132</f>
        <v>74</v>
      </c>
      <c r="R406" s="29">
        <f>G133</f>
        <v>104</v>
      </c>
      <c r="S406" s="135">
        <f t="shared" si="48"/>
        <v>1.1304347826086956</v>
      </c>
      <c r="T406" s="194">
        <f>H132</f>
        <v>94</v>
      </c>
      <c r="U406" s="29">
        <f>H133</f>
        <v>111</v>
      </c>
      <c r="V406" s="135">
        <f t="shared" si="49"/>
        <v>1.1326530612244898</v>
      </c>
      <c r="W406" s="194">
        <f>I132</f>
        <v>79</v>
      </c>
      <c r="X406" s="29">
        <f>I133</f>
        <v>82</v>
      </c>
      <c r="Y406" s="135">
        <f t="shared" si="50"/>
        <v>0.91111111111111109</v>
      </c>
      <c r="Z406" s="194">
        <f>J132</f>
        <v>90</v>
      </c>
      <c r="AA406" s="29">
        <f>J133</f>
        <v>105</v>
      </c>
      <c r="AB406" s="134">
        <f t="shared" si="51"/>
        <v>1.1170212765957446</v>
      </c>
      <c r="AC406" s="385">
        <f t="shared" si="52"/>
        <v>782</v>
      </c>
      <c r="AD406" s="329">
        <f t="shared" si="55"/>
        <v>875</v>
      </c>
      <c r="AE406" s="386">
        <f t="shared" si="53"/>
        <v>1.10062893081761</v>
      </c>
    </row>
    <row r="407" spans="1:31">
      <c r="A407" s="354" t="str">
        <f>$N$105</f>
        <v>2022-23</v>
      </c>
      <c r="B407" s="194">
        <f>B110</f>
        <v>86</v>
      </c>
      <c r="C407" s="29">
        <f>B111</f>
        <v>122</v>
      </c>
      <c r="D407" s="135">
        <f t="shared" si="54"/>
        <v>1.0701754385964912</v>
      </c>
      <c r="E407" s="194">
        <f>C110</f>
        <v>73</v>
      </c>
      <c r="F407" s="29">
        <f>C111</f>
        <v>81</v>
      </c>
      <c r="G407" s="135">
        <f t="shared" si="44"/>
        <v>1.0657894736842106</v>
      </c>
      <c r="H407" s="194">
        <f>D110</f>
        <v>90</v>
      </c>
      <c r="I407" s="29">
        <f>D111</f>
        <v>73</v>
      </c>
      <c r="J407" s="135">
        <f t="shared" si="45"/>
        <v>1.0895522388059702</v>
      </c>
      <c r="K407" s="194">
        <f>E110</f>
        <v>80</v>
      </c>
      <c r="L407" s="29">
        <f>E111</f>
        <v>99</v>
      </c>
      <c r="M407" s="135">
        <f t="shared" si="46"/>
        <v>1.053191489361702</v>
      </c>
      <c r="N407" s="194">
        <f>F110</f>
        <v>96</v>
      </c>
      <c r="O407" s="29">
        <f>F111</f>
        <v>97</v>
      </c>
      <c r="P407" s="135">
        <f t="shared" si="47"/>
        <v>1.0319148936170213</v>
      </c>
      <c r="Q407" s="194">
        <f>G110</f>
        <v>97</v>
      </c>
      <c r="R407" s="29">
        <f>G111</f>
        <v>81</v>
      </c>
      <c r="S407" s="135">
        <f t="shared" si="48"/>
        <v>1.0945945945945945</v>
      </c>
      <c r="T407" s="194">
        <f>H110</f>
        <v>109</v>
      </c>
      <c r="U407" s="29">
        <f>H111</f>
        <v>87</v>
      </c>
      <c r="V407" s="135">
        <f t="shared" si="49"/>
        <v>0.92553191489361697</v>
      </c>
      <c r="W407" s="194">
        <f>I110</f>
        <v>78</v>
      </c>
      <c r="X407" s="29">
        <f>I111</f>
        <v>87</v>
      </c>
      <c r="Y407" s="135">
        <f t="shared" si="50"/>
        <v>1.1012658227848102</v>
      </c>
      <c r="Z407" s="194">
        <f>J110</f>
        <v>94</v>
      </c>
      <c r="AA407" s="29">
        <f>J111</f>
        <v>93</v>
      </c>
      <c r="AB407" s="134">
        <f t="shared" si="51"/>
        <v>1.0333333333333334</v>
      </c>
      <c r="AC407" s="385">
        <f t="shared" si="52"/>
        <v>803</v>
      </c>
      <c r="AD407" s="329">
        <f t="shared" si="55"/>
        <v>820</v>
      </c>
      <c r="AE407" s="386">
        <f t="shared" si="53"/>
        <v>1.0485933503836318</v>
      </c>
    </row>
    <row r="408" spans="1:31">
      <c r="A408" s="354" t="str">
        <f>N83</f>
        <v>2023-24</v>
      </c>
      <c r="B408" s="194">
        <f>B88</f>
        <v>95</v>
      </c>
      <c r="C408" s="29">
        <f>B89</f>
        <v>90</v>
      </c>
      <c r="D408" s="135">
        <f t="shared" si="54"/>
        <v>1.0465116279069768</v>
      </c>
      <c r="E408" s="194">
        <f>C88</f>
        <v>63</v>
      </c>
      <c r="F408" s="29">
        <f>C89</f>
        <v>77</v>
      </c>
      <c r="G408" s="135">
        <f t="shared" si="44"/>
        <v>1.0547945205479452</v>
      </c>
      <c r="H408" s="194">
        <f>D88</f>
        <v>89</v>
      </c>
      <c r="I408" s="29">
        <f>D89</f>
        <v>94</v>
      </c>
      <c r="J408" s="135">
        <f t="shared" si="45"/>
        <v>1.0444444444444445</v>
      </c>
      <c r="K408" s="194">
        <f>E88</f>
        <v>99</v>
      </c>
      <c r="L408" s="29">
        <f>E89</f>
        <v>75</v>
      </c>
      <c r="M408" s="135">
        <f t="shared" si="46"/>
        <v>0.9375</v>
      </c>
      <c r="N408" s="194">
        <f>F88</f>
        <v>97</v>
      </c>
      <c r="O408" s="29">
        <f>F89</f>
        <v>102</v>
      </c>
      <c r="P408" s="135">
        <f t="shared" si="47"/>
        <v>1.0625</v>
      </c>
      <c r="Q408" s="194">
        <f>G88</f>
        <v>74</v>
      </c>
      <c r="R408" s="29">
        <f>G89</f>
        <v>101</v>
      </c>
      <c r="S408" s="135">
        <f t="shared" si="48"/>
        <v>1.0412371134020619</v>
      </c>
      <c r="T408" s="194">
        <f>H88</f>
        <v>85</v>
      </c>
      <c r="U408" s="29">
        <f>H89</f>
        <v>111</v>
      </c>
      <c r="V408" s="135">
        <f t="shared" si="49"/>
        <v>1.0183486238532109</v>
      </c>
      <c r="W408" s="194">
        <f>I88</f>
        <v>70</v>
      </c>
      <c r="X408" s="29">
        <f>I89</f>
        <v>76</v>
      </c>
      <c r="Y408" s="135">
        <f t="shared" si="50"/>
        <v>0.97435897435897434</v>
      </c>
      <c r="Z408" s="194">
        <f>J88</f>
        <v>91</v>
      </c>
      <c r="AA408" s="29">
        <f>J89</f>
        <v>101</v>
      </c>
      <c r="AB408" s="134">
        <f t="shared" si="51"/>
        <v>1.074468085106383</v>
      </c>
      <c r="AC408" s="385">
        <f t="shared" si="52"/>
        <v>763</v>
      </c>
      <c r="AD408" s="329">
        <f t="shared" si="55"/>
        <v>827</v>
      </c>
      <c r="AE408" s="386">
        <f t="shared" si="53"/>
        <v>1.0298879202988791</v>
      </c>
    </row>
    <row r="409" spans="1:31">
      <c r="A409" s="355" t="str">
        <f>N61</f>
        <v>2024-25</v>
      </c>
      <c r="B409" s="194">
        <f>B66</f>
        <v>85</v>
      </c>
      <c r="C409" s="29">
        <f>B67</f>
        <v>99</v>
      </c>
      <c r="D409" s="135">
        <f t="shared" si="54"/>
        <v>1.0421052631578946</v>
      </c>
      <c r="E409" s="194">
        <f>C66</f>
        <v>69</v>
      </c>
      <c r="F409" s="29">
        <f>C67</f>
        <v>73</v>
      </c>
      <c r="G409" s="135">
        <f t="shared" si="44"/>
        <v>1.1587301587301588</v>
      </c>
      <c r="H409" s="194">
        <f>D66</f>
        <v>85</v>
      </c>
      <c r="I409" s="29">
        <f>D67</f>
        <v>90</v>
      </c>
      <c r="J409" s="135">
        <f t="shared" si="45"/>
        <v>1.0112359550561798</v>
      </c>
      <c r="K409" s="194">
        <f>E66</f>
        <v>77</v>
      </c>
      <c r="L409" s="29">
        <f>E67</f>
        <v>94</v>
      </c>
      <c r="M409" s="135">
        <f t="shared" si="46"/>
        <v>0.9494949494949495</v>
      </c>
      <c r="N409" s="194">
        <f>F66</f>
        <v>88</v>
      </c>
      <c r="O409" s="29">
        <f>F67</f>
        <v>99</v>
      </c>
      <c r="P409" s="135">
        <f t="shared" si="47"/>
        <v>1.0206185567010309</v>
      </c>
      <c r="Q409" s="194">
        <f>G66</f>
        <v>92</v>
      </c>
      <c r="R409" s="29">
        <f>G67</f>
        <v>78</v>
      </c>
      <c r="S409" s="135">
        <f t="shared" si="48"/>
        <v>1.0540540540540539</v>
      </c>
      <c r="T409" s="194">
        <f>H66</f>
        <v>84</v>
      </c>
      <c r="U409" s="29">
        <f>H67</f>
        <v>95</v>
      </c>
      <c r="V409" s="135">
        <f t="shared" si="49"/>
        <v>1.1176470588235294</v>
      </c>
      <c r="W409" s="194">
        <f>I66</f>
        <v>76</v>
      </c>
      <c r="X409" s="29">
        <f>I67</f>
        <v>65</v>
      </c>
      <c r="Y409" s="135">
        <f t="shared" si="50"/>
        <v>0.9285714285714286</v>
      </c>
      <c r="Z409" s="194">
        <f>J66</f>
        <v>86</v>
      </c>
      <c r="AA409" s="29">
        <f>J67</f>
        <v>91</v>
      </c>
      <c r="AB409" s="134">
        <f t="shared" si="51"/>
        <v>1</v>
      </c>
      <c r="AC409" s="385">
        <f t="shared" si="52"/>
        <v>742</v>
      </c>
      <c r="AD409" s="329">
        <f t="shared" si="55"/>
        <v>784</v>
      </c>
      <c r="AE409" s="386">
        <f t="shared" si="53"/>
        <v>1.0275229357798166</v>
      </c>
    </row>
    <row r="410" spans="1:31" ht="13.8" thickBot="1">
      <c r="A410" s="372" t="str">
        <f>$K$9</f>
        <v>2025-26</v>
      </c>
      <c r="B410" s="159">
        <f>B14</f>
        <v>84</v>
      </c>
      <c r="C410" s="136">
        <f>B15</f>
        <v>84</v>
      </c>
      <c r="D410" s="195">
        <f t="shared" si="54"/>
        <v>0.9882352941176471</v>
      </c>
      <c r="E410" s="159">
        <f>C14</f>
        <v>62</v>
      </c>
      <c r="F410" s="136">
        <f>C15</f>
        <v>69</v>
      </c>
      <c r="G410" s="195">
        <f t="shared" si="44"/>
        <v>1</v>
      </c>
      <c r="H410" s="159">
        <f>D14</f>
        <v>86</v>
      </c>
      <c r="I410" s="136">
        <f>D15</f>
        <v>87</v>
      </c>
      <c r="J410" s="195">
        <f>I410/H409</f>
        <v>1.0235294117647058</v>
      </c>
      <c r="K410" s="159">
        <f>E14</f>
        <v>69</v>
      </c>
      <c r="L410" s="136">
        <f>E15</f>
        <v>75</v>
      </c>
      <c r="M410" s="195">
        <f>L410/K409</f>
        <v>0.97402597402597402</v>
      </c>
      <c r="N410" s="159">
        <f>F14</f>
        <v>89</v>
      </c>
      <c r="O410" s="136">
        <f>F15</f>
        <v>86</v>
      </c>
      <c r="P410" s="195">
        <f>O410/N409</f>
        <v>0.97727272727272729</v>
      </c>
      <c r="Q410" s="159">
        <f>G14</f>
        <v>79</v>
      </c>
      <c r="R410" s="136">
        <f>G15</f>
        <v>88</v>
      </c>
      <c r="S410" s="195">
        <f>R410/Q409</f>
        <v>0.95652173913043481</v>
      </c>
      <c r="T410" s="159">
        <f>H14</f>
        <v>79</v>
      </c>
      <c r="U410" s="136">
        <f>H15</f>
        <v>90</v>
      </c>
      <c r="V410" s="195">
        <f>U410/T409</f>
        <v>1.0714285714285714</v>
      </c>
      <c r="W410" s="159">
        <f>I14</f>
        <v>73</v>
      </c>
      <c r="X410" s="136">
        <f>I15</f>
        <v>72</v>
      </c>
      <c r="Y410" s="195">
        <f t="shared" si="50"/>
        <v>0.94736842105263153</v>
      </c>
      <c r="Z410" s="159">
        <f>J14</f>
        <v>102</v>
      </c>
      <c r="AA410" s="136">
        <f>J15</f>
        <v>84</v>
      </c>
      <c r="AB410" s="170">
        <f t="shared" si="51"/>
        <v>0.97674418604651159</v>
      </c>
      <c r="AC410" s="387">
        <f t="shared" si="52"/>
        <v>723</v>
      </c>
      <c r="AD410" s="332">
        <f t="shared" si="55"/>
        <v>735</v>
      </c>
      <c r="AE410" s="388">
        <f>AD410/AC408</f>
        <v>0.96330275229357798</v>
      </c>
    </row>
    <row r="411" spans="1:31" ht="13.8" thickTop="1">
      <c r="A411" s="222"/>
      <c r="B411" s="194"/>
      <c r="C411" s="29"/>
      <c r="D411" s="226"/>
      <c r="E411" s="194"/>
      <c r="F411" s="29"/>
      <c r="G411" s="226"/>
      <c r="H411" s="194"/>
      <c r="I411" s="29"/>
      <c r="J411" s="226"/>
      <c r="K411" s="194"/>
      <c r="L411" s="29"/>
      <c r="M411" s="226"/>
      <c r="N411" s="194"/>
      <c r="O411" s="29"/>
      <c r="P411" s="226"/>
      <c r="Q411" s="333"/>
      <c r="R411" s="329"/>
      <c r="S411" s="226"/>
      <c r="T411" s="194"/>
      <c r="U411" s="29"/>
      <c r="V411" s="226"/>
      <c r="W411" s="194"/>
      <c r="X411" s="29"/>
      <c r="Y411" s="226"/>
      <c r="Z411" s="333"/>
      <c r="AA411" s="329"/>
      <c r="AB411" s="29"/>
      <c r="AC411" s="174"/>
      <c r="AD411" s="29"/>
      <c r="AE411" s="175"/>
    </row>
    <row r="412" spans="1:31">
      <c r="A412" s="357" t="s">
        <v>72</v>
      </c>
      <c r="B412" s="362">
        <f>SUM(B407:B409)</f>
        <v>266</v>
      </c>
      <c r="C412" s="114">
        <f>SUM(C408:C410)</f>
        <v>273</v>
      </c>
      <c r="D412" s="135">
        <f>C412/B412</f>
        <v>1.0263157894736843</v>
      </c>
      <c r="E412" s="362">
        <f>SUM(E407:E409)</f>
        <v>205</v>
      </c>
      <c r="F412" s="114">
        <f>SUM(F408:F410)</f>
        <v>219</v>
      </c>
      <c r="G412" s="135">
        <f>F412/E412</f>
        <v>1.0682926829268293</v>
      </c>
      <c r="H412" s="362">
        <f>SUM(H407:H409)</f>
        <v>264</v>
      </c>
      <c r="I412" s="114">
        <f>SUM(I408:I410)</f>
        <v>271</v>
      </c>
      <c r="J412" s="135">
        <f>I412/H412</f>
        <v>1.0265151515151516</v>
      </c>
      <c r="K412" s="362">
        <f>SUM(K407:K409)</f>
        <v>256</v>
      </c>
      <c r="L412" s="114">
        <f>SUM(L408:L410)</f>
        <v>244</v>
      </c>
      <c r="M412" s="135">
        <f>L412/K412</f>
        <v>0.953125</v>
      </c>
      <c r="N412" s="362">
        <f>SUM(N407:N409)</f>
        <v>281</v>
      </c>
      <c r="O412" s="114">
        <f>SUM(O408:O410)</f>
        <v>287</v>
      </c>
      <c r="P412" s="135">
        <f>O412/N412</f>
        <v>1.0213523131672597</v>
      </c>
      <c r="Q412" s="362">
        <f>SUM(Q407:Q409)</f>
        <v>263</v>
      </c>
      <c r="R412" s="114">
        <f>SUM(R408:R410)</f>
        <v>267</v>
      </c>
      <c r="S412" s="135">
        <f>R412/Q412</f>
        <v>1.0152091254752851</v>
      </c>
      <c r="T412" s="362">
        <f>SUM(T407:T409)</f>
        <v>278</v>
      </c>
      <c r="U412" s="114">
        <f>SUM(U408:U410)</f>
        <v>296</v>
      </c>
      <c r="V412" s="135">
        <f>U412/T412</f>
        <v>1.064748201438849</v>
      </c>
      <c r="W412" s="362">
        <f>SUM(W407:W409)</f>
        <v>224</v>
      </c>
      <c r="X412" s="114">
        <f>SUM(X408:X410)</f>
        <v>213</v>
      </c>
      <c r="Y412" s="135">
        <f>X412/W412</f>
        <v>0.9508928571428571</v>
      </c>
      <c r="Z412" s="362">
        <f>SUM(Z407:Z409)</f>
        <v>271</v>
      </c>
      <c r="AA412" s="114">
        <f>SUM(AA408:AA410)</f>
        <v>276</v>
      </c>
      <c r="AB412" s="134">
        <f>AA412/Z412</f>
        <v>1.018450184501845</v>
      </c>
      <c r="AC412" s="385">
        <f>SUM(AC407:AC409)</f>
        <v>2308</v>
      </c>
      <c r="AD412" s="329">
        <f>SUM(AD408:AD410)</f>
        <v>2346</v>
      </c>
      <c r="AE412" s="386">
        <f>AD412/AC412</f>
        <v>1.0164644714038129</v>
      </c>
    </row>
    <row r="413" spans="1:31">
      <c r="A413" s="357" t="s">
        <v>73</v>
      </c>
      <c r="B413" s="362">
        <f>SUM(B405:B409)</f>
        <v>473</v>
      </c>
      <c r="C413" s="114">
        <f>SUM(C406:C410)</f>
        <v>502</v>
      </c>
      <c r="D413" s="135">
        <f>C413/B413</f>
        <v>1.0613107822410148</v>
      </c>
      <c r="E413" s="362">
        <f>SUM(E405:E409)</f>
        <v>350</v>
      </c>
      <c r="F413" s="114">
        <f>SUM(F406:F410)</f>
        <v>376</v>
      </c>
      <c r="G413" s="135">
        <f>F413/E413</f>
        <v>1.0742857142857143</v>
      </c>
      <c r="H413" s="362">
        <f>SUM(H405:H409)</f>
        <v>418</v>
      </c>
      <c r="I413" s="114">
        <f>SUM(I406:I410)</f>
        <v>434</v>
      </c>
      <c r="J413" s="135">
        <f>I413/H413</f>
        <v>1.0382775119617225</v>
      </c>
      <c r="K413" s="362">
        <f>SUM(K405:K409)</f>
        <v>426</v>
      </c>
      <c r="L413" s="114">
        <f>SUM(L406:L410)</f>
        <v>429</v>
      </c>
      <c r="M413" s="135">
        <f>L413/K413</f>
        <v>1.0070422535211268</v>
      </c>
      <c r="N413" s="362">
        <f>SUM(N405:N409)</f>
        <v>471</v>
      </c>
      <c r="O413" s="114">
        <f>SUM(O406:O410)</f>
        <v>498</v>
      </c>
      <c r="P413" s="135">
        <f>O413/N413</f>
        <v>1.0573248407643312</v>
      </c>
      <c r="Q413" s="362">
        <f>SUM(Q405:Q409)</f>
        <v>429</v>
      </c>
      <c r="R413" s="114">
        <f>SUM(R406:R410)</f>
        <v>452</v>
      </c>
      <c r="S413" s="135">
        <f>R413/Q413</f>
        <v>1.0536130536130537</v>
      </c>
      <c r="T413" s="362">
        <f>SUM(T405:T409)</f>
        <v>470</v>
      </c>
      <c r="U413" s="114">
        <f>SUM(U406:U410)</f>
        <v>494</v>
      </c>
      <c r="V413" s="135">
        <f>U413/T413</f>
        <v>1.0510638297872341</v>
      </c>
      <c r="W413" s="362">
        <f>SUM(W405:W409)</f>
        <v>393</v>
      </c>
      <c r="X413" s="114">
        <f>SUM(X406:X410)</f>
        <v>382</v>
      </c>
      <c r="Y413" s="135">
        <f>X413/W413</f>
        <v>0.97201017811704837</v>
      </c>
      <c r="Z413" s="362">
        <f>SUM(Z405:Z409)</f>
        <v>455</v>
      </c>
      <c r="AA413" s="114">
        <f>SUM(AA406:AA410)</f>
        <v>474</v>
      </c>
      <c r="AB413" s="134">
        <f>AA413/Z413</f>
        <v>1.0417582417582418</v>
      </c>
      <c r="AC413" s="385">
        <f>SUM(AC405:AC409)</f>
        <v>3885</v>
      </c>
      <c r="AD413" s="329">
        <f>SUM(AD406:AD410)</f>
        <v>4041</v>
      </c>
      <c r="AE413" s="386">
        <f>AD413/AC413</f>
        <v>1.0401544401544403</v>
      </c>
    </row>
    <row r="414" spans="1:31" ht="13.8" thickBot="1">
      <c r="A414" s="224" t="s">
        <v>74</v>
      </c>
      <c r="B414" s="363">
        <f>SUM(B400:B409)</f>
        <v>900</v>
      </c>
      <c r="C414" s="364">
        <f>SUM(C401:C410)</f>
        <v>962</v>
      </c>
      <c r="D414" s="361">
        <f>C414/B414</f>
        <v>1.068888888888889</v>
      </c>
      <c r="E414" s="363">
        <f>SUM(E400:E409)</f>
        <v>752</v>
      </c>
      <c r="F414" s="364">
        <f>SUM(F401:F410)</f>
        <v>790</v>
      </c>
      <c r="G414" s="361">
        <f>F414/E414</f>
        <v>1.050531914893617</v>
      </c>
      <c r="H414" s="363">
        <f>SUM(H400:H409)</f>
        <v>810</v>
      </c>
      <c r="I414" s="364">
        <f>SUM(I401:I410)</f>
        <v>845</v>
      </c>
      <c r="J414" s="361">
        <f>I414/H414</f>
        <v>1.0432098765432098</v>
      </c>
      <c r="K414" s="363">
        <f>SUM(K400:K409)</f>
        <v>882</v>
      </c>
      <c r="L414" s="364">
        <f>SUM(L401:L410)</f>
        <v>898</v>
      </c>
      <c r="M414" s="361">
        <f>L414/K414</f>
        <v>1.0181405895691611</v>
      </c>
      <c r="N414" s="363">
        <f>SUM(N400:N409)</f>
        <v>954</v>
      </c>
      <c r="O414" s="364">
        <f>SUM(O401:O410)</f>
        <v>995</v>
      </c>
      <c r="P414" s="361">
        <f>O414/N414</f>
        <v>1.0429769392033543</v>
      </c>
      <c r="Q414" s="363">
        <f>SUM(Q400:Q409)</f>
        <v>885</v>
      </c>
      <c r="R414" s="364">
        <f>SUM(R401:R410)</f>
        <v>937</v>
      </c>
      <c r="S414" s="361">
        <f>R414/Q414</f>
        <v>1.0587570621468927</v>
      </c>
      <c r="T414" s="363">
        <f>SUM(T400:T409)</f>
        <v>939</v>
      </c>
      <c r="U414" s="364">
        <f>SUM(U401:U410)</f>
        <v>999</v>
      </c>
      <c r="V414" s="361">
        <f>U414/T414</f>
        <v>1.0638977635782747</v>
      </c>
      <c r="W414" s="363">
        <f>SUM(W400:W409)</f>
        <v>774</v>
      </c>
      <c r="X414" s="364">
        <f>SUM(X401:X410)</f>
        <v>760</v>
      </c>
      <c r="Y414" s="361">
        <f>X414/W414</f>
        <v>0.98191214470284238</v>
      </c>
      <c r="Z414" s="363">
        <f>SUM(Z400:Z409)</f>
        <v>1019</v>
      </c>
      <c r="AA414" s="364">
        <f>SUM(AA401:AA410)</f>
        <v>1038</v>
      </c>
      <c r="AB414" s="365">
        <f>AA414/Z414</f>
        <v>1.0186457311089303</v>
      </c>
      <c r="AC414" s="389">
        <f>SUM(AC400:AC409)</f>
        <v>7915</v>
      </c>
      <c r="AD414" s="541">
        <f>SUM(AD401:AD410)</f>
        <v>8224</v>
      </c>
      <c r="AE414" s="390">
        <f>AD414/AC414</f>
        <v>1.0390397978521795</v>
      </c>
    </row>
    <row r="415" spans="1:31">
      <c r="I415" s="94"/>
      <c r="J415" s="94"/>
    </row>
    <row r="416" spans="1:31" ht="15.6">
      <c r="A416" s="137"/>
      <c r="B416" s="138"/>
      <c r="C416" s="140" t="s">
        <v>392</v>
      </c>
      <c r="D416" s="138"/>
      <c r="E416" s="138"/>
      <c r="F416" s="138"/>
      <c r="G416" s="138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8"/>
      <c r="T416" s="138"/>
      <c r="U416" s="138"/>
      <c r="V416" s="138"/>
      <c r="W416" s="138"/>
      <c r="X416" s="138"/>
      <c r="Y416" s="138"/>
      <c r="Z416" s="138"/>
      <c r="AA416" s="138"/>
      <c r="AB416" s="138"/>
      <c r="AC416" s="138"/>
      <c r="AD416" s="139"/>
    </row>
    <row r="417" spans="1:30" ht="13.8" thickBot="1">
      <c r="A417" s="80"/>
      <c r="B417" s="116"/>
      <c r="C417" s="116"/>
      <c r="D417" s="116"/>
      <c r="E417" s="116"/>
      <c r="F417" s="116"/>
      <c r="G417" s="116"/>
      <c r="H417" s="116"/>
      <c r="I417" s="116"/>
      <c r="J417" s="116"/>
      <c r="K417" s="116"/>
      <c r="L417" s="116"/>
      <c r="M417" s="116"/>
      <c r="N417" s="116"/>
      <c r="O417" s="116"/>
      <c r="P417" s="116"/>
      <c r="Q417" s="116"/>
      <c r="R417" s="116"/>
      <c r="S417" s="116"/>
      <c r="T417" s="116"/>
      <c r="U417" s="116"/>
      <c r="V417" s="116"/>
      <c r="W417" s="116"/>
      <c r="X417" s="116"/>
      <c r="Y417" s="116"/>
      <c r="Z417" s="116"/>
      <c r="AA417" s="116"/>
      <c r="AB417" s="116"/>
      <c r="AC417" s="116"/>
      <c r="AD417" s="81"/>
    </row>
    <row r="418" spans="1:30" ht="13.8" thickTop="1">
      <c r="A418" s="78" t="str">
        <f>$A$404</f>
        <v>2019-20</v>
      </c>
      <c r="B418" s="141">
        <f>B404/$AC$404</f>
        <v>0.10500610500610501</v>
      </c>
      <c r="C418" s="29"/>
      <c r="D418" s="29"/>
      <c r="E418" s="141">
        <f>E404/$AC$404</f>
        <v>9.0354090354090352E-2</v>
      </c>
      <c r="F418" s="141"/>
      <c r="G418" s="141"/>
      <c r="H418" s="141">
        <f>H404/$AC$404</f>
        <v>0.1111111111111111</v>
      </c>
      <c r="I418" s="141"/>
      <c r="J418" s="141"/>
      <c r="K418" s="141">
        <f>K404/$AC$404</f>
        <v>0.10256410256410256</v>
      </c>
      <c r="L418" s="141"/>
      <c r="M418" s="141"/>
      <c r="N418" s="141">
        <f>N404/$AC$404</f>
        <v>0.11477411477411477</v>
      </c>
      <c r="O418" s="141"/>
      <c r="P418" s="141"/>
      <c r="Q418" s="141">
        <f>Q404/$AC$404</f>
        <v>0.13186813186813187</v>
      </c>
      <c r="R418" s="141"/>
      <c r="S418" s="141"/>
      <c r="T418" s="141">
        <f>T404/$AC$404</f>
        <v>0.12942612942612944</v>
      </c>
      <c r="U418" s="141"/>
      <c r="V418" s="141"/>
      <c r="W418" s="141">
        <f>W404/$AC$404</f>
        <v>0.10134310134310134</v>
      </c>
      <c r="Z418" s="141">
        <f>Z404/$AC$404</f>
        <v>0.11355311355311355</v>
      </c>
      <c r="AC418" s="373"/>
      <c r="AD418" s="142">
        <f t="shared" ref="AD418:AD426" si="56">SUM(B418:AC418)</f>
        <v>1</v>
      </c>
    </row>
    <row r="419" spans="1:30">
      <c r="A419" s="78" t="str">
        <f>$A$405</f>
        <v>2020-21</v>
      </c>
      <c r="B419" s="141">
        <f>B405/$AC$405</f>
        <v>0.1169811320754717</v>
      </c>
      <c r="C419" s="29"/>
      <c r="D419" s="29"/>
      <c r="E419" s="141">
        <f>E405/$AC$405</f>
        <v>8.6792452830188674E-2</v>
      </c>
      <c r="F419" s="141"/>
      <c r="G419" s="141"/>
      <c r="H419" s="141">
        <f>H405/$AC$405</f>
        <v>0.10943396226415095</v>
      </c>
      <c r="I419" s="141"/>
      <c r="J419" s="141"/>
      <c r="K419" s="141">
        <f>K405/$AC$405</f>
        <v>9.5597484276729566E-2</v>
      </c>
      <c r="L419" s="141"/>
      <c r="M419" s="141"/>
      <c r="N419" s="141">
        <f>N405/$AC$405</f>
        <v>0.12075471698113208</v>
      </c>
      <c r="O419" s="141"/>
      <c r="P419" s="141"/>
      <c r="Q419" s="141">
        <f>Q405/$AC$405</f>
        <v>0.11572327044025157</v>
      </c>
      <c r="R419" s="141"/>
      <c r="S419" s="141"/>
      <c r="T419" s="141">
        <f>T405/$AC$405</f>
        <v>0.12327044025157233</v>
      </c>
      <c r="U419" s="141"/>
      <c r="V419" s="141"/>
      <c r="W419" s="141">
        <f>W405/$AC$405</f>
        <v>0.11320754716981132</v>
      </c>
      <c r="Z419" s="141">
        <f>Z405/$AC$405</f>
        <v>0.11823899371069183</v>
      </c>
      <c r="AC419" s="194"/>
      <c r="AD419" s="143">
        <f t="shared" si="56"/>
        <v>0.99999999999999989</v>
      </c>
    </row>
    <row r="420" spans="1:30">
      <c r="A420" s="78" t="str">
        <f>$A$406</f>
        <v>2021-22</v>
      </c>
      <c r="B420" s="141">
        <f>B406/$AC$406</f>
        <v>0.14578005115089515</v>
      </c>
      <c r="C420" s="29"/>
      <c r="D420" s="29"/>
      <c r="E420" s="141">
        <f>E406/$AC$406</f>
        <v>9.718670076726342E-2</v>
      </c>
      <c r="F420" s="141"/>
      <c r="G420" s="141"/>
      <c r="H420" s="141">
        <f>H406/$AC$406</f>
        <v>8.5677749360613814E-2</v>
      </c>
      <c r="I420" s="141"/>
      <c r="J420" s="141"/>
      <c r="K420" s="141">
        <f>K406/$AC$406</f>
        <v>0.12020460358056266</v>
      </c>
      <c r="L420" s="141"/>
      <c r="M420" s="141"/>
      <c r="N420" s="141">
        <f>N406/$AC$406</f>
        <v>0.12020460358056266</v>
      </c>
      <c r="O420" s="141"/>
      <c r="P420" s="141"/>
      <c r="Q420" s="141">
        <f>Q406/$AC$406</f>
        <v>9.4629156010230184E-2</v>
      </c>
      <c r="R420" s="141"/>
      <c r="S420" s="141"/>
      <c r="T420" s="141">
        <f>T406/$AC$406</f>
        <v>0.12020460358056266</v>
      </c>
      <c r="U420" s="141"/>
      <c r="V420" s="141"/>
      <c r="W420" s="141">
        <f>W406/$AC$406</f>
        <v>0.1010230179028133</v>
      </c>
      <c r="Z420" s="141">
        <f>Z406/$AC$406</f>
        <v>0.11508951406649616</v>
      </c>
      <c r="AC420" s="194"/>
      <c r="AD420" s="143">
        <f t="shared" si="56"/>
        <v>1</v>
      </c>
    </row>
    <row r="421" spans="1:30">
      <c r="A421" s="78" t="str">
        <f>$A$407</f>
        <v>2022-23</v>
      </c>
      <c r="B421" s="141">
        <f>B407/$AC$407</f>
        <v>0.10709838107098381</v>
      </c>
      <c r="C421" s="29"/>
      <c r="D421" s="29"/>
      <c r="E421" s="141">
        <f>E407/$AC$407</f>
        <v>9.0909090909090912E-2</v>
      </c>
      <c r="H421" s="141">
        <f>H407/$AC$407</f>
        <v>0.11207970112079702</v>
      </c>
      <c r="K421" s="141">
        <f>K407/$AC$407</f>
        <v>9.9626400996264006E-2</v>
      </c>
      <c r="N421" s="141">
        <f>N407/$AC$407</f>
        <v>0.11955168119551682</v>
      </c>
      <c r="Q421" s="141">
        <f>Q407/$AC$407</f>
        <v>0.12079701120797011</v>
      </c>
      <c r="T421" s="141">
        <f>T407/$AC$407</f>
        <v>0.1357409713574097</v>
      </c>
      <c r="W421" s="141">
        <f>W407/$AC$407</f>
        <v>9.7135740971357409E-2</v>
      </c>
      <c r="Z421" s="141">
        <f>Z407/$AC$407</f>
        <v>0.11706102117061021</v>
      </c>
      <c r="AC421" s="194"/>
      <c r="AD421" s="143">
        <f t="shared" si="56"/>
        <v>1</v>
      </c>
    </row>
    <row r="422" spans="1:30">
      <c r="A422" s="78" t="str">
        <f>$A$408</f>
        <v>2023-24</v>
      </c>
      <c r="B422" s="141">
        <f>B408/$AC$408</f>
        <v>0.12450851900393185</v>
      </c>
      <c r="C422" s="29"/>
      <c r="D422" s="29"/>
      <c r="E422" s="141">
        <f>E408/$AC$408</f>
        <v>8.2568807339449546E-2</v>
      </c>
      <c r="H422" s="141">
        <f>H408/$AC$408</f>
        <v>0.11664482306684142</v>
      </c>
      <c r="K422" s="141">
        <f>K408/$AC$408</f>
        <v>0.12975098296199214</v>
      </c>
      <c r="N422" s="141">
        <f>N408/$AC$408</f>
        <v>0.127129750982962</v>
      </c>
      <c r="Q422" s="141">
        <f>Q408/$AC$408</f>
        <v>9.6985583224115338E-2</v>
      </c>
      <c r="T422" s="141">
        <f>T408/$AC$408</f>
        <v>0.11140235910878113</v>
      </c>
      <c r="W422" s="141">
        <f>W408/$AC$408</f>
        <v>9.1743119266055051E-2</v>
      </c>
      <c r="Z422" s="141">
        <f>Z408/$AC$408</f>
        <v>0.11926605504587157</v>
      </c>
      <c r="AC422" s="194"/>
      <c r="AD422" s="143">
        <f t="shared" si="56"/>
        <v>1</v>
      </c>
    </row>
    <row r="423" spans="1:30">
      <c r="A423" s="78" t="str">
        <f>$A$409</f>
        <v>2024-25</v>
      </c>
      <c r="B423" s="144">
        <f>B409/$AC$409</f>
        <v>0.11455525606469003</v>
      </c>
      <c r="C423" s="29"/>
      <c r="D423" s="29"/>
      <c r="E423" s="144">
        <f>E409/$AC$409</f>
        <v>9.2991913746630725E-2</v>
      </c>
      <c r="F423" s="29"/>
      <c r="G423" s="29"/>
      <c r="H423" s="144">
        <f>H409/$AC$409</f>
        <v>0.11455525606469003</v>
      </c>
      <c r="I423" s="29"/>
      <c r="J423" s="29"/>
      <c r="K423" s="144">
        <f>K409/$AC$409</f>
        <v>0.10377358490566038</v>
      </c>
      <c r="L423" s="29"/>
      <c r="M423" s="29"/>
      <c r="N423" s="144">
        <f>N409/$AC$409</f>
        <v>0.11859838274932614</v>
      </c>
      <c r="O423" s="29"/>
      <c r="P423" s="29"/>
      <c r="Q423" s="144">
        <f>Q409/$AC$409</f>
        <v>0.12398921832884097</v>
      </c>
      <c r="R423" s="29"/>
      <c r="S423" s="29"/>
      <c r="T423" s="144">
        <f>T409/$AC$409</f>
        <v>0.11320754716981132</v>
      </c>
      <c r="U423" s="29"/>
      <c r="V423" s="29"/>
      <c r="W423" s="144">
        <f>W409/$AC$409</f>
        <v>0.10242587601078167</v>
      </c>
      <c r="X423" s="29"/>
      <c r="Y423" s="29"/>
      <c r="Z423" s="144">
        <f>Z409/$AC$409</f>
        <v>0.11590296495956873</v>
      </c>
      <c r="AA423" s="29"/>
      <c r="AB423" s="29"/>
      <c r="AC423" s="194"/>
      <c r="AD423" s="145">
        <f t="shared" si="56"/>
        <v>0.99999999999999989</v>
      </c>
    </row>
    <row r="424" spans="1:30" ht="13.8" thickBot="1">
      <c r="A424" s="80" t="str">
        <f>$A$410</f>
        <v>2025-26</v>
      </c>
      <c r="B424" s="146">
        <f>B410/$AC$410</f>
        <v>0.11618257261410789</v>
      </c>
      <c r="C424" s="116"/>
      <c r="D424" s="116"/>
      <c r="E424" s="146">
        <f>E410/$AC$410</f>
        <v>8.5753803596127248E-2</v>
      </c>
      <c r="F424" s="116"/>
      <c r="G424" s="116"/>
      <c r="H424" s="146">
        <f>H410/$AC$410</f>
        <v>0.11894882434301521</v>
      </c>
      <c r="I424" s="116"/>
      <c r="J424" s="116"/>
      <c r="K424" s="146">
        <f>K410/$AC$410</f>
        <v>9.5435684647302899E-2</v>
      </c>
      <c r="L424" s="116"/>
      <c r="M424" s="116"/>
      <c r="N424" s="146">
        <f>N410/$AC$410</f>
        <v>0.12309820193637622</v>
      </c>
      <c r="O424" s="116"/>
      <c r="P424" s="136"/>
      <c r="Q424" s="146">
        <f>Q410/$AC$410</f>
        <v>0.10926694329183956</v>
      </c>
      <c r="R424" s="136"/>
      <c r="S424" s="136"/>
      <c r="T424" s="146">
        <f>T410/$AC$410</f>
        <v>0.10926694329183956</v>
      </c>
      <c r="U424" s="116"/>
      <c r="V424" s="116"/>
      <c r="W424" s="146">
        <f>W410/$AC$410</f>
        <v>0.10096818810511757</v>
      </c>
      <c r="X424" s="116"/>
      <c r="Y424" s="116"/>
      <c r="Z424" s="146">
        <f>Z410/$AC$410</f>
        <v>0.14107883817427386</v>
      </c>
      <c r="AA424" s="116"/>
      <c r="AB424" s="116"/>
      <c r="AC424" s="334"/>
      <c r="AD424" s="147">
        <f t="shared" si="56"/>
        <v>1</v>
      </c>
    </row>
    <row r="425" spans="1:30" ht="13.8" thickTop="1">
      <c r="A425" s="148" t="s">
        <v>75</v>
      </c>
      <c r="B425" s="141">
        <f>(B422+B423+B424)/3</f>
        <v>0.11841544922757659</v>
      </c>
      <c r="C425" s="149"/>
      <c r="D425" s="149"/>
      <c r="E425" s="141">
        <f>(E422+E423+E424)/3</f>
        <v>8.7104841560735835E-2</v>
      </c>
      <c r="F425" s="141"/>
      <c r="G425" s="141"/>
      <c r="H425" s="141">
        <f>(H422+H423+H424)/3</f>
        <v>0.11671630115818221</v>
      </c>
      <c r="I425" s="141"/>
      <c r="J425" s="141"/>
      <c r="K425" s="141">
        <f>(K422+K423+K424)/3</f>
        <v>0.10965341750498514</v>
      </c>
      <c r="L425" s="141"/>
      <c r="M425" s="141"/>
      <c r="N425" s="141">
        <f>(N422+N423+N424)/3</f>
        <v>0.12294211188955478</v>
      </c>
      <c r="O425" s="141"/>
      <c r="P425" s="141"/>
      <c r="Q425" s="141">
        <f>(Q422+Q423+Q424)/3</f>
        <v>0.11008058161493195</v>
      </c>
      <c r="R425" s="141"/>
      <c r="S425" s="141"/>
      <c r="T425" s="141">
        <f>(T422+T423+T424)/3</f>
        <v>0.111292283190144</v>
      </c>
      <c r="U425" s="141"/>
      <c r="V425" s="141"/>
      <c r="W425" s="141">
        <f>(W422+W423+W424)/3</f>
        <v>9.837906112731809E-2</v>
      </c>
      <c r="Z425" s="141">
        <f>(Z422+Z423+Z424)/3</f>
        <v>0.12541595272657138</v>
      </c>
      <c r="AC425" s="194"/>
      <c r="AD425" s="145">
        <f t="shared" si="56"/>
        <v>0.99999999999999989</v>
      </c>
    </row>
    <row r="426" spans="1:30">
      <c r="A426" s="150" t="s">
        <v>76</v>
      </c>
      <c r="B426" s="151">
        <f>(B420+B421+B422+B423+B424)/5</f>
        <v>0.12162495598092174</v>
      </c>
      <c r="C426" s="152"/>
      <c r="D426" s="152"/>
      <c r="E426" s="151">
        <f>(E420+E421+E422+E423+E424)/5</f>
        <v>8.9882063271712373E-2</v>
      </c>
      <c r="F426" s="153"/>
      <c r="G426" s="153"/>
      <c r="H426" s="151">
        <f>(H420+H421+H422+H423+H424)/5</f>
        <v>0.10958127079119148</v>
      </c>
      <c r="I426" s="153"/>
      <c r="J426" s="153"/>
      <c r="K426" s="151">
        <f>(K420+K421+K422+K423+K424)/5</f>
        <v>0.10975825141835642</v>
      </c>
      <c r="L426" s="153"/>
      <c r="M426" s="153"/>
      <c r="N426" s="151">
        <f>(N420+N421+N422+N423+N424)/5</f>
        <v>0.12171652408894876</v>
      </c>
      <c r="O426" s="153"/>
      <c r="P426" s="153"/>
      <c r="Q426" s="151">
        <f>(Q420+Q421+Q422+Q423+Q424)/5</f>
        <v>0.10913358241259923</v>
      </c>
      <c r="R426" s="153"/>
      <c r="S426" s="153"/>
      <c r="T426" s="151">
        <f>(T420+T421+T422+T423+T424)/5</f>
        <v>0.11796448490168085</v>
      </c>
      <c r="U426" s="153"/>
      <c r="V426" s="153"/>
      <c r="W426" s="151">
        <f>(W420+W421+W422+W423+W424)/5</f>
        <v>9.8659188451225011E-2</v>
      </c>
      <c r="X426" s="153"/>
      <c r="Y426" s="153"/>
      <c r="Z426" s="151">
        <f>(Z420+Z421+Z422+Z423+Z424)/5</f>
        <v>0.12167967868336409</v>
      </c>
      <c r="AA426" s="153"/>
      <c r="AB426" s="153"/>
      <c r="AC426" s="375"/>
      <c r="AD426" s="154">
        <f t="shared" si="56"/>
        <v>0.99999999999999989</v>
      </c>
    </row>
    <row r="428" spans="1:30" ht="15.6">
      <c r="A428" s="137"/>
      <c r="B428" s="140" t="s">
        <v>290</v>
      </c>
      <c r="C428" s="138"/>
      <c r="D428" s="155"/>
      <c r="E428" s="138"/>
      <c r="F428" s="138"/>
      <c r="G428" s="138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8"/>
      <c r="T428" s="138"/>
      <c r="U428" s="138"/>
      <c r="V428" s="138"/>
      <c r="W428" s="138"/>
      <c r="X428" s="376"/>
      <c r="Y428" s="157"/>
      <c r="Z428" s="157"/>
      <c r="AA428" s="157"/>
      <c r="AB428" s="157"/>
      <c r="AC428" s="156"/>
      <c r="AD428" s="158" t="s">
        <v>77</v>
      </c>
    </row>
    <row r="429" spans="1:30" ht="13.8" thickBot="1">
      <c r="A429" s="80"/>
      <c r="B429" s="116"/>
      <c r="C429" s="116"/>
      <c r="D429" s="116"/>
      <c r="E429" s="116"/>
      <c r="F429" s="116"/>
      <c r="G429" s="116"/>
      <c r="H429" s="116"/>
      <c r="I429" s="116"/>
      <c r="J429" s="116"/>
      <c r="K429" s="116"/>
      <c r="L429" s="116"/>
      <c r="M429" s="116"/>
      <c r="N429" s="116"/>
      <c r="O429" s="116"/>
      <c r="P429" s="116"/>
      <c r="Q429" s="116"/>
      <c r="R429" s="116"/>
      <c r="S429" s="116"/>
      <c r="T429" s="116"/>
      <c r="U429" s="116"/>
      <c r="V429" s="116"/>
      <c r="W429" s="116"/>
      <c r="X429" s="377"/>
      <c r="Y429" s="136"/>
      <c r="Z429" s="136"/>
      <c r="AA429" s="136"/>
      <c r="AB429" s="136"/>
      <c r="AC429" s="159"/>
      <c r="AD429" s="160" t="s">
        <v>78</v>
      </c>
    </row>
    <row r="430" spans="1:30" ht="13.8" thickTop="1">
      <c r="A430" s="113" t="str">
        <f>ENPRJ3!J287</f>
        <v>2026-27</v>
      </c>
      <c r="B430" s="61">
        <f>ROUND($AD$430*B425,0)</f>
        <v>94</v>
      </c>
      <c r="C430" s="149"/>
      <c r="D430" s="149"/>
      <c r="E430" s="61">
        <f>ROUND($AD$430*E425,0)</f>
        <v>69</v>
      </c>
      <c r="H430" s="61">
        <f>ROUND($AD$430*H425,0)</f>
        <v>92</v>
      </c>
      <c r="K430" s="61">
        <f>ROUND($AD$430*K425,0)</f>
        <v>87</v>
      </c>
      <c r="N430" s="61">
        <f>ROUND($AD$430*N425,0)</f>
        <v>97</v>
      </c>
      <c r="Q430" s="61">
        <f>ROUND($AD$430*Q425,0)</f>
        <v>87</v>
      </c>
      <c r="T430" s="61">
        <f>ROUND($AD$430*T425,0)</f>
        <v>88</v>
      </c>
      <c r="W430" s="61">
        <f>ROUND($AD$430*W425,0)</f>
        <v>78</v>
      </c>
      <c r="Z430" s="61">
        <f>ROUND($AD$430*Z425,0)</f>
        <v>99</v>
      </c>
      <c r="AC430" s="194"/>
      <c r="AD430" s="133">
        <f>ENPRJ3!D256</f>
        <v>790</v>
      </c>
    </row>
    <row r="431" spans="1:30">
      <c r="A431" s="149" t="str">
        <f>ENPRJ3!M317</f>
        <v>2027-28</v>
      </c>
      <c r="B431" s="61">
        <f>ROUND($AD$431*B425,0)</f>
        <v>92</v>
      </c>
      <c r="C431" s="149"/>
      <c r="D431" s="149"/>
      <c r="E431" s="61">
        <f>ROUND($AD$431*E425,0)</f>
        <v>68</v>
      </c>
      <c r="H431" s="61">
        <f>ROUND($AD$431*H425,0)</f>
        <v>91</v>
      </c>
      <c r="K431" s="61">
        <f>ROUND($AD$431*K425,0)</f>
        <v>85</v>
      </c>
      <c r="N431" s="61">
        <f>ROUND($AD$431*N425,0)</f>
        <v>96</v>
      </c>
      <c r="Q431" s="61">
        <f>ROUND($AD$431*Q425,0)</f>
        <v>86</v>
      </c>
      <c r="T431" s="61">
        <f>ROUND($AD$431*T425,0)</f>
        <v>86</v>
      </c>
      <c r="W431" s="61">
        <f>ROUND($AD$431*W425,0)</f>
        <v>76</v>
      </c>
      <c r="Z431" s="61">
        <f>ROUND($AD$431*Z425,0)</f>
        <v>97</v>
      </c>
      <c r="AC431" s="194"/>
      <c r="AD431" s="133">
        <f>ENPRJ3!E256</f>
        <v>777</v>
      </c>
    </row>
    <row r="432" spans="1:30" ht="13.8" thickBot="1">
      <c r="A432" s="136" t="str">
        <f>ENPRJ3!M347</f>
        <v>2028-29</v>
      </c>
      <c r="B432" s="116">
        <f>ROUND($AD$432*B425,0)</f>
        <v>96</v>
      </c>
      <c r="C432" s="256"/>
      <c r="D432" s="256"/>
      <c r="E432" s="116">
        <f>ROUND($AD$432*E425,0)</f>
        <v>70</v>
      </c>
      <c r="F432" s="116"/>
      <c r="G432" s="116"/>
      <c r="H432" s="116">
        <f>ROUND($AD$432*H425,0)</f>
        <v>94</v>
      </c>
      <c r="I432" s="116"/>
      <c r="J432" s="116"/>
      <c r="K432" s="116">
        <f>ROUND($AD$432*K425,0)</f>
        <v>88</v>
      </c>
      <c r="L432" s="116"/>
      <c r="M432" s="116"/>
      <c r="N432" s="116">
        <f>ROUND($AD$432*N425,0)</f>
        <v>99</v>
      </c>
      <c r="O432" s="116"/>
      <c r="P432" s="116"/>
      <c r="Q432" s="116">
        <f>ROUND($AD$432*Q425,0)</f>
        <v>89</v>
      </c>
      <c r="R432" s="116"/>
      <c r="S432" s="116"/>
      <c r="T432" s="116">
        <f>ROUND($AD$432*T425,0)</f>
        <v>90</v>
      </c>
      <c r="U432" s="116"/>
      <c r="V432" s="116"/>
      <c r="W432" s="116">
        <f>ROUND($AD$432*W425,0)</f>
        <v>79</v>
      </c>
      <c r="X432" s="116"/>
      <c r="Y432" s="116"/>
      <c r="Z432" s="116">
        <f>ROUND($AD$432*Z425,0)</f>
        <v>101</v>
      </c>
      <c r="AA432" s="116"/>
      <c r="AB432" s="116"/>
      <c r="AC432" s="334"/>
      <c r="AD432" s="81">
        <f>ENPRJ3!F256</f>
        <v>807</v>
      </c>
    </row>
    <row r="433" spans="1:32" ht="13.8" thickTop="1">
      <c r="A433" s="131"/>
      <c r="B433" s="161"/>
      <c r="C433" s="161"/>
      <c r="D433" s="161"/>
      <c r="E433" s="161"/>
      <c r="F433" s="161"/>
      <c r="G433" s="161"/>
      <c r="H433" s="161"/>
      <c r="I433" s="161"/>
      <c r="J433" s="161"/>
      <c r="K433" s="161"/>
      <c r="L433" s="161"/>
      <c r="M433" s="161"/>
      <c r="N433" s="161"/>
      <c r="O433" s="161"/>
      <c r="P433" s="161"/>
      <c r="Q433" s="161"/>
      <c r="R433" s="161"/>
      <c r="S433" s="161"/>
      <c r="T433" s="161"/>
      <c r="U433" s="131"/>
      <c r="V433" s="131"/>
      <c r="W433" s="131"/>
    </row>
    <row r="434" spans="1:32" ht="17.399999999999999">
      <c r="A434" s="130" t="s">
        <v>394</v>
      </c>
      <c r="B434" s="131"/>
      <c r="C434" s="131"/>
      <c r="D434" s="130"/>
      <c r="E434" s="131"/>
      <c r="F434" s="131"/>
      <c r="G434" s="131"/>
      <c r="H434" s="131"/>
      <c r="I434" s="131"/>
      <c r="J434" s="131"/>
      <c r="K434" s="131"/>
      <c r="L434" s="131"/>
      <c r="M434" s="131"/>
      <c r="N434" s="131"/>
      <c r="O434" s="131"/>
      <c r="P434" s="131"/>
      <c r="Q434" s="131"/>
      <c r="R434" s="131"/>
      <c r="S434" s="131"/>
      <c r="T434" s="131"/>
      <c r="U434" s="131"/>
      <c r="V434" s="131"/>
      <c r="W434" s="131"/>
      <c r="X434" s="131"/>
      <c r="Y434" s="131"/>
    </row>
    <row r="435" spans="1:32" ht="17.399999999999999">
      <c r="A435" s="130" t="s">
        <v>65</v>
      </c>
      <c r="B435" s="131"/>
      <c r="C435" s="131"/>
      <c r="D435" s="131"/>
      <c r="E435" s="131"/>
      <c r="F435" s="131"/>
      <c r="G435" s="130"/>
      <c r="H435" s="131"/>
      <c r="I435" s="131"/>
      <c r="J435" s="131"/>
      <c r="K435" s="131"/>
      <c r="L435" s="131"/>
      <c r="M435" s="131"/>
      <c r="N435" s="131"/>
      <c r="O435" s="131"/>
      <c r="P435" s="131"/>
      <c r="Q435" s="131"/>
      <c r="R435" s="131"/>
      <c r="S435" s="131"/>
      <c r="T435" s="131"/>
      <c r="U435" s="131"/>
      <c r="V435" s="131"/>
      <c r="W435" s="131"/>
      <c r="X435" s="131"/>
      <c r="Y435" s="131"/>
    </row>
    <row r="436" spans="1:32" ht="13.8" thickBot="1">
      <c r="A436" s="131"/>
      <c r="B436" s="131"/>
      <c r="C436" s="131"/>
      <c r="D436" s="131"/>
      <c r="E436" s="131"/>
      <c r="F436" s="131"/>
      <c r="G436" s="131"/>
      <c r="H436" s="131"/>
      <c r="I436" s="131"/>
      <c r="J436" s="131"/>
      <c r="K436" s="131"/>
      <c r="L436" s="131"/>
      <c r="M436" s="131"/>
      <c r="N436" s="131"/>
      <c r="O436" s="131"/>
      <c r="P436" s="131"/>
      <c r="Q436" s="131"/>
      <c r="R436" s="131"/>
      <c r="S436" s="131"/>
      <c r="T436" s="131"/>
      <c r="U436" s="131"/>
      <c r="V436" s="131"/>
      <c r="W436" s="131"/>
      <c r="Z436" s="131" t="s">
        <v>40</v>
      </c>
    </row>
    <row r="437" spans="1:32">
      <c r="A437" s="353" t="s">
        <v>66</v>
      </c>
      <c r="B437" s="787" t="s">
        <v>67</v>
      </c>
      <c r="C437" s="788"/>
      <c r="D437" s="789"/>
      <c r="E437" s="787" t="s">
        <v>68</v>
      </c>
      <c r="F437" s="788"/>
      <c r="G437" s="789"/>
      <c r="H437" s="787" t="s">
        <v>272</v>
      </c>
      <c r="I437" s="788"/>
      <c r="J437" s="789"/>
      <c r="K437" s="787" t="s">
        <v>69</v>
      </c>
      <c r="L437" s="788"/>
      <c r="M437" s="789"/>
      <c r="N437" s="787" t="s">
        <v>273</v>
      </c>
      <c r="O437" s="788"/>
      <c r="P437" s="789"/>
      <c r="Q437" s="787" t="s">
        <v>371</v>
      </c>
      <c r="R437" s="788"/>
      <c r="S437" s="789"/>
      <c r="T437" s="787" t="s">
        <v>365</v>
      </c>
      <c r="U437" s="788"/>
      <c r="V437" s="789"/>
      <c r="W437" s="787" t="s">
        <v>70</v>
      </c>
      <c r="X437" s="788"/>
      <c r="Y437" s="789"/>
      <c r="Z437" s="787" t="s">
        <v>407</v>
      </c>
      <c r="AA437" s="788"/>
      <c r="AB437" s="788"/>
      <c r="AC437" s="794" t="s">
        <v>52</v>
      </c>
      <c r="AD437" s="795"/>
      <c r="AE437" s="796"/>
      <c r="AF437" s="131"/>
    </row>
    <row r="438" spans="1:32" ht="13.8" thickBot="1">
      <c r="A438" s="366"/>
      <c r="B438" s="367" t="s">
        <v>397</v>
      </c>
      <c r="C438" s="368" t="s">
        <v>398</v>
      </c>
      <c r="D438" s="405" t="s">
        <v>79</v>
      </c>
      <c r="E438" s="367" t="s">
        <v>397</v>
      </c>
      <c r="F438" s="368" t="s">
        <v>398</v>
      </c>
      <c r="G438" s="398" t="s">
        <v>71</v>
      </c>
      <c r="H438" s="367" t="s">
        <v>397</v>
      </c>
      <c r="I438" s="368" t="s">
        <v>398</v>
      </c>
      <c r="J438" s="370" t="s">
        <v>71</v>
      </c>
      <c r="K438" s="367" t="s">
        <v>397</v>
      </c>
      <c r="L438" s="368" t="s">
        <v>398</v>
      </c>
      <c r="M438" s="370" t="s">
        <v>71</v>
      </c>
      <c r="N438" s="367" t="s">
        <v>397</v>
      </c>
      <c r="O438" s="368" t="s">
        <v>398</v>
      </c>
      <c r="P438" s="398" t="s">
        <v>71</v>
      </c>
      <c r="Q438" s="367" t="s">
        <v>397</v>
      </c>
      <c r="R438" s="368" t="s">
        <v>398</v>
      </c>
      <c r="S438" s="398" t="s">
        <v>71</v>
      </c>
      <c r="T438" s="367" t="s">
        <v>397</v>
      </c>
      <c r="U438" s="368" t="s">
        <v>398</v>
      </c>
      <c r="V438" s="398" t="s">
        <v>71</v>
      </c>
      <c r="W438" s="367" t="s">
        <v>397</v>
      </c>
      <c r="X438" s="368" t="s">
        <v>398</v>
      </c>
      <c r="Y438" s="398" t="s">
        <v>71</v>
      </c>
      <c r="Z438" s="367" t="s">
        <v>397</v>
      </c>
      <c r="AA438" s="368" t="s">
        <v>398</v>
      </c>
      <c r="AB438" s="343" t="s">
        <v>71</v>
      </c>
      <c r="AC438" s="383" t="s">
        <v>397</v>
      </c>
      <c r="AD438" s="368" t="s">
        <v>398</v>
      </c>
      <c r="AE438" s="408" t="s">
        <v>71</v>
      </c>
      <c r="AF438" s="131"/>
    </row>
    <row r="439" spans="1:32" ht="13.8" thickTop="1">
      <c r="A439" s="404"/>
      <c r="B439" s="392"/>
      <c r="C439" s="162"/>
      <c r="D439" s="400"/>
      <c r="E439" s="399"/>
      <c r="F439" s="164"/>
      <c r="G439" s="393"/>
      <c r="H439" s="392"/>
      <c r="I439" s="162"/>
      <c r="J439" s="400"/>
      <c r="K439" s="392"/>
      <c r="L439" s="162"/>
      <c r="M439" s="400"/>
      <c r="N439" s="399"/>
      <c r="O439" s="164"/>
      <c r="P439" s="393"/>
      <c r="Q439" s="399"/>
      <c r="R439" s="164"/>
      <c r="S439" s="393"/>
      <c r="T439" s="399"/>
      <c r="U439" s="164"/>
      <c r="V439" s="393"/>
      <c r="W439" s="399"/>
      <c r="X439" s="164"/>
      <c r="Y439" s="393"/>
      <c r="Z439" s="399"/>
      <c r="AA439" s="164"/>
      <c r="AB439" s="164"/>
      <c r="AC439" s="409"/>
      <c r="AD439" s="164"/>
      <c r="AE439" s="410"/>
      <c r="AF439" s="131"/>
    </row>
    <row r="440" spans="1:32">
      <c r="A440" s="354" t="str">
        <f>$A$396</f>
        <v>2011-12</v>
      </c>
      <c r="B440" s="399">
        <f>B$353</f>
        <v>80</v>
      </c>
      <c r="C440" s="164"/>
      <c r="D440" s="400"/>
      <c r="E440" s="399">
        <f>C$353</f>
        <v>89</v>
      </c>
      <c r="F440" s="164"/>
      <c r="G440" s="395"/>
      <c r="H440" s="399">
        <f>D$353</f>
        <v>91</v>
      </c>
      <c r="I440" s="164"/>
      <c r="J440" s="403"/>
      <c r="K440" s="399">
        <f>E$353</f>
        <v>94</v>
      </c>
      <c r="L440" s="164"/>
      <c r="M440" s="403"/>
      <c r="N440" s="399">
        <f>F$353</f>
        <v>98</v>
      </c>
      <c r="O440" s="164"/>
      <c r="P440" s="395"/>
      <c r="Q440" s="399">
        <f>G$353</f>
        <v>86</v>
      </c>
      <c r="R440" s="164"/>
      <c r="S440" s="395"/>
      <c r="T440" s="399">
        <f>H$353</f>
        <v>87</v>
      </c>
      <c r="U440" s="164"/>
      <c r="V440" s="395"/>
      <c r="W440" s="399">
        <f>I$353</f>
        <v>94</v>
      </c>
      <c r="X440" s="164"/>
      <c r="Y440" s="395"/>
      <c r="Z440" s="399">
        <f>J$353</f>
        <v>108</v>
      </c>
      <c r="AA440" s="164"/>
      <c r="AB440" s="378"/>
      <c r="AC440" s="409">
        <f>Z440+W440+T440+Q440+N440+K440+H440+E440+B440</f>
        <v>827</v>
      </c>
      <c r="AD440" s="164"/>
      <c r="AE440" s="411"/>
      <c r="AF440" s="82"/>
    </row>
    <row r="441" spans="1:32">
      <c r="A441" s="354" t="str">
        <f>$A$397</f>
        <v>2012-13</v>
      </c>
      <c r="B441" s="399">
        <f>B$331</f>
        <v>80</v>
      </c>
      <c r="C441" s="164">
        <f>B$332</f>
        <v>73</v>
      </c>
      <c r="D441" s="135">
        <f>C441/B440</f>
        <v>0.91249999999999998</v>
      </c>
      <c r="E441" s="399">
        <f>C$331</f>
        <v>89</v>
      </c>
      <c r="F441" s="164">
        <f>C$332</f>
        <v>77</v>
      </c>
      <c r="G441" s="135">
        <f>F441/E440</f>
        <v>0.8651685393258427</v>
      </c>
      <c r="H441" s="399">
        <f>D$331</f>
        <v>91</v>
      </c>
      <c r="I441" s="164">
        <f>D$332</f>
        <v>80</v>
      </c>
      <c r="J441" s="135">
        <f>I441/H440</f>
        <v>0.87912087912087911</v>
      </c>
      <c r="K441" s="399">
        <f>E$331</f>
        <v>94</v>
      </c>
      <c r="L441" s="164">
        <f>E$332</f>
        <v>104</v>
      </c>
      <c r="M441" s="135">
        <f>L441/K440</f>
        <v>1.1063829787234043</v>
      </c>
      <c r="N441" s="399">
        <f>F$331</f>
        <v>98</v>
      </c>
      <c r="O441" s="164">
        <f>F$332</f>
        <v>116</v>
      </c>
      <c r="P441" s="135">
        <f>O441/N440</f>
        <v>1.1836734693877551</v>
      </c>
      <c r="Q441" s="399">
        <f>G$331</f>
        <v>85</v>
      </c>
      <c r="R441" s="164">
        <f>G$332</f>
        <v>101</v>
      </c>
      <c r="S441" s="135">
        <f>R441/Q440</f>
        <v>1.1744186046511629</v>
      </c>
      <c r="T441" s="399">
        <f>H$331</f>
        <v>87</v>
      </c>
      <c r="U441" s="164">
        <f>H$332</f>
        <v>99</v>
      </c>
      <c r="V441" s="135">
        <f>U441/T440</f>
        <v>1.1379310344827587</v>
      </c>
      <c r="W441" s="399">
        <f>I$331</f>
        <v>94</v>
      </c>
      <c r="X441" s="164">
        <f>I$332</f>
        <v>93</v>
      </c>
      <c r="Y441" s="135">
        <f>X441/W440</f>
        <v>0.98936170212765961</v>
      </c>
      <c r="Z441" s="399">
        <f>J$331</f>
        <v>108</v>
      </c>
      <c r="AA441" s="164">
        <f>J$332</f>
        <v>110</v>
      </c>
      <c r="AB441" s="134">
        <f>AA441/Z440</f>
        <v>1.0185185185185186</v>
      </c>
      <c r="AC441" s="409">
        <f t="shared" ref="AC441:AC454" si="57">Z441+W441+T441+Q441+N441+K441+H441+E441+B441</f>
        <v>826</v>
      </c>
      <c r="AD441" s="164">
        <f>AA441+X441+U441+R441+O441+L441+I441+F441+C441</f>
        <v>853</v>
      </c>
      <c r="AE441" s="386">
        <f>AD441/AC440</f>
        <v>1.0314389359129383</v>
      </c>
      <c r="AF441" s="131"/>
    </row>
    <row r="442" spans="1:32">
      <c r="A442" s="354" t="str">
        <f>$A$398</f>
        <v>2013-14</v>
      </c>
      <c r="B442" s="399">
        <f>B$309</f>
        <v>78</v>
      </c>
      <c r="C442" s="164">
        <f>B$310</f>
        <v>72</v>
      </c>
      <c r="D442" s="135">
        <f t="shared" ref="D442:D453" si="58">C442/B441</f>
        <v>0.9</v>
      </c>
      <c r="E442" s="399">
        <f>C$309</f>
        <v>85</v>
      </c>
      <c r="F442" s="164">
        <f>C$310</f>
        <v>76</v>
      </c>
      <c r="G442" s="135">
        <f t="shared" ref="G442:G453" si="59">F442/E441</f>
        <v>0.8539325842696629</v>
      </c>
      <c r="H442" s="399">
        <f>D$309</f>
        <v>87</v>
      </c>
      <c r="I442" s="164">
        <f>D$310</f>
        <v>79</v>
      </c>
      <c r="J442" s="135">
        <f t="shared" ref="J442:J453" si="60">I442/H441</f>
        <v>0.86813186813186816</v>
      </c>
      <c r="K442" s="399">
        <f>E$309</f>
        <v>90</v>
      </c>
      <c r="L442" s="164">
        <f>E$310</f>
        <v>103</v>
      </c>
      <c r="M442" s="135">
        <f t="shared" ref="M442:M453" si="61">L442/K441</f>
        <v>1.0957446808510638</v>
      </c>
      <c r="N442" s="399">
        <f>F$309</f>
        <v>94</v>
      </c>
      <c r="O442" s="164">
        <f>F$310</f>
        <v>115</v>
      </c>
      <c r="P442" s="135">
        <f t="shared" ref="P442:P453" si="62">O442/N441</f>
        <v>1.1734693877551021</v>
      </c>
      <c r="Q442" s="399">
        <f>G$309</f>
        <v>82</v>
      </c>
      <c r="R442" s="164">
        <f>G$310</f>
        <v>100</v>
      </c>
      <c r="S442" s="135">
        <f t="shared" ref="S442:S453" si="63">R442/Q441</f>
        <v>1.1764705882352942</v>
      </c>
      <c r="T442" s="399">
        <f>H$309</f>
        <v>83</v>
      </c>
      <c r="U442" s="164">
        <f>H$310</f>
        <v>98</v>
      </c>
      <c r="V442" s="135">
        <f t="shared" ref="V442:V453" si="64">U442/T441</f>
        <v>1.1264367816091954</v>
      </c>
      <c r="W442" s="399">
        <f>I$309</f>
        <v>90</v>
      </c>
      <c r="X442" s="164">
        <f>I$310</f>
        <v>93</v>
      </c>
      <c r="Y442" s="135">
        <f t="shared" ref="Y442:Y453" si="65">X442/W441</f>
        <v>0.98936170212765961</v>
      </c>
      <c r="Z442" s="399">
        <f>J$309</f>
        <v>108</v>
      </c>
      <c r="AA442" s="164">
        <f>J$310</f>
        <v>109</v>
      </c>
      <c r="AB442" s="134">
        <f t="shared" ref="AB442:AB453" si="66">AA442/Z441</f>
        <v>1.0092592592592593</v>
      </c>
      <c r="AC442" s="409">
        <f t="shared" si="57"/>
        <v>797</v>
      </c>
      <c r="AD442" s="164">
        <f t="shared" ref="AD442:AD454" si="67">AA442+X442+U442+R442+O442+L442+I442+F442+C442</f>
        <v>845</v>
      </c>
      <c r="AE442" s="386">
        <f t="shared" ref="AE442:AE454" si="68">AD442/AC441</f>
        <v>1.023002421307506</v>
      </c>
      <c r="AF442" s="131"/>
    </row>
    <row r="443" spans="1:32">
      <c r="A443" s="354" t="str">
        <f>$A$399</f>
        <v>2014-15</v>
      </c>
      <c r="B443" s="399">
        <f>B$287</f>
        <v>82</v>
      </c>
      <c r="C443" s="164">
        <f>B$288</f>
        <v>83</v>
      </c>
      <c r="D443" s="135">
        <f t="shared" si="58"/>
        <v>1.0641025641025641</v>
      </c>
      <c r="E443" s="399">
        <f>C$287</f>
        <v>77</v>
      </c>
      <c r="F443" s="164">
        <f>C$288</f>
        <v>84</v>
      </c>
      <c r="G443" s="135">
        <f t="shared" si="59"/>
        <v>0.9882352941176471</v>
      </c>
      <c r="H443" s="399">
        <f>D$287</f>
        <v>73</v>
      </c>
      <c r="I443" s="164">
        <f>D$288</f>
        <v>80</v>
      </c>
      <c r="J443" s="135">
        <f t="shared" si="60"/>
        <v>0.91954022988505746</v>
      </c>
      <c r="K443" s="399">
        <f>E$287</f>
        <v>98</v>
      </c>
      <c r="L443" s="164">
        <f>E$288</f>
        <v>92</v>
      </c>
      <c r="M443" s="135">
        <f t="shared" si="61"/>
        <v>1.0222222222222221</v>
      </c>
      <c r="N443" s="399">
        <f>F$287</f>
        <v>104</v>
      </c>
      <c r="O443" s="164">
        <f>F$288</f>
        <v>103</v>
      </c>
      <c r="P443" s="135">
        <f t="shared" si="62"/>
        <v>1.0957446808510638</v>
      </c>
      <c r="Q443" s="399">
        <f>G$287</f>
        <v>97</v>
      </c>
      <c r="R443" s="164">
        <f>G$288</f>
        <v>93</v>
      </c>
      <c r="S443" s="135">
        <f t="shared" si="63"/>
        <v>1.1341463414634145</v>
      </c>
      <c r="T443" s="399">
        <f>H$287</f>
        <v>105</v>
      </c>
      <c r="U443" s="164">
        <f>H$288</f>
        <v>92</v>
      </c>
      <c r="V443" s="135">
        <f t="shared" si="64"/>
        <v>1.1084337349397591</v>
      </c>
      <c r="W443" s="399">
        <f>I$287</f>
        <v>90</v>
      </c>
      <c r="X443" s="164">
        <f>I$288</f>
        <v>83</v>
      </c>
      <c r="Y443" s="135">
        <f t="shared" si="65"/>
        <v>0.92222222222222228</v>
      </c>
      <c r="Z443" s="399">
        <f>J$287</f>
        <v>135</v>
      </c>
      <c r="AA443" s="164">
        <f>J$288</f>
        <v>104</v>
      </c>
      <c r="AB443" s="134">
        <f t="shared" si="66"/>
        <v>0.96296296296296291</v>
      </c>
      <c r="AC443" s="409">
        <f t="shared" si="57"/>
        <v>861</v>
      </c>
      <c r="AD443" s="164">
        <f t="shared" si="67"/>
        <v>814</v>
      </c>
      <c r="AE443" s="386">
        <f t="shared" si="68"/>
        <v>1.0213299874529485</v>
      </c>
      <c r="AF443" s="131"/>
    </row>
    <row r="444" spans="1:32">
      <c r="A444" s="354" t="str">
        <f>$A$400</f>
        <v>2015-16</v>
      </c>
      <c r="B444" s="399">
        <f>B$265</f>
        <v>85</v>
      </c>
      <c r="C444" s="164">
        <f>B$266</f>
        <v>79</v>
      </c>
      <c r="D444" s="135">
        <f t="shared" si="58"/>
        <v>0.96341463414634143</v>
      </c>
      <c r="E444" s="399">
        <f>C$265</f>
        <v>62</v>
      </c>
      <c r="F444" s="164">
        <f>C$266</f>
        <v>82</v>
      </c>
      <c r="G444" s="135">
        <f t="shared" si="59"/>
        <v>1.0649350649350648</v>
      </c>
      <c r="H444" s="399">
        <f>D$265</f>
        <v>86</v>
      </c>
      <c r="I444" s="164">
        <f>D$266</f>
        <v>78</v>
      </c>
      <c r="J444" s="135">
        <f t="shared" si="60"/>
        <v>1.0684931506849316</v>
      </c>
      <c r="K444" s="399">
        <f>E$265</f>
        <v>87</v>
      </c>
      <c r="L444" s="164">
        <f>E$266</f>
        <v>95</v>
      </c>
      <c r="M444" s="135">
        <f t="shared" si="61"/>
        <v>0.96938775510204078</v>
      </c>
      <c r="N444" s="399">
        <f>F$265</f>
        <v>100</v>
      </c>
      <c r="O444" s="164">
        <f>F$266</f>
        <v>117</v>
      </c>
      <c r="P444" s="135">
        <f t="shared" si="62"/>
        <v>1.125</v>
      </c>
      <c r="Q444" s="399">
        <f>G$265</f>
        <v>95</v>
      </c>
      <c r="R444" s="164">
        <f>G$266</f>
        <v>101</v>
      </c>
      <c r="S444" s="135">
        <f t="shared" si="63"/>
        <v>1.0412371134020619</v>
      </c>
      <c r="T444" s="399">
        <f>H$265</f>
        <v>88</v>
      </c>
      <c r="U444" s="164">
        <f>H$266</f>
        <v>110</v>
      </c>
      <c r="V444" s="135">
        <f t="shared" si="64"/>
        <v>1.0476190476190477</v>
      </c>
      <c r="W444" s="399">
        <f>I$265</f>
        <v>90</v>
      </c>
      <c r="X444" s="164">
        <f>I$266</f>
        <v>86</v>
      </c>
      <c r="Y444" s="135">
        <f t="shared" si="65"/>
        <v>0.9555555555555556</v>
      </c>
      <c r="Z444" s="399">
        <f>J$265</f>
        <v>99</v>
      </c>
      <c r="AA444" s="164">
        <f>J$266</f>
        <v>140</v>
      </c>
      <c r="AB444" s="134">
        <f t="shared" si="66"/>
        <v>1.037037037037037</v>
      </c>
      <c r="AC444" s="409">
        <f t="shared" si="57"/>
        <v>792</v>
      </c>
      <c r="AD444" s="164">
        <f t="shared" si="67"/>
        <v>888</v>
      </c>
      <c r="AE444" s="386">
        <f t="shared" si="68"/>
        <v>1.0313588850174216</v>
      </c>
      <c r="AF444" s="131"/>
    </row>
    <row r="445" spans="1:32">
      <c r="A445" s="354" t="str">
        <f>$A$401</f>
        <v>2016-17</v>
      </c>
      <c r="B445" s="399">
        <f>B$243</f>
        <v>74</v>
      </c>
      <c r="C445" s="164">
        <f>B$244</f>
        <v>90</v>
      </c>
      <c r="D445" s="135">
        <f t="shared" si="58"/>
        <v>1.0588235294117647</v>
      </c>
      <c r="E445" s="399">
        <f>C$243</f>
        <v>87</v>
      </c>
      <c r="F445" s="164">
        <f>C$244</f>
        <v>69</v>
      </c>
      <c r="G445" s="135">
        <f t="shared" si="59"/>
        <v>1.1129032258064515</v>
      </c>
      <c r="H445" s="399">
        <f>D$243</f>
        <v>81</v>
      </c>
      <c r="I445" s="164">
        <f>D$244</f>
        <v>93</v>
      </c>
      <c r="J445" s="135">
        <f t="shared" si="60"/>
        <v>1.0813953488372092</v>
      </c>
      <c r="K445" s="399">
        <f>E$243</f>
        <v>95</v>
      </c>
      <c r="L445" s="164">
        <f>E$244</f>
        <v>80</v>
      </c>
      <c r="M445" s="135">
        <f t="shared" si="61"/>
        <v>0.91954022988505746</v>
      </c>
      <c r="N445" s="399">
        <f>F$243</f>
        <v>103</v>
      </c>
      <c r="O445" s="164">
        <f>F$244</f>
        <v>104</v>
      </c>
      <c r="P445" s="135">
        <f t="shared" si="62"/>
        <v>1.04</v>
      </c>
      <c r="Q445" s="399">
        <f>G$243</f>
        <v>90</v>
      </c>
      <c r="R445" s="164">
        <f>G$244</f>
        <v>107</v>
      </c>
      <c r="S445" s="135">
        <f t="shared" si="63"/>
        <v>1.1263157894736842</v>
      </c>
      <c r="T445" s="399">
        <f>H$243</f>
        <v>102</v>
      </c>
      <c r="U445" s="164">
        <f>H$244</f>
        <v>101</v>
      </c>
      <c r="V445" s="135">
        <f t="shared" si="64"/>
        <v>1.1477272727272727</v>
      </c>
      <c r="W445" s="399">
        <f>I$243</f>
        <v>81</v>
      </c>
      <c r="X445" s="164">
        <f>I$244</f>
        <v>92</v>
      </c>
      <c r="Y445" s="135">
        <f t="shared" si="65"/>
        <v>1.0222222222222221</v>
      </c>
      <c r="Z445" s="399">
        <f>J$243</f>
        <v>123</v>
      </c>
      <c r="AA445" s="164">
        <f>J$244</f>
        <v>116</v>
      </c>
      <c r="AB445" s="134">
        <f t="shared" si="66"/>
        <v>1.1717171717171717</v>
      </c>
      <c r="AC445" s="409">
        <f t="shared" si="57"/>
        <v>836</v>
      </c>
      <c r="AD445" s="164">
        <f t="shared" si="67"/>
        <v>852</v>
      </c>
      <c r="AE445" s="386">
        <f t="shared" si="68"/>
        <v>1.0757575757575757</v>
      </c>
      <c r="AF445" s="131"/>
    </row>
    <row r="446" spans="1:32">
      <c r="A446" s="354" t="str">
        <f>$A$402</f>
        <v>2017-18</v>
      </c>
      <c r="B446" s="399">
        <f>B$221</f>
        <v>85</v>
      </c>
      <c r="C446" s="164">
        <f>B$222</f>
        <v>70</v>
      </c>
      <c r="D446" s="135">
        <f t="shared" si="58"/>
        <v>0.94594594594594594</v>
      </c>
      <c r="E446" s="399">
        <f>C$221</f>
        <v>81</v>
      </c>
      <c r="F446" s="164">
        <f>C$222</f>
        <v>90</v>
      </c>
      <c r="G446" s="135">
        <f t="shared" si="59"/>
        <v>1.0344827586206897</v>
      </c>
      <c r="H446" s="399">
        <f>D$221</f>
        <v>80</v>
      </c>
      <c r="I446" s="164">
        <f>D$222</f>
        <v>86</v>
      </c>
      <c r="J446" s="135">
        <f t="shared" si="60"/>
        <v>1.0617283950617284</v>
      </c>
      <c r="K446" s="399">
        <f>E$221</f>
        <v>108</v>
      </c>
      <c r="L446" s="164">
        <f>E$222</f>
        <v>92</v>
      </c>
      <c r="M446" s="135">
        <f t="shared" si="61"/>
        <v>0.96842105263157896</v>
      </c>
      <c r="N446" s="399">
        <f>F$221</f>
        <v>108</v>
      </c>
      <c r="O446" s="164">
        <f>F$222</f>
        <v>112</v>
      </c>
      <c r="P446" s="135">
        <f t="shared" si="62"/>
        <v>1.087378640776699</v>
      </c>
      <c r="Q446" s="399">
        <f>G$221</f>
        <v>87</v>
      </c>
      <c r="R446" s="164">
        <f>G$222</f>
        <v>98</v>
      </c>
      <c r="S446" s="135">
        <f t="shared" si="63"/>
        <v>1.0888888888888888</v>
      </c>
      <c r="T446" s="399">
        <f>H$221</f>
        <v>96</v>
      </c>
      <c r="U446" s="164">
        <f>H$222</f>
        <v>105</v>
      </c>
      <c r="V446" s="135">
        <f t="shared" si="64"/>
        <v>1.0294117647058822</v>
      </c>
      <c r="W446" s="399">
        <f>I$221</f>
        <v>72</v>
      </c>
      <c r="X446" s="164">
        <f>I$222</f>
        <v>71</v>
      </c>
      <c r="Y446" s="135">
        <f t="shared" si="65"/>
        <v>0.87654320987654322</v>
      </c>
      <c r="Z446" s="399">
        <f>J$221</f>
        <v>114</v>
      </c>
      <c r="AA446" s="164">
        <f>J$222</f>
        <v>137</v>
      </c>
      <c r="AB446" s="134">
        <f t="shared" si="66"/>
        <v>1.1138211382113821</v>
      </c>
      <c r="AC446" s="409">
        <f t="shared" si="57"/>
        <v>831</v>
      </c>
      <c r="AD446" s="164">
        <f t="shared" si="67"/>
        <v>861</v>
      </c>
      <c r="AE446" s="386">
        <f t="shared" si="68"/>
        <v>1.0299043062200957</v>
      </c>
      <c r="AF446" s="131"/>
    </row>
    <row r="447" spans="1:32">
      <c r="A447" s="354" t="str">
        <f>$A$403</f>
        <v>2018-19</v>
      </c>
      <c r="B447" s="399">
        <f>B$199</f>
        <v>91</v>
      </c>
      <c r="C447" s="164">
        <f>B$200</f>
        <v>90</v>
      </c>
      <c r="D447" s="135">
        <f t="shared" si="58"/>
        <v>1.0588235294117647</v>
      </c>
      <c r="E447" s="399">
        <f>C$199</f>
        <v>72</v>
      </c>
      <c r="F447" s="164">
        <f>C$200</f>
        <v>81</v>
      </c>
      <c r="G447" s="135">
        <f t="shared" si="59"/>
        <v>1</v>
      </c>
      <c r="H447" s="399">
        <f>D$199</f>
        <v>73</v>
      </c>
      <c r="I447" s="164">
        <f>D$200</f>
        <v>81</v>
      </c>
      <c r="J447" s="135">
        <f t="shared" si="60"/>
        <v>1.0125</v>
      </c>
      <c r="K447" s="399">
        <f>E$199</f>
        <v>88</v>
      </c>
      <c r="L447" s="164">
        <f>E$200</f>
        <v>102</v>
      </c>
      <c r="M447" s="135">
        <f t="shared" si="61"/>
        <v>0.94444444444444442</v>
      </c>
      <c r="N447" s="399">
        <f>F$199</f>
        <v>97</v>
      </c>
      <c r="O447" s="164">
        <f>F$200</f>
        <v>124</v>
      </c>
      <c r="P447" s="135">
        <f t="shared" si="62"/>
        <v>1.1481481481481481</v>
      </c>
      <c r="Q447" s="399">
        <f>G$199</f>
        <v>98</v>
      </c>
      <c r="R447" s="164">
        <f>G$200</f>
        <v>87</v>
      </c>
      <c r="S447" s="135">
        <f t="shared" si="63"/>
        <v>1</v>
      </c>
      <c r="T447" s="399">
        <f>H$199</f>
        <v>106</v>
      </c>
      <c r="U447" s="164">
        <f>H$200</f>
        <v>107</v>
      </c>
      <c r="V447" s="135">
        <f t="shared" si="64"/>
        <v>1.1145833333333333</v>
      </c>
      <c r="W447" s="399">
        <f>I$199</f>
        <v>59</v>
      </c>
      <c r="X447" s="164">
        <f>I$200</f>
        <v>73</v>
      </c>
      <c r="Y447" s="135">
        <f t="shared" si="65"/>
        <v>1.0138888888888888</v>
      </c>
      <c r="Z447" s="399">
        <f>J$199</f>
        <v>117</v>
      </c>
      <c r="AA447" s="164">
        <f>J$200</f>
        <v>130</v>
      </c>
      <c r="AB447" s="134">
        <f t="shared" si="66"/>
        <v>1.1403508771929824</v>
      </c>
      <c r="AC447" s="409">
        <f t="shared" si="57"/>
        <v>801</v>
      </c>
      <c r="AD447" s="164">
        <f t="shared" si="67"/>
        <v>875</v>
      </c>
      <c r="AE447" s="386">
        <f t="shared" si="68"/>
        <v>1.0529482551143201</v>
      </c>
      <c r="AF447" s="131"/>
    </row>
    <row r="448" spans="1:32">
      <c r="A448" s="354" t="str">
        <f>$A$404</f>
        <v>2019-20</v>
      </c>
      <c r="B448" s="399">
        <f>B$177</f>
        <v>131</v>
      </c>
      <c r="C448" s="164">
        <f>B$178</f>
        <v>105</v>
      </c>
      <c r="D448" s="135">
        <f t="shared" si="58"/>
        <v>1.1538461538461537</v>
      </c>
      <c r="E448" s="399">
        <f>C$177</f>
        <v>97</v>
      </c>
      <c r="F448" s="164">
        <f>C$178</f>
        <v>78</v>
      </c>
      <c r="G448" s="135">
        <f t="shared" si="59"/>
        <v>1.0833333333333333</v>
      </c>
      <c r="H448" s="399">
        <f>D$177</f>
        <v>85</v>
      </c>
      <c r="I448" s="164">
        <f>D$178</f>
        <v>68</v>
      </c>
      <c r="J448" s="135">
        <f t="shared" si="60"/>
        <v>0.93150684931506844</v>
      </c>
      <c r="K448" s="399">
        <f>E$177</f>
        <v>94</v>
      </c>
      <c r="L448" s="164">
        <f>E$178</f>
        <v>87</v>
      </c>
      <c r="M448" s="135">
        <f t="shared" si="61"/>
        <v>0.98863636363636365</v>
      </c>
      <c r="N448" s="399">
        <f>F$177</f>
        <v>94</v>
      </c>
      <c r="O448" s="164">
        <f>F$178</f>
        <v>113</v>
      </c>
      <c r="P448" s="135">
        <f t="shared" si="62"/>
        <v>1.1649484536082475</v>
      </c>
      <c r="Q448" s="399">
        <f>G$177</f>
        <v>104</v>
      </c>
      <c r="R448" s="164">
        <f>G$178</f>
        <v>98</v>
      </c>
      <c r="S448" s="135">
        <f t="shared" si="63"/>
        <v>1</v>
      </c>
      <c r="T448" s="399">
        <f>H$177</f>
        <v>98</v>
      </c>
      <c r="U448" s="164">
        <f>H$178</f>
        <v>103</v>
      </c>
      <c r="V448" s="135">
        <f t="shared" si="64"/>
        <v>0.97169811320754718</v>
      </c>
      <c r="W448" s="399">
        <f>I$177</f>
        <v>95</v>
      </c>
      <c r="X448" s="164">
        <f>I$178</f>
        <v>74</v>
      </c>
      <c r="Y448" s="135">
        <f t="shared" si="65"/>
        <v>1.2542372881355932</v>
      </c>
      <c r="Z448" s="399">
        <f>J$177</f>
        <v>111</v>
      </c>
      <c r="AA448" s="164">
        <f>J$178</f>
        <v>104</v>
      </c>
      <c r="AB448" s="134">
        <f t="shared" si="66"/>
        <v>0.88888888888888884</v>
      </c>
      <c r="AC448" s="409">
        <f t="shared" si="57"/>
        <v>909</v>
      </c>
      <c r="AD448" s="164">
        <f t="shared" si="67"/>
        <v>830</v>
      </c>
      <c r="AE448" s="386">
        <f t="shared" si="68"/>
        <v>1.0362047440699127</v>
      </c>
      <c r="AF448" s="131"/>
    </row>
    <row r="449" spans="1:34">
      <c r="A449" s="354" t="str">
        <f>$A$405</f>
        <v>2020-21</v>
      </c>
      <c r="B449" s="399">
        <f>B$155</f>
        <v>79</v>
      </c>
      <c r="C449" s="164">
        <f>B$156</f>
        <v>124</v>
      </c>
      <c r="D449" s="135">
        <f t="shared" si="58"/>
        <v>0.94656488549618323</v>
      </c>
      <c r="E449" s="399">
        <f>C$155</f>
        <v>77</v>
      </c>
      <c r="F449" s="164">
        <f>C$156</f>
        <v>95</v>
      </c>
      <c r="G449" s="135">
        <f t="shared" si="59"/>
        <v>0.97938144329896903</v>
      </c>
      <c r="H449" s="399">
        <f>D$155</f>
        <v>92</v>
      </c>
      <c r="I449" s="164">
        <f>D$156</f>
        <v>79</v>
      </c>
      <c r="J449" s="135">
        <f t="shared" si="60"/>
        <v>0.92941176470588238</v>
      </c>
      <c r="K449" s="399">
        <f>E$155</f>
        <v>84</v>
      </c>
      <c r="L449" s="164">
        <f>E$156</f>
        <v>100</v>
      </c>
      <c r="M449" s="135">
        <f t="shared" si="61"/>
        <v>1.0638297872340425</v>
      </c>
      <c r="N449" s="399">
        <f>F$155</f>
        <v>95</v>
      </c>
      <c r="O449" s="164">
        <f>F$156</f>
        <v>102</v>
      </c>
      <c r="P449" s="135">
        <f t="shared" si="62"/>
        <v>1.0851063829787233</v>
      </c>
      <c r="Q449" s="399">
        <f>G$155</f>
        <v>106</v>
      </c>
      <c r="R449" s="164">
        <f>G$156</f>
        <v>103</v>
      </c>
      <c r="S449" s="135">
        <f t="shared" si="63"/>
        <v>0.99038461538461542</v>
      </c>
      <c r="T449" s="399">
        <f>H$155</f>
        <v>103</v>
      </c>
      <c r="U449" s="164">
        <f>H$156</f>
        <v>106</v>
      </c>
      <c r="V449" s="135">
        <f t="shared" si="64"/>
        <v>1.0816326530612246</v>
      </c>
      <c r="W449" s="399">
        <f>I$155</f>
        <v>71</v>
      </c>
      <c r="X449" s="164">
        <f>I$156</f>
        <v>90</v>
      </c>
      <c r="Y449" s="135">
        <f t="shared" si="65"/>
        <v>0.94736842105263153</v>
      </c>
      <c r="Z449" s="399">
        <f>J$155</f>
        <v>99</v>
      </c>
      <c r="AA449" s="164">
        <f>J$156</f>
        <v>93</v>
      </c>
      <c r="AB449" s="134">
        <f t="shared" si="66"/>
        <v>0.83783783783783783</v>
      </c>
      <c r="AC449" s="409">
        <f t="shared" si="57"/>
        <v>806</v>
      </c>
      <c r="AD449" s="164">
        <f t="shared" si="67"/>
        <v>892</v>
      </c>
      <c r="AE449" s="386">
        <f t="shared" si="68"/>
        <v>0.98129812981298126</v>
      </c>
      <c r="AF449" s="131"/>
    </row>
    <row r="450" spans="1:34">
      <c r="A450" s="354" t="str">
        <f>$A$406</f>
        <v>2021-22</v>
      </c>
      <c r="B450" s="399">
        <f>$B$133</f>
        <v>107</v>
      </c>
      <c r="C450" s="164">
        <f>$B$134</f>
        <v>85</v>
      </c>
      <c r="D450" s="135">
        <f t="shared" si="58"/>
        <v>1.0759493670886076</v>
      </c>
      <c r="E450" s="399">
        <f>$C$133</f>
        <v>76</v>
      </c>
      <c r="F450" s="164">
        <f>$C$134</f>
        <v>80</v>
      </c>
      <c r="G450" s="135">
        <f t="shared" si="59"/>
        <v>1.0389610389610389</v>
      </c>
      <c r="H450" s="399">
        <f>$D$133</f>
        <v>90</v>
      </c>
      <c r="I450" s="164">
        <f>$D$134</f>
        <v>95</v>
      </c>
      <c r="J450" s="135">
        <f t="shared" si="60"/>
        <v>1.0326086956521738</v>
      </c>
      <c r="K450" s="399">
        <f>$E$133</f>
        <v>86</v>
      </c>
      <c r="L450" s="164">
        <f>$E$134</f>
        <v>75</v>
      </c>
      <c r="M450" s="135">
        <f t="shared" si="61"/>
        <v>0.8928571428571429</v>
      </c>
      <c r="N450" s="399">
        <f>$F$133</f>
        <v>114</v>
      </c>
      <c r="O450" s="164">
        <f>$F$134</f>
        <v>102</v>
      </c>
      <c r="P450" s="135">
        <f t="shared" si="62"/>
        <v>1.0736842105263158</v>
      </c>
      <c r="Q450" s="399">
        <f>$G$133</f>
        <v>104</v>
      </c>
      <c r="R450" s="164">
        <f>$G$134</f>
        <v>116</v>
      </c>
      <c r="S450" s="135">
        <f t="shared" si="63"/>
        <v>1.0943396226415094</v>
      </c>
      <c r="T450" s="399">
        <f>$H$133</f>
        <v>111</v>
      </c>
      <c r="U450" s="164">
        <f>$H$134</f>
        <v>99</v>
      </c>
      <c r="V450" s="135">
        <f t="shared" si="64"/>
        <v>0.96116504854368934</v>
      </c>
      <c r="W450" s="399">
        <f>$I$133</f>
        <v>82</v>
      </c>
      <c r="X450" s="164">
        <f>$I$134</f>
        <v>70</v>
      </c>
      <c r="Y450" s="135">
        <f t="shared" si="65"/>
        <v>0.9859154929577465</v>
      </c>
      <c r="Z450" s="399">
        <f>$J$133</f>
        <v>105</v>
      </c>
      <c r="AA450" s="164">
        <f>$J$134</f>
        <v>97</v>
      </c>
      <c r="AB450" s="134">
        <f t="shared" si="66"/>
        <v>0.97979797979797978</v>
      </c>
      <c r="AC450" s="409">
        <f t="shared" si="57"/>
        <v>875</v>
      </c>
      <c r="AD450" s="164">
        <f t="shared" si="67"/>
        <v>819</v>
      </c>
      <c r="AE450" s="386">
        <f t="shared" si="68"/>
        <v>1.0161290322580645</v>
      </c>
      <c r="AF450" s="131"/>
    </row>
    <row r="451" spans="1:34">
      <c r="A451" s="354" t="str">
        <f>$A$407</f>
        <v>2022-23</v>
      </c>
      <c r="B451" s="399">
        <f>B$111</f>
        <v>122</v>
      </c>
      <c r="C451" s="164">
        <f>B$112</f>
        <v>109</v>
      </c>
      <c r="D451" s="135">
        <f t="shared" si="58"/>
        <v>1.0186915887850467</v>
      </c>
      <c r="E451" s="399">
        <f>C$111</f>
        <v>81</v>
      </c>
      <c r="F451" s="164">
        <f>C$112</f>
        <v>81</v>
      </c>
      <c r="G451" s="135">
        <f t="shared" si="59"/>
        <v>1.0657894736842106</v>
      </c>
      <c r="H451" s="399">
        <f>D$111</f>
        <v>73</v>
      </c>
      <c r="I451" s="164">
        <f>D$112</f>
        <v>96</v>
      </c>
      <c r="J451" s="135">
        <f t="shared" si="60"/>
        <v>1.0666666666666667</v>
      </c>
      <c r="K451" s="399">
        <f>E$111</f>
        <v>99</v>
      </c>
      <c r="L451" s="164">
        <f>E$112</f>
        <v>91</v>
      </c>
      <c r="M451" s="135">
        <f t="shared" si="61"/>
        <v>1.058139534883721</v>
      </c>
      <c r="N451" s="399">
        <f>F$111</f>
        <v>97</v>
      </c>
      <c r="O451" s="164">
        <f>F$112</f>
        <v>114</v>
      </c>
      <c r="P451" s="135">
        <f t="shared" si="62"/>
        <v>1</v>
      </c>
      <c r="Q451" s="399">
        <f>G$111</f>
        <v>81</v>
      </c>
      <c r="R451" s="164">
        <f>G$112</f>
        <v>102</v>
      </c>
      <c r="S451" s="135">
        <f t="shared" si="63"/>
        <v>0.98076923076923073</v>
      </c>
      <c r="T451" s="399">
        <f>H$111</f>
        <v>87</v>
      </c>
      <c r="U451" s="164">
        <f>H$112</f>
        <v>115</v>
      </c>
      <c r="V451" s="135">
        <f t="shared" si="64"/>
        <v>1.0360360360360361</v>
      </c>
      <c r="W451" s="399">
        <f>I$111</f>
        <v>87</v>
      </c>
      <c r="X451" s="164">
        <f>I$112</f>
        <v>76</v>
      </c>
      <c r="Y451" s="135">
        <f t="shared" si="65"/>
        <v>0.92682926829268297</v>
      </c>
      <c r="Z451" s="399">
        <f>J$111</f>
        <v>93</v>
      </c>
      <c r="AA451" s="164">
        <f>J$112</f>
        <v>104</v>
      </c>
      <c r="AB451" s="134">
        <f t="shared" si="66"/>
        <v>0.99047619047619051</v>
      </c>
      <c r="AC451" s="409">
        <f t="shared" si="57"/>
        <v>820</v>
      </c>
      <c r="AD451" s="164">
        <f t="shared" si="67"/>
        <v>888</v>
      </c>
      <c r="AE451" s="386">
        <f t="shared" si="68"/>
        <v>1.0148571428571429</v>
      </c>
      <c r="AF451" s="131"/>
    </row>
    <row r="452" spans="1:34">
      <c r="A452" s="354" t="str">
        <f>$A$408</f>
        <v>2023-24</v>
      </c>
      <c r="B452" s="399">
        <f>B$89</f>
        <v>90</v>
      </c>
      <c r="C452" s="164">
        <f>B$90</f>
        <v>126</v>
      </c>
      <c r="D452" s="135">
        <f t="shared" si="58"/>
        <v>1.0327868852459017</v>
      </c>
      <c r="E452" s="399">
        <f>C$89</f>
        <v>77</v>
      </c>
      <c r="F452" s="164">
        <f>C$90</f>
        <v>78</v>
      </c>
      <c r="G452" s="135">
        <f t="shared" si="59"/>
        <v>0.96296296296296291</v>
      </c>
      <c r="H452" s="399">
        <f>D$89</f>
        <v>94</v>
      </c>
      <c r="I452" s="164">
        <f>D$90</f>
        <v>73</v>
      </c>
      <c r="J452" s="135">
        <f t="shared" si="60"/>
        <v>1</v>
      </c>
      <c r="K452" s="399">
        <f>E$89</f>
        <v>75</v>
      </c>
      <c r="L452" s="164">
        <f>E$90</f>
        <v>102</v>
      </c>
      <c r="M452" s="135">
        <f t="shared" si="61"/>
        <v>1.0303030303030303</v>
      </c>
      <c r="N452" s="399">
        <f>F$89</f>
        <v>102</v>
      </c>
      <c r="O452" s="164">
        <f>F$90</f>
        <v>97</v>
      </c>
      <c r="P452" s="135">
        <f t="shared" si="62"/>
        <v>1</v>
      </c>
      <c r="Q452" s="399">
        <f>G$89</f>
        <v>101</v>
      </c>
      <c r="R452" s="164">
        <f>G$90</f>
        <v>81</v>
      </c>
      <c r="S452" s="135">
        <f t="shared" si="63"/>
        <v>1</v>
      </c>
      <c r="T452" s="399">
        <f>H$89</f>
        <v>111</v>
      </c>
      <c r="U452" s="164">
        <f>H$90</f>
        <v>92</v>
      </c>
      <c r="V452" s="135">
        <f t="shared" si="64"/>
        <v>1.0574712643678161</v>
      </c>
      <c r="W452" s="399">
        <f>I$89</f>
        <v>76</v>
      </c>
      <c r="X452" s="164">
        <f>I$90</f>
        <v>91</v>
      </c>
      <c r="Y452" s="135">
        <f t="shared" si="65"/>
        <v>1.0459770114942528</v>
      </c>
      <c r="Z452" s="399">
        <f>J$89</f>
        <v>101</v>
      </c>
      <c r="AA452" s="164">
        <f>J$90</f>
        <v>97</v>
      </c>
      <c r="AB452" s="134">
        <f t="shared" si="66"/>
        <v>1.043010752688172</v>
      </c>
      <c r="AC452" s="409">
        <f t="shared" si="57"/>
        <v>827</v>
      </c>
      <c r="AD452" s="164">
        <f t="shared" si="67"/>
        <v>837</v>
      </c>
      <c r="AE452" s="386">
        <f t="shared" si="68"/>
        <v>1.0207317073170732</v>
      </c>
      <c r="AF452" s="131"/>
    </row>
    <row r="453" spans="1:34">
      <c r="A453" s="354" t="str">
        <f>$A$409</f>
        <v>2024-25</v>
      </c>
      <c r="B453" s="399">
        <f>B$67</f>
        <v>99</v>
      </c>
      <c r="C453" s="164">
        <f>B$68</f>
        <v>94</v>
      </c>
      <c r="D453" s="135">
        <f t="shared" si="58"/>
        <v>1.0444444444444445</v>
      </c>
      <c r="E453" s="399">
        <f>C$67</f>
        <v>73</v>
      </c>
      <c r="F453" s="164">
        <f>C$68</f>
        <v>78</v>
      </c>
      <c r="G453" s="135">
        <f t="shared" si="59"/>
        <v>1.0129870129870129</v>
      </c>
      <c r="H453" s="399">
        <f>D$67</f>
        <v>90</v>
      </c>
      <c r="I453" s="164">
        <f>D$68</f>
        <v>91</v>
      </c>
      <c r="J453" s="135">
        <f t="shared" si="60"/>
        <v>0.96808510638297873</v>
      </c>
      <c r="K453" s="399">
        <f>E$67</f>
        <v>94</v>
      </c>
      <c r="L453" s="164">
        <f>E$68</f>
        <v>81</v>
      </c>
      <c r="M453" s="135">
        <f t="shared" si="61"/>
        <v>1.08</v>
      </c>
      <c r="N453" s="399">
        <f>F$67</f>
        <v>99</v>
      </c>
      <c r="O453" s="164">
        <f>F$68</f>
        <v>109</v>
      </c>
      <c r="P453" s="135">
        <f t="shared" si="62"/>
        <v>1.0686274509803921</v>
      </c>
      <c r="Q453" s="399">
        <f>G$67</f>
        <v>78</v>
      </c>
      <c r="R453" s="164">
        <f>G$68</f>
        <v>99</v>
      </c>
      <c r="S453" s="135">
        <f t="shared" si="63"/>
        <v>0.98019801980198018</v>
      </c>
      <c r="T453" s="399">
        <f>H$67</f>
        <v>95</v>
      </c>
      <c r="U453" s="164">
        <f>H$68</f>
        <v>119</v>
      </c>
      <c r="V453" s="135">
        <f t="shared" si="64"/>
        <v>1.072072072072072</v>
      </c>
      <c r="W453" s="399">
        <f>I$67</f>
        <v>65</v>
      </c>
      <c r="X453" s="164">
        <f>I$68</f>
        <v>75</v>
      </c>
      <c r="Y453" s="135">
        <f t="shared" si="65"/>
        <v>0.98684210526315785</v>
      </c>
      <c r="Z453" s="399">
        <f>J$67</f>
        <v>91</v>
      </c>
      <c r="AA453" s="164">
        <f>J$68</f>
        <v>104</v>
      </c>
      <c r="AB453" s="134">
        <f t="shared" si="66"/>
        <v>1.0297029702970297</v>
      </c>
      <c r="AC453" s="409">
        <f t="shared" si="57"/>
        <v>784</v>
      </c>
      <c r="AD453" s="164">
        <f t="shared" si="67"/>
        <v>850</v>
      </c>
      <c r="AE453" s="386">
        <f t="shared" si="68"/>
        <v>1.0278113663845223</v>
      </c>
      <c r="AF453" s="131"/>
    </row>
    <row r="454" spans="1:34" ht="13.8" thickBot="1">
      <c r="A454" s="372" t="str">
        <f>$A$410</f>
        <v>2025-26</v>
      </c>
      <c r="B454" s="407">
        <f>B15</f>
        <v>84</v>
      </c>
      <c r="C454" s="168">
        <f>B16</f>
        <v>103</v>
      </c>
      <c r="D454" s="195">
        <f>C454/B453</f>
        <v>1.0404040404040404</v>
      </c>
      <c r="E454" s="407">
        <f>C15</f>
        <v>69</v>
      </c>
      <c r="F454" s="168">
        <f>C16</f>
        <v>72</v>
      </c>
      <c r="G454" s="195">
        <f>F454/E453</f>
        <v>0.98630136986301364</v>
      </c>
      <c r="H454" s="407">
        <f>D15</f>
        <v>87</v>
      </c>
      <c r="I454" s="168">
        <f>D16</f>
        <v>95</v>
      </c>
      <c r="J454" s="195">
        <f>I454/H453</f>
        <v>1.0555555555555556</v>
      </c>
      <c r="K454" s="407">
        <f>E15</f>
        <v>75</v>
      </c>
      <c r="L454" s="168">
        <f>E16</f>
        <v>93</v>
      </c>
      <c r="M454" s="195">
        <f>L454/K453</f>
        <v>0.98936170212765961</v>
      </c>
      <c r="N454" s="407">
        <f>F15</f>
        <v>86</v>
      </c>
      <c r="O454" s="168">
        <f>F16</f>
        <v>103</v>
      </c>
      <c r="P454" s="195">
        <f>O454/N453</f>
        <v>1.0404040404040404</v>
      </c>
      <c r="Q454" s="407">
        <f>G15</f>
        <v>88</v>
      </c>
      <c r="R454" s="168">
        <f>G16</f>
        <v>80</v>
      </c>
      <c r="S454" s="195">
        <f>R454/Q453</f>
        <v>1.0256410256410255</v>
      </c>
      <c r="T454" s="407">
        <f>H15</f>
        <v>90</v>
      </c>
      <c r="U454" s="168">
        <f>H16</f>
        <v>97</v>
      </c>
      <c r="V454" s="195">
        <f>U454/T453</f>
        <v>1.0210526315789474</v>
      </c>
      <c r="W454" s="407">
        <f>I15</f>
        <v>72</v>
      </c>
      <c r="X454" s="168">
        <f>I16</f>
        <v>68</v>
      </c>
      <c r="Y454" s="195">
        <f>X454/W453</f>
        <v>1.0461538461538462</v>
      </c>
      <c r="Z454" s="407">
        <f>J15</f>
        <v>84</v>
      </c>
      <c r="AA454" s="168">
        <f>J16</f>
        <v>96</v>
      </c>
      <c r="AB454" s="170">
        <f>AA454/Z453</f>
        <v>1.054945054945055</v>
      </c>
      <c r="AC454" s="412">
        <f t="shared" si="57"/>
        <v>735</v>
      </c>
      <c r="AD454" s="168">
        <f t="shared" si="67"/>
        <v>807</v>
      </c>
      <c r="AE454" s="388">
        <f t="shared" si="68"/>
        <v>1.0293367346938775</v>
      </c>
      <c r="AF454" s="131"/>
    </row>
    <row r="455" spans="1:34" ht="13.8" thickTop="1">
      <c r="A455" s="404"/>
      <c r="B455" s="399"/>
      <c r="C455" s="164"/>
      <c r="D455" s="406"/>
      <c r="E455" s="399"/>
      <c r="F455" s="164"/>
      <c r="G455" s="393"/>
      <c r="H455" s="399"/>
      <c r="I455" s="164"/>
      <c r="J455" s="393"/>
      <c r="K455" s="399"/>
      <c r="L455" s="164"/>
      <c r="M455" s="393"/>
      <c r="N455" s="399"/>
      <c r="O455" s="164"/>
      <c r="P455" s="393"/>
      <c r="Q455" s="399"/>
      <c r="R455" s="164"/>
      <c r="S455" s="393"/>
      <c r="T455" s="399"/>
      <c r="U455" s="164"/>
      <c r="V455" s="393"/>
      <c r="W455" s="399"/>
      <c r="X455" s="164"/>
      <c r="Y455" s="393"/>
      <c r="Z455" s="399"/>
      <c r="AA455" s="164"/>
      <c r="AB455" s="164"/>
      <c r="AC455" s="409"/>
      <c r="AD455" s="164"/>
      <c r="AE455" s="410"/>
      <c r="AF455" s="131"/>
    </row>
    <row r="456" spans="1:34">
      <c r="A456" s="354" t="s">
        <v>80</v>
      </c>
      <c r="B456" s="401">
        <f>SUM(B451:B453)</f>
        <v>311</v>
      </c>
      <c r="C456" s="169">
        <f>SUM(C452:C454)</f>
        <v>323</v>
      </c>
      <c r="D456" s="395">
        <f>C456/B456</f>
        <v>1.0385852090032155</v>
      </c>
      <c r="E456" s="401">
        <f>SUM(E451:E453)</f>
        <v>231</v>
      </c>
      <c r="F456" s="169">
        <f>SUM(F452:F454)</f>
        <v>228</v>
      </c>
      <c r="G456" s="395">
        <f>F456/E456</f>
        <v>0.98701298701298701</v>
      </c>
      <c r="H456" s="401">
        <f>SUM(H451:H453)</f>
        <v>257</v>
      </c>
      <c r="I456" s="169">
        <f>SUM(I452:I454)</f>
        <v>259</v>
      </c>
      <c r="J456" s="395">
        <f>I456/H456</f>
        <v>1.0077821011673151</v>
      </c>
      <c r="K456" s="401">
        <f>SUM(K451:K453)</f>
        <v>268</v>
      </c>
      <c r="L456" s="169">
        <f>SUM(L452:L454)</f>
        <v>276</v>
      </c>
      <c r="M456" s="395">
        <f>L456/K456</f>
        <v>1.0298507462686568</v>
      </c>
      <c r="N456" s="401">
        <f>SUM(N451:N453)</f>
        <v>298</v>
      </c>
      <c r="O456" s="169">
        <f>SUM(O452:O454)</f>
        <v>309</v>
      </c>
      <c r="P456" s="395">
        <f>O456/N456</f>
        <v>1.0369127516778522</v>
      </c>
      <c r="Q456" s="401">
        <f>SUM(Q451:Q453)</f>
        <v>260</v>
      </c>
      <c r="R456" s="169">
        <f>SUM(R452:R454)</f>
        <v>260</v>
      </c>
      <c r="S456" s="395">
        <f>R456/Q456</f>
        <v>1</v>
      </c>
      <c r="T456" s="401">
        <f>SUM(T451:T453)</f>
        <v>293</v>
      </c>
      <c r="U456" s="169">
        <f>SUM(U452:U454)</f>
        <v>308</v>
      </c>
      <c r="V456" s="395">
        <f>U456/T456</f>
        <v>1.0511945392491469</v>
      </c>
      <c r="W456" s="401">
        <f>SUM(W451:W453)</f>
        <v>228</v>
      </c>
      <c r="X456" s="169">
        <f>SUM(X452:X454)</f>
        <v>234</v>
      </c>
      <c r="Y456" s="395">
        <f>X456/W456</f>
        <v>1.0263157894736843</v>
      </c>
      <c r="Z456" s="401">
        <f>SUM(Z451:Z453)</f>
        <v>285</v>
      </c>
      <c r="AA456" s="169">
        <f>SUM(AA452:AA454)</f>
        <v>297</v>
      </c>
      <c r="AB456" s="378">
        <f>AA456/Z456</f>
        <v>1.0421052631578946</v>
      </c>
      <c r="AC456" s="413">
        <f>SUM(AC451:AC453)</f>
        <v>2431</v>
      </c>
      <c r="AD456" s="164">
        <f>SUM(AD452:AD454)</f>
        <v>2494</v>
      </c>
      <c r="AE456" s="411">
        <f>AD456/AC456</f>
        <v>1.0259152612093789</v>
      </c>
      <c r="AF456" s="131"/>
    </row>
    <row r="457" spans="1:34">
      <c r="A457" s="354" t="s">
        <v>73</v>
      </c>
      <c r="B457" s="401">
        <f>SUM(B449:B453)</f>
        <v>497</v>
      </c>
      <c r="C457" s="169">
        <f>SUM(C450:C454)</f>
        <v>517</v>
      </c>
      <c r="D457" s="135">
        <f>C457/B457</f>
        <v>1.040241448692153</v>
      </c>
      <c r="E457" s="401">
        <f>SUM(E449:E453)</f>
        <v>384</v>
      </c>
      <c r="F457" s="169">
        <f>SUM(F450:F454)</f>
        <v>389</v>
      </c>
      <c r="G457" s="135">
        <f>F457/E457</f>
        <v>1.0130208333333333</v>
      </c>
      <c r="H457" s="401">
        <f>SUM(H449:H453)</f>
        <v>439</v>
      </c>
      <c r="I457" s="169">
        <f>SUM(I450:I454)</f>
        <v>450</v>
      </c>
      <c r="J457" s="135">
        <f>I457/H457</f>
        <v>1.0250569476082005</v>
      </c>
      <c r="K457" s="401">
        <f>SUM(K449:K453)</f>
        <v>438</v>
      </c>
      <c r="L457" s="169">
        <f>SUM(L450:L454)</f>
        <v>442</v>
      </c>
      <c r="M457" s="135">
        <f>L457/K457</f>
        <v>1.0091324200913243</v>
      </c>
      <c r="N457" s="401">
        <f>SUM(N449:N453)</f>
        <v>507</v>
      </c>
      <c r="O457" s="169">
        <f>SUM(O450:O454)</f>
        <v>525</v>
      </c>
      <c r="P457" s="135">
        <f>O457/N457</f>
        <v>1.0355029585798816</v>
      </c>
      <c r="Q457" s="401">
        <f>SUM(Q449:Q453)</f>
        <v>470</v>
      </c>
      <c r="R457" s="169">
        <f>SUM(R450:R454)</f>
        <v>478</v>
      </c>
      <c r="S457" s="135">
        <f>R457/Q457</f>
        <v>1.0170212765957447</v>
      </c>
      <c r="T457" s="401">
        <f>SUM(T449:T453)</f>
        <v>507</v>
      </c>
      <c r="U457" s="169">
        <f>SUM(U450:U454)</f>
        <v>522</v>
      </c>
      <c r="V457" s="135">
        <f>U457/T457</f>
        <v>1.029585798816568</v>
      </c>
      <c r="W457" s="401">
        <f>SUM(W449:W453)</f>
        <v>381</v>
      </c>
      <c r="X457" s="169">
        <f>SUM(X450:X454)</f>
        <v>380</v>
      </c>
      <c r="Y457" s="135">
        <f>X457/W457</f>
        <v>0.99737532808398954</v>
      </c>
      <c r="Z457" s="401">
        <f>SUM(Z449:Z453)</f>
        <v>489</v>
      </c>
      <c r="AA457" s="169">
        <f>SUM(AA450:AA454)</f>
        <v>498</v>
      </c>
      <c r="AB457" s="134">
        <f>AA457/Z457</f>
        <v>1.01840490797546</v>
      </c>
      <c r="AC457" s="413">
        <f>SUM(AC449:AC453)</f>
        <v>4112</v>
      </c>
      <c r="AD457" s="164">
        <f>SUM(AD450:AD454)</f>
        <v>4201</v>
      </c>
      <c r="AE457" s="386">
        <f>AD457/AC457</f>
        <v>1.0216439688715953</v>
      </c>
      <c r="AF457" s="131"/>
    </row>
    <row r="458" spans="1:34" ht="13.8" thickBot="1">
      <c r="A458" s="356" t="s">
        <v>74</v>
      </c>
      <c r="B458" s="402">
        <f>SUM(B444:B453)</f>
        <v>963</v>
      </c>
      <c r="C458" s="396">
        <f>SUM(C445:C454)</f>
        <v>996</v>
      </c>
      <c r="D458" s="361">
        <f>C458/B458</f>
        <v>1.0342679127725856</v>
      </c>
      <c r="E458" s="402">
        <f>SUM(E444:E453)</f>
        <v>783</v>
      </c>
      <c r="F458" s="396">
        <f>SUM(F445:F454)</f>
        <v>802</v>
      </c>
      <c r="G458" s="361">
        <f>F458/E458</f>
        <v>1.0242656449553</v>
      </c>
      <c r="H458" s="402">
        <f>SUM(H444:H453)</f>
        <v>844</v>
      </c>
      <c r="I458" s="396">
        <f>SUM(I445:I454)</f>
        <v>857</v>
      </c>
      <c r="J458" s="361">
        <f>I458/H458</f>
        <v>1.0154028436018958</v>
      </c>
      <c r="K458" s="402">
        <f>SUM(K444:K453)</f>
        <v>910</v>
      </c>
      <c r="L458" s="396">
        <f>SUM(L445:L454)</f>
        <v>903</v>
      </c>
      <c r="M458" s="361">
        <f>L458/K458</f>
        <v>0.99230769230769234</v>
      </c>
      <c r="N458" s="402">
        <f>SUM(N444:N453)</f>
        <v>1009</v>
      </c>
      <c r="O458" s="396">
        <f>SUM(O445:O454)</f>
        <v>1080</v>
      </c>
      <c r="P458" s="361">
        <f>O458/N458</f>
        <v>1.0703666997026759</v>
      </c>
      <c r="Q458" s="402">
        <f>SUM(Q444:Q453)</f>
        <v>944</v>
      </c>
      <c r="R458" s="396">
        <f>SUM(R445:R454)</f>
        <v>971</v>
      </c>
      <c r="S458" s="361">
        <f>R458/Q458</f>
        <v>1.0286016949152543</v>
      </c>
      <c r="T458" s="402">
        <f>SUM(T444:T453)</f>
        <v>997</v>
      </c>
      <c r="U458" s="396">
        <f>SUM(U445:U454)</f>
        <v>1044</v>
      </c>
      <c r="V458" s="361">
        <f>U458/T458</f>
        <v>1.0471414242728185</v>
      </c>
      <c r="W458" s="402">
        <f>SUM(W444:W453)</f>
        <v>778</v>
      </c>
      <c r="X458" s="396">
        <f>SUM(X445:X454)</f>
        <v>780</v>
      </c>
      <c r="Y458" s="361">
        <f>X458/W458</f>
        <v>1.0025706940874035</v>
      </c>
      <c r="Z458" s="402">
        <f>SUM(Z444:Z453)</f>
        <v>1053</v>
      </c>
      <c r="AA458" s="396">
        <f>SUM(AA445:AA454)</f>
        <v>1078</v>
      </c>
      <c r="AB458" s="365">
        <f>AA458/Z458</f>
        <v>1.0237416904083572</v>
      </c>
      <c r="AC458" s="414">
        <f>SUM(AC444:AC453)</f>
        <v>8281</v>
      </c>
      <c r="AD458" s="416">
        <f>SUM(AD445:AD454)</f>
        <v>8511</v>
      </c>
      <c r="AE458" s="390">
        <f>AD458/AC458</f>
        <v>1.0277744233788191</v>
      </c>
    </row>
    <row r="459" spans="1:34">
      <c r="A459" s="131"/>
      <c r="B459" s="131"/>
      <c r="C459" s="131"/>
      <c r="D459" s="131"/>
      <c r="E459" s="131"/>
      <c r="F459" s="131"/>
      <c r="G459" s="131"/>
      <c r="H459" s="131"/>
      <c r="I459" s="166"/>
      <c r="J459" s="166"/>
      <c r="K459" s="131"/>
      <c r="L459" s="131"/>
      <c r="M459" s="131"/>
      <c r="N459" s="131"/>
      <c r="O459" s="131"/>
      <c r="P459" s="131"/>
      <c r="Q459" s="131"/>
      <c r="R459" s="131"/>
      <c r="S459" s="131"/>
      <c r="T459" s="131"/>
      <c r="U459" s="131"/>
      <c r="V459" s="131"/>
      <c r="W459" s="131"/>
      <c r="X459" s="131"/>
      <c r="Y459" s="82"/>
      <c r="Z459" s="82"/>
      <c r="AA459" s="82"/>
      <c r="AB459" s="82"/>
      <c r="AC459" s="131"/>
    </row>
    <row r="460" spans="1:34" ht="17.399999999999999">
      <c r="A460" s="130" t="s">
        <v>395</v>
      </c>
      <c r="B460" s="130"/>
      <c r="C460" s="130"/>
      <c r="D460" s="131"/>
      <c r="E460" s="131"/>
      <c r="F460" s="131"/>
      <c r="G460" s="131"/>
      <c r="H460" s="131"/>
      <c r="I460" s="131"/>
      <c r="J460" s="131"/>
      <c r="K460" s="131"/>
      <c r="L460" s="131"/>
      <c r="M460" s="131"/>
      <c r="N460" s="131"/>
      <c r="O460" s="131"/>
      <c r="P460" s="131"/>
      <c r="Q460" s="131"/>
      <c r="R460" s="131"/>
      <c r="S460" s="131"/>
      <c r="T460" s="131"/>
      <c r="U460" s="131"/>
      <c r="V460" s="131"/>
      <c r="W460" s="131"/>
      <c r="X460" s="131"/>
      <c r="Y460" s="131"/>
      <c r="Z460" s="131"/>
      <c r="AA460" s="131"/>
      <c r="AB460" s="131"/>
      <c r="AC460" s="131"/>
      <c r="AD460" s="131"/>
      <c r="AE460" s="131"/>
    </row>
    <row r="461" spans="1:34" ht="17.399999999999999">
      <c r="A461" s="130" t="s">
        <v>65</v>
      </c>
      <c r="B461" s="131"/>
      <c r="C461" s="131"/>
      <c r="D461" s="131"/>
      <c r="E461" s="131"/>
      <c r="F461" s="131"/>
      <c r="G461" s="130"/>
      <c r="H461" s="131"/>
      <c r="I461" s="131"/>
      <c r="J461" s="131"/>
      <c r="K461" s="131"/>
      <c r="L461" s="131"/>
      <c r="M461" s="131"/>
      <c r="N461" s="131"/>
      <c r="O461" s="131"/>
      <c r="P461" s="131"/>
      <c r="Q461" s="131"/>
      <c r="R461" s="131"/>
      <c r="S461" s="131"/>
      <c r="T461" s="131"/>
      <c r="U461" s="131"/>
      <c r="V461" s="131"/>
      <c r="W461" s="131"/>
      <c r="X461" s="131"/>
      <c r="Y461" s="131"/>
      <c r="Z461" s="131"/>
      <c r="AA461" s="131"/>
      <c r="AB461" s="131"/>
      <c r="AC461" s="131"/>
      <c r="AD461" s="131"/>
      <c r="AE461" s="131"/>
    </row>
    <row r="462" spans="1:34" ht="13.8" thickBot="1">
      <c r="A462" s="131"/>
      <c r="B462" s="131"/>
      <c r="C462" s="131"/>
      <c r="D462" s="131"/>
      <c r="E462" s="131"/>
      <c r="F462" s="131"/>
      <c r="G462" s="131"/>
      <c r="H462" s="131"/>
      <c r="I462" s="131"/>
      <c r="J462" s="131"/>
      <c r="K462" s="131"/>
      <c r="L462" s="131"/>
      <c r="M462" s="131"/>
      <c r="N462" s="131"/>
      <c r="O462" s="131"/>
      <c r="P462" s="131"/>
      <c r="Q462" s="131"/>
      <c r="R462" s="131"/>
      <c r="S462" s="131"/>
      <c r="T462" s="131"/>
      <c r="U462" s="131"/>
      <c r="V462" s="131"/>
      <c r="W462" s="131"/>
      <c r="X462" s="131"/>
      <c r="Y462" s="131"/>
      <c r="Z462" s="131"/>
      <c r="AA462" s="131"/>
      <c r="AB462" s="131"/>
      <c r="AC462" s="131"/>
      <c r="AF462" s="131" t="s">
        <v>40</v>
      </c>
    </row>
    <row r="463" spans="1:34">
      <c r="A463" s="353" t="s">
        <v>66</v>
      </c>
      <c r="B463" s="787" t="s">
        <v>67</v>
      </c>
      <c r="C463" s="788"/>
      <c r="D463" s="789"/>
      <c r="E463" s="787" t="s">
        <v>68</v>
      </c>
      <c r="F463" s="788"/>
      <c r="G463" s="789"/>
      <c r="H463" s="787" t="s">
        <v>272</v>
      </c>
      <c r="I463" s="788"/>
      <c r="J463" s="789"/>
      <c r="K463" s="787" t="s">
        <v>69</v>
      </c>
      <c r="L463" s="788"/>
      <c r="M463" s="789"/>
      <c r="N463" s="787" t="s">
        <v>273</v>
      </c>
      <c r="O463" s="788"/>
      <c r="P463" s="789"/>
      <c r="Q463" s="787" t="s">
        <v>371</v>
      </c>
      <c r="R463" s="788"/>
      <c r="S463" s="789"/>
      <c r="T463" s="787" t="s">
        <v>372</v>
      </c>
      <c r="U463" s="788"/>
      <c r="V463" s="789"/>
      <c r="W463" s="787" t="s">
        <v>70</v>
      </c>
      <c r="X463" s="788"/>
      <c r="Y463" s="789"/>
      <c r="Z463" s="787" t="s">
        <v>407</v>
      </c>
      <c r="AA463" s="788"/>
      <c r="AB463" s="788"/>
      <c r="AC463" s="794" t="s">
        <v>52</v>
      </c>
      <c r="AD463" s="795"/>
      <c r="AE463" s="796"/>
      <c r="AF463" s="167"/>
      <c r="AG463" s="89"/>
      <c r="AH463" s="89"/>
    </row>
    <row r="464" spans="1:34" ht="13.8" thickBot="1">
      <c r="A464" s="366"/>
      <c r="B464" s="367" t="s">
        <v>398</v>
      </c>
      <c r="C464" s="368" t="s">
        <v>399</v>
      </c>
      <c r="D464" s="405" t="s">
        <v>79</v>
      </c>
      <c r="E464" s="367" t="s">
        <v>398</v>
      </c>
      <c r="F464" s="368" t="s">
        <v>399</v>
      </c>
      <c r="G464" s="398" t="s">
        <v>71</v>
      </c>
      <c r="H464" s="367" t="s">
        <v>398</v>
      </c>
      <c r="I464" s="368" t="s">
        <v>399</v>
      </c>
      <c r="J464" s="398" t="s">
        <v>71</v>
      </c>
      <c r="K464" s="367" t="s">
        <v>398</v>
      </c>
      <c r="L464" s="368" t="s">
        <v>399</v>
      </c>
      <c r="M464" s="398" t="s">
        <v>71</v>
      </c>
      <c r="N464" s="367" t="s">
        <v>398</v>
      </c>
      <c r="O464" s="368" t="s">
        <v>399</v>
      </c>
      <c r="P464" s="398" t="s">
        <v>71</v>
      </c>
      <c r="Q464" s="367" t="s">
        <v>398</v>
      </c>
      <c r="R464" s="368" t="s">
        <v>399</v>
      </c>
      <c r="S464" s="398" t="s">
        <v>71</v>
      </c>
      <c r="T464" s="367" t="s">
        <v>398</v>
      </c>
      <c r="U464" s="368" t="s">
        <v>399</v>
      </c>
      <c r="V464" s="398" t="s">
        <v>71</v>
      </c>
      <c r="W464" s="367" t="s">
        <v>398</v>
      </c>
      <c r="X464" s="368" t="s">
        <v>399</v>
      </c>
      <c r="Y464" s="398" t="s">
        <v>71</v>
      </c>
      <c r="Z464" s="367" t="s">
        <v>398</v>
      </c>
      <c r="AA464" s="368" t="s">
        <v>399</v>
      </c>
      <c r="AB464" s="343" t="s">
        <v>71</v>
      </c>
      <c r="AC464" s="368" t="s">
        <v>398</v>
      </c>
      <c r="AD464" s="368" t="s">
        <v>399</v>
      </c>
      <c r="AE464" s="408" t="s">
        <v>71</v>
      </c>
      <c r="AF464" s="131"/>
    </row>
    <row r="465" spans="1:32" ht="13.8" thickTop="1">
      <c r="A465" s="404"/>
      <c r="B465" s="399"/>
      <c r="C465" s="164"/>
      <c r="D465" s="393"/>
      <c r="E465" s="399"/>
      <c r="F465" s="164"/>
      <c r="G465" s="393"/>
      <c r="H465" s="399"/>
      <c r="I465" s="164"/>
      <c r="J465" s="393"/>
      <c r="K465" s="399"/>
      <c r="L465" s="164"/>
      <c r="M465" s="393"/>
      <c r="N465" s="399"/>
      <c r="O465" s="164"/>
      <c r="P465" s="393"/>
      <c r="Q465" s="399"/>
      <c r="R465" s="164"/>
      <c r="S465" s="393"/>
      <c r="T465" s="399"/>
      <c r="U465" s="164"/>
      <c r="V465" s="393"/>
      <c r="W465" s="399"/>
      <c r="X465" s="164"/>
      <c r="Y465" s="393"/>
      <c r="Z465" s="399"/>
      <c r="AA465" s="164"/>
      <c r="AB465" s="164"/>
      <c r="AC465" s="164"/>
      <c r="AD465" s="164"/>
      <c r="AE465" s="410"/>
      <c r="AF465" s="131"/>
    </row>
    <row r="466" spans="1:32">
      <c r="A466" s="354" t="str">
        <f>$A$396</f>
        <v>2011-12</v>
      </c>
      <c r="B466" s="399">
        <f>B$354</f>
        <v>73</v>
      </c>
      <c r="C466" s="164"/>
      <c r="D466" s="393"/>
      <c r="E466" s="399">
        <f>C$354</f>
        <v>77</v>
      </c>
      <c r="F466" s="164"/>
      <c r="G466" s="395"/>
      <c r="H466" s="399">
        <f>D$354</f>
        <v>80</v>
      </c>
      <c r="I466" s="164"/>
      <c r="J466" s="395"/>
      <c r="K466" s="399">
        <f>E$354</f>
        <v>105</v>
      </c>
      <c r="L466" s="164"/>
      <c r="M466" s="395"/>
      <c r="N466" s="399">
        <f>F$354</f>
        <v>117</v>
      </c>
      <c r="O466" s="164"/>
      <c r="P466" s="395"/>
      <c r="Q466" s="399">
        <f>G$354</f>
        <v>102</v>
      </c>
      <c r="R466" s="164"/>
      <c r="S466" s="395"/>
      <c r="T466" s="399">
        <f>H$354</f>
        <v>100</v>
      </c>
      <c r="U466" s="164"/>
      <c r="V466" s="395"/>
      <c r="W466" s="399">
        <f>I$354</f>
        <v>94</v>
      </c>
      <c r="X466" s="164"/>
      <c r="Y466" s="395"/>
      <c r="Z466" s="399">
        <f>J$354</f>
        <v>107</v>
      </c>
      <c r="AA466" s="164"/>
      <c r="AB466" s="378"/>
      <c r="AC466" s="409">
        <f>Z466+W466+T466+Q466+N466+K466+H466+E466+B466</f>
        <v>855</v>
      </c>
      <c r="AD466" s="164"/>
      <c r="AE466" s="411"/>
      <c r="AF466" s="131"/>
    </row>
    <row r="467" spans="1:32">
      <c r="A467" s="354" t="str">
        <f>$A$397</f>
        <v>2012-13</v>
      </c>
      <c r="B467" s="399">
        <f>B$332</f>
        <v>73</v>
      </c>
      <c r="C467" s="164">
        <f>B$333</f>
        <v>108</v>
      </c>
      <c r="D467" s="135">
        <f>C467/B466</f>
        <v>1.4794520547945205</v>
      </c>
      <c r="E467" s="399">
        <f>C$332</f>
        <v>77</v>
      </c>
      <c r="F467" s="164">
        <f>C$333</f>
        <v>84</v>
      </c>
      <c r="G467" s="135">
        <f>F467/E466</f>
        <v>1.0909090909090908</v>
      </c>
      <c r="H467" s="399">
        <f>D$332</f>
        <v>80</v>
      </c>
      <c r="I467" s="164">
        <f>D$333</f>
        <v>78</v>
      </c>
      <c r="J467" s="135">
        <f>I467/H466</f>
        <v>0.97499999999999998</v>
      </c>
      <c r="K467" s="399">
        <f>E$332</f>
        <v>104</v>
      </c>
      <c r="L467" s="164">
        <f>E$333</f>
        <v>91</v>
      </c>
      <c r="M467" s="135">
        <f>L467/K466</f>
        <v>0.8666666666666667</v>
      </c>
      <c r="N467" s="399">
        <f>F$332</f>
        <v>116</v>
      </c>
      <c r="O467" s="164">
        <f>F$333</f>
        <v>122</v>
      </c>
      <c r="P467" s="135">
        <f>O467/N466</f>
        <v>1.0427350427350428</v>
      </c>
      <c r="Q467" s="399">
        <f>G$332</f>
        <v>101</v>
      </c>
      <c r="R467" s="164">
        <f>G$333</f>
        <v>92</v>
      </c>
      <c r="S467" s="135">
        <f>R467/Q466</f>
        <v>0.90196078431372551</v>
      </c>
      <c r="T467" s="399">
        <f>H$332</f>
        <v>99</v>
      </c>
      <c r="U467" s="164">
        <f>H$333</f>
        <v>105</v>
      </c>
      <c r="V467" s="135">
        <f>U467/T466</f>
        <v>1.05</v>
      </c>
      <c r="W467" s="399">
        <f>I$332</f>
        <v>93</v>
      </c>
      <c r="X467" s="164">
        <f>I$333</f>
        <v>91</v>
      </c>
      <c r="Y467" s="135">
        <f>X467/W466</f>
        <v>0.96808510638297873</v>
      </c>
      <c r="Z467" s="399">
        <f>J$332</f>
        <v>110</v>
      </c>
      <c r="AA467" s="164">
        <f>J$333</f>
        <v>111</v>
      </c>
      <c r="AB467" s="134">
        <f>AA467/Z466</f>
        <v>1.0373831775700935</v>
      </c>
      <c r="AC467" s="409">
        <f t="shared" ref="AC467:AC480" si="69">Z467+W467+T467+Q467+N467+K467+H467+E467+B467</f>
        <v>853</v>
      </c>
      <c r="AD467" s="164">
        <f>AA467+X467+U467+R467+O467+L467+I467+F467+C467</f>
        <v>882</v>
      </c>
      <c r="AE467" s="386">
        <f>AD467/AC466</f>
        <v>1.0315789473684212</v>
      </c>
      <c r="AF467" s="131"/>
    </row>
    <row r="468" spans="1:32">
      <c r="A468" s="354" t="str">
        <f>$A$398</f>
        <v>2013-14</v>
      </c>
      <c r="B468" s="399">
        <f>B$310</f>
        <v>72</v>
      </c>
      <c r="C468" s="164">
        <f>B$311</f>
        <v>107</v>
      </c>
      <c r="D468" s="135">
        <f t="shared" ref="D468:D479" si="70">C468/B467</f>
        <v>1.4657534246575343</v>
      </c>
      <c r="E468" s="399">
        <f>C$310</f>
        <v>76</v>
      </c>
      <c r="F468" s="164">
        <f>C$311</f>
        <v>84</v>
      </c>
      <c r="G468" s="135">
        <f t="shared" ref="G468:G479" si="71">F468/E467</f>
        <v>1.0909090909090908</v>
      </c>
      <c r="H468" s="399">
        <f>D$310</f>
        <v>79</v>
      </c>
      <c r="I468" s="164">
        <f>D$311</f>
        <v>78</v>
      </c>
      <c r="J468" s="135">
        <f t="shared" ref="J468:J479" si="72">I468/H467</f>
        <v>0.97499999999999998</v>
      </c>
      <c r="K468" s="399">
        <f>E$310</f>
        <v>103</v>
      </c>
      <c r="L468" s="164">
        <f>E$311</f>
        <v>90</v>
      </c>
      <c r="M468" s="135">
        <f t="shared" ref="M468:M479" si="73">L468/K467</f>
        <v>0.86538461538461542</v>
      </c>
      <c r="N468" s="399">
        <f>F$310</f>
        <v>115</v>
      </c>
      <c r="O468" s="164">
        <f>F$311</f>
        <v>121</v>
      </c>
      <c r="P468" s="135">
        <f t="shared" ref="P468:P479" si="74">O468/N467</f>
        <v>1.0431034482758621</v>
      </c>
      <c r="Q468" s="399">
        <f>G$310</f>
        <v>100</v>
      </c>
      <c r="R468" s="164">
        <f>G$311</f>
        <v>91</v>
      </c>
      <c r="S468" s="135">
        <f t="shared" ref="S468:S479" si="75">R468/Q467</f>
        <v>0.90099009900990101</v>
      </c>
      <c r="T468" s="399">
        <f>H$310</f>
        <v>98</v>
      </c>
      <c r="U468" s="164">
        <f>H$311</f>
        <v>104</v>
      </c>
      <c r="V468" s="135">
        <f t="shared" ref="V468:V479" si="76">U468/T467</f>
        <v>1.0505050505050506</v>
      </c>
      <c r="W468" s="399">
        <f>I$310</f>
        <v>93</v>
      </c>
      <c r="X468" s="164">
        <f>I$311</f>
        <v>90</v>
      </c>
      <c r="Y468" s="135">
        <f t="shared" ref="Y468:Y479" si="77">X468/W467</f>
        <v>0.967741935483871</v>
      </c>
      <c r="Z468" s="399">
        <f>J$310</f>
        <v>109</v>
      </c>
      <c r="AA468" s="164">
        <f>J$311</f>
        <v>114</v>
      </c>
      <c r="AB468" s="134">
        <f t="shared" ref="AB468:AB479" si="78">AA468/Z467</f>
        <v>1.0363636363636364</v>
      </c>
      <c r="AC468" s="409">
        <f t="shared" si="69"/>
        <v>845</v>
      </c>
      <c r="AD468" s="164">
        <f t="shared" ref="AD468:AD480" si="79">AA468+X468+U468+R468+O468+L468+I468+F468+C468</f>
        <v>879</v>
      </c>
      <c r="AE468" s="386">
        <f t="shared" ref="AE468:AE479" si="80">AD468/AC467</f>
        <v>1.0304806565064479</v>
      </c>
      <c r="AF468" s="131"/>
    </row>
    <row r="469" spans="1:32">
      <c r="A469" s="354" t="str">
        <f>$A$399</f>
        <v>2014-15</v>
      </c>
      <c r="B469" s="399">
        <f>B$288</f>
        <v>83</v>
      </c>
      <c r="C469" s="164">
        <f>B$289</f>
        <v>87</v>
      </c>
      <c r="D469" s="135">
        <f t="shared" si="70"/>
        <v>1.2083333333333333</v>
      </c>
      <c r="E469" s="399">
        <f>C$288</f>
        <v>84</v>
      </c>
      <c r="F469" s="164">
        <f>C$289</f>
        <v>75</v>
      </c>
      <c r="G469" s="135">
        <f t="shared" si="71"/>
        <v>0.98684210526315785</v>
      </c>
      <c r="H469" s="399">
        <f>D$288</f>
        <v>80</v>
      </c>
      <c r="I469" s="164">
        <f>D$289</f>
        <v>85</v>
      </c>
      <c r="J469" s="135">
        <f t="shared" si="72"/>
        <v>1.0759493670886076</v>
      </c>
      <c r="K469" s="399">
        <f>E$288</f>
        <v>92</v>
      </c>
      <c r="L469" s="164">
        <f>E$289</f>
        <v>105</v>
      </c>
      <c r="M469" s="135">
        <f t="shared" si="73"/>
        <v>1.0194174757281553</v>
      </c>
      <c r="N469" s="399">
        <f>F$288</f>
        <v>103</v>
      </c>
      <c r="O469" s="164">
        <f>F$289</f>
        <v>117</v>
      </c>
      <c r="P469" s="135">
        <f t="shared" si="74"/>
        <v>1.017391304347826</v>
      </c>
      <c r="Q469" s="399">
        <f>G$288</f>
        <v>93</v>
      </c>
      <c r="R469" s="164">
        <f>G$289</f>
        <v>112</v>
      </c>
      <c r="S469" s="135">
        <f t="shared" si="75"/>
        <v>1.1200000000000001</v>
      </c>
      <c r="T469" s="399">
        <f>H$288</f>
        <v>92</v>
      </c>
      <c r="U469" s="164">
        <f>H$289</f>
        <v>108</v>
      </c>
      <c r="V469" s="135">
        <f t="shared" si="76"/>
        <v>1.1020408163265305</v>
      </c>
      <c r="W469" s="399">
        <f>I$288</f>
        <v>83</v>
      </c>
      <c r="X469" s="164">
        <f>I$289</f>
        <v>107</v>
      </c>
      <c r="Y469" s="135">
        <f t="shared" si="77"/>
        <v>1.1505376344086022</v>
      </c>
      <c r="Z469" s="399">
        <f>J$288</f>
        <v>104</v>
      </c>
      <c r="AA469" s="164">
        <f>J$289</f>
        <v>112</v>
      </c>
      <c r="AB469" s="134">
        <f t="shared" si="78"/>
        <v>1.0275229357798166</v>
      </c>
      <c r="AC469" s="409">
        <f t="shared" si="69"/>
        <v>814</v>
      </c>
      <c r="AD469" s="164">
        <f t="shared" si="79"/>
        <v>908</v>
      </c>
      <c r="AE469" s="386">
        <f t="shared" si="80"/>
        <v>1.0745562130177515</v>
      </c>
      <c r="AF469" s="131"/>
    </row>
    <row r="470" spans="1:32">
      <c r="A470" s="354" t="str">
        <f>$A$400</f>
        <v>2015-16</v>
      </c>
      <c r="B470" s="399">
        <f>B$266</f>
        <v>79</v>
      </c>
      <c r="C470" s="164">
        <f>B$267</f>
        <v>94</v>
      </c>
      <c r="D470" s="135">
        <f t="shared" si="70"/>
        <v>1.1325301204819278</v>
      </c>
      <c r="E470" s="399">
        <f>C$266</f>
        <v>82</v>
      </c>
      <c r="F470" s="164">
        <f>C$267</f>
        <v>88</v>
      </c>
      <c r="G470" s="135">
        <f t="shared" si="71"/>
        <v>1.0476190476190477</v>
      </c>
      <c r="H470" s="399">
        <f>D$266</f>
        <v>78</v>
      </c>
      <c r="I470" s="164">
        <f>D$267</f>
        <v>87</v>
      </c>
      <c r="J470" s="135">
        <f t="shared" si="72"/>
        <v>1.0874999999999999</v>
      </c>
      <c r="K470" s="399">
        <f>E$266</f>
        <v>95</v>
      </c>
      <c r="L470" s="164">
        <f>E$267</f>
        <v>95</v>
      </c>
      <c r="M470" s="135">
        <f t="shared" si="73"/>
        <v>1.0326086956521738</v>
      </c>
      <c r="N470" s="399">
        <f>F$266</f>
        <v>117</v>
      </c>
      <c r="O470" s="164">
        <f>F$267</f>
        <v>105</v>
      </c>
      <c r="P470" s="135">
        <f t="shared" si="74"/>
        <v>1.0194174757281553</v>
      </c>
      <c r="Q470" s="399">
        <f>G$266</f>
        <v>101</v>
      </c>
      <c r="R470" s="164">
        <f>G$267</f>
        <v>98</v>
      </c>
      <c r="S470" s="135">
        <f t="shared" si="75"/>
        <v>1.053763440860215</v>
      </c>
      <c r="T470" s="399">
        <f>H$266</f>
        <v>110</v>
      </c>
      <c r="U470" s="164">
        <f>H$267</f>
        <v>94</v>
      </c>
      <c r="V470" s="135">
        <f t="shared" si="76"/>
        <v>1.0217391304347827</v>
      </c>
      <c r="W470" s="399">
        <f>I$266</f>
        <v>86</v>
      </c>
      <c r="X470" s="164">
        <f>I$267</f>
        <v>77</v>
      </c>
      <c r="Y470" s="135">
        <f t="shared" si="77"/>
        <v>0.92771084337349397</v>
      </c>
      <c r="Z470" s="399">
        <f>J$266</f>
        <v>140</v>
      </c>
      <c r="AA470" s="164">
        <f>J$267</f>
        <v>106</v>
      </c>
      <c r="AB470" s="134">
        <f t="shared" si="78"/>
        <v>1.0192307692307692</v>
      </c>
      <c r="AC470" s="409">
        <f t="shared" si="69"/>
        <v>888</v>
      </c>
      <c r="AD470" s="164">
        <f t="shared" si="79"/>
        <v>844</v>
      </c>
      <c r="AE470" s="386">
        <f t="shared" si="80"/>
        <v>1.0368550368550369</v>
      </c>
      <c r="AF470" s="131"/>
    </row>
    <row r="471" spans="1:32">
      <c r="A471" s="354" t="str">
        <f>$A$401</f>
        <v>2016-17</v>
      </c>
      <c r="B471" s="399">
        <f>B$244</f>
        <v>90</v>
      </c>
      <c r="C471" s="164">
        <f>B$245</f>
        <v>95</v>
      </c>
      <c r="D471" s="135">
        <f t="shared" si="70"/>
        <v>1.2025316455696202</v>
      </c>
      <c r="E471" s="399">
        <f>C$244</f>
        <v>69</v>
      </c>
      <c r="F471" s="164">
        <f>C$245</f>
        <v>95</v>
      </c>
      <c r="G471" s="135">
        <f t="shared" si="71"/>
        <v>1.1585365853658536</v>
      </c>
      <c r="H471" s="399">
        <f>D$244</f>
        <v>93</v>
      </c>
      <c r="I471" s="164">
        <f>D$245</f>
        <v>78</v>
      </c>
      <c r="J471" s="135">
        <f t="shared" si="72"/>
        <v>1</v>
      </c>
      <c r="K471" s="399">
        <f>E$244</f>
        <v>80</v>
      </c>
      <c r="L471" s="164">
        <f>E$245</f>
        <v>101</v>
      </c>
      <c r="M471" s="135">
        <f t="shared" si="73"/>
        <v>1.0631578947368421</v>
      </c>
      <c r="N471" s="399">
        <f>F$244</f>
        <v>104</v>
      </c>
      <c r="O471" s="164">
        <f>F$245</f>
        <v>121</v>
      </c>
      <c r="P471" s="135">
        <f t="shared" si="74"/>
        <v>1.0341880341880343</v>
      </c>
      <c r="Q471" s="399">
        <f>G$244</f>
        <v>107</v>
      </c>
      <c r="R471" s="164">
        <f>G$245</f>
        <v>116</v>
      </c>
      <c r="S471" s="135">
        <f t="shared" si="75"/>
        <v>1.1485148514851484</v>
      </c>
      <c r="T471" s="399">
        <f>H$244</f>
        <v>101</v>
      </c>
      <c r="U471" s="164">
        <f>H$245</f>
        <v>122</v>
      </c>
      <c r="V471" s="135">
        <f t="shared" si="76"/>
        <v>1.1090909090909091</v>
      </c>
      <c r="W471" s="399">
        <f>I$244</f>
        <v>92</v>
      </c>
      <c r="X471" s="164">
        <f>I$245</f>
        <v>73</v>
      </c>
      <c r="Y471" s="135">
        <f t="shared" si="77"/>
        <v>0.84883720930232553</v>
      </c>
      <c r="Z471" s="399">
        <f>J$244</f>
        <v>116</v>
      </c>
      <c r="AA471" s="164">
        <f>J$245</f>
        <v>154</v>
      </c>
      <c r="AB471" s="134">
        <f t="shared" si="78"/>
        <v>1.1000000000000001</v>
      </c>
      <c r="AC471" s="409">
        <f t="shared" si="69"/>
        <v>852</v>
      </c>
      <c r="AD471" s="164">
        <f t="shared" si="79"/>
        <v>955</v>
      </c>
      <c r="AE471" s="386">
        <f t="shared" si="80"/>
        <v>1.0754504504504505</v>
      </c>
      <c r="AF471" s="131"/>
    </row>
    <row r="472" spans="1:32">
      <c r="A472" s="354" t="str">
        <f>$A$402</f>
        <v>2017-18</v>
      </c>
      <c r="B472" s="399">
        <f>B$222</f>
        <v>70</v>
      </c>
      <c r="C472" s="164">
        <f>B$223</f>
        <v>89</v>
      </c>
      <c r="D472" s="135">
        <f t="shared" si="70"/>
        <v>0.98888888888888893</v>
      </c>
      <c r="E472" s="399">
        <f>C$222</f>
        <v>90</v>
      </c>
      <c r="F472" s="164">
        <f>C$223</f>
        <v>68</v>
      </c>
      <c r="G472" s="135">
        <f t="shared" si="71"/>
        <v>0.98550724637681164</v>
      </c>
      <c r="H472" s="399">
        <f>D$222</f>
        <v>86</v>
      </c>
      <c r="I472" s="164">
        <f>D$223</f>
        <v>96</v>
      </c>
      <c r="J472" s="135">
        <f t="shared" si="72"/>
        <v>1.032258064516129</v>
      </c>
      <c r="K472" s="399">
        <f>E$222</f>
        <v>92</v>
      </c>
      <c r="L472" s="164">
        <f>E$223</f>
        <v>86</v>
      </c>
      <c r="M472" s="135">
        <f t="shared" si="73"/>
        <v>1.075</v>
      </c>
      <c r="N472" s="399">
        <f>F$222</f>
        <v>112</v>
      </c>
      <c r="O472" s="164">
        <f>F$223</f>
        <v>110</v>
      </c>
      <c r="P472" s="135">
        <f t="shared" si="74"/>
        <v>1.0576923076923077</v>
      </c>
      <c r="Q472" s="399">
        <f>G$222</f>
        <v>98</v>
      </c>
      <c r="R472" s="164">
        <f>G$223</f>
        <v>123</v>
      </c>
      <c r="S472" s="135">
        <f t="shared" si="75"/>
        <v>1.1495327102803738</v>
      </c>
      <c r="T472" s="399">
        <f>H$222</f>
        <v>105</v>
      </c>
      <c r="U472" s="164">
        <f>H$223</f>
        <v>113</v>
      </c>
      <c r="V472" s="135">
        <f t="shared" si="76"/>
        <v>1.1188118811881189</v>
      </c>
      <c r="W472" s="399">
        <f>I$222</f>
        <v>71</v>
      </c>
      <c r="X472" s="164">
        <f>I$223</f>
        <v>94</v>
      </c>
      <c r="Y472" s="135">
        <f t="shared" si="77"/>
        <v>1.0217391304347827</v>
      </c>
      <c r="Z472" s="399">
        <f>J$222</f>
        <v>137</v>
      </c>
      <c r="AA472" s="164">
        <f>J$223</f>
        <v>122</v>
      </c>
      <c r="AB472" s="134">
        <f t="shared" si="78"/>
        <v>1.0517241379310345</v>
      </c>
      <c r="AC472" s="409">
        <f t="shared" si="69"/>
        <v>861</v>
      </c>
      <c r="AD472" s="164">
        <f t="shared" si="79"/>
        <v>901</v>
      </c>
      <c r="AE472" s="386">
        <f t="shared" si="80"/>
        <v>1.057511737089202</v>
      </c>
      <c r="AF472" s="131"/>
    </row>
    <row r="473" spans="1:32">
      <c r="A473" s="354" t="str">
        <f>$A$403</f>
        <v>2018-19</v>
      </c>
      <c r="B473" s="399">
        <f>B$200</f>
        <v>90</v>
      </c>
      <c r="C473" s="164">
        <f>B$201</f>
        <v>74</v>
      </c>
      <c r="D473" s="135">
        <f t="shared" si="70"/>
        <v>1.0571428571428572</v>
      </c>
      <c r="E473" s="399">
        <f>C$200</f>
        <v>81</v>
      </c>
      <c r="F473" s="164">
        <f>C$201</f>
        <v>94</v>
      </c>
      <c r="G473" s="135">
        <f t="shared" si="71"/>
        <v>1.0444444444444445</v>
      </c>
      <c r="H473" s="399">
        <f>D$200</f>
        <v>81</v>
      </c>
      <c r="I473" s="164">
        <f>D$201</f>
        <v>79</v>
      </c>
      <c r="J473" s="135">
        <f t="shared" si="72"/>
        <v>0.91860465116279066</v>
      </c>
      <c r="K473" s="399">
        <f>E$200</f>
        <v>102</v>
      </c>
      <c r="L473" s="164">
        <f>E$201</f>
        <v>98</v>
      </c>
      <c r="M473" s="135">
        <f t="shared" si="73"/>
        <v>1.0652173913043479</v>
      </c>
      <c r="N473" s="399">
        <f>F$200</f>
        <v>124</v>
      </c>
      <c r="O473" s="164">
        <f>F$201</f>
        <v>116</v>
      </c>
      <c r="P473" s="135">
        <f t="shared" si="74"/>
        <v>1.0357142857142858</v>
      </c>
      <c r="Q473" s="399">
        <f>G$200</f>
        <v>87</v>
      </c>
      <c r="R473" s="164">
        <f>G$201</f>
        <v>106</v>
      </c>
      <c r="S473" s="135">
        <f t="shared" si="75"/>
        <v>1.0816326530612246</v>
      </c>
      <c r="T473" s="399">
        <f>H$200</f>
        <v>107</v>
      </c>
      <c r="U473" s="164">
        <f>H$201</f>
        <v>102</v>
      </c>
      <c r="V473" s="135">
        <f t="shared" si="76"/>
        <v>0.97142857142857142</v>
      </c>
      <c r="W473" s="399">
        <f>I$200</f>
        <v>73</v>
      </c>
      <c r="X473" s="164">
        <f>I$201</f>
        <v>64</v>
      </c>
      <c r="Y473" s="135">
        <f t="shared" si="77"/>
        <v>0.90140845070422537</v>
      </c>
      <c r="Z473" s="399">
        <f>J$200</f>
        <v>130</v>
      </c>
      <c r="AA473" s="164">
        <f>J$201</f>
        <v>140</v>
      </c>
      <c r="AB473" s="134">
        <f t="shared" si="78"/>
        <v>1.0218978102189782</v>
      </c>
      <c r="AC473" s="409">
        <f t="shared" si="69"/>
        <v>875</v>
      </c>
      <c r="AD473" s="164">
        <f t="shared" si="79"/>
        <v>873</v>
      </c>
      <c r="AE473" s="386">
        <f t="shared" si="80"/>
        <v>1.0139372822299653</v>
      </c>
      <c r="AF473" s="131"/>
    </row>
    <row r="474" spans="1:32">
      <c r="A474" s="354" t="str">
        <f>$A$404</f>
        <v>2019-20</v>
      </c>
      <c r="B474" s="399">
        <f>B$178</f>
        <v>105</v>
      </c>
      <c r="C474" s="164">
        <f>B$179</f>
        <v>111</v>
      </c>
      <c r="D474" s="135">
        <f t="shared" si="70"/>
        <v>1.2333333333333334</v>
      </c>
      <c r="E474" s="399">
        <f>C$178</f>
        <v>78</v>
      </c>
      <c r="F474" s="164">
        <f>C$179</f>
        <v>84</v>
      </c>
      <c r="G474" s="135">
        <f t="shared" si="71"/>
        <v>1.037037037037037</v>
      </c>
      <c r="H474" s="399">
        <f>D$178</f>
        <v>68</v>
      </c>
      <c r="I474" s="164">
        <f>D$179</f>
        <v>84</v>
      </c>
      <c r="J474" s="135">
        <f t="shared" si="72"/>
        <v>1.037037037037037</v>
      </c>
      <c r="K474" s="399">
        <f>E$178</f>
        <v>87</v>
      </c>
      <c r="L474" s="164">
        <f>E$179</f>
        <v>109</v>
      </c>
      <c r="M474" s="135">
        <f t="shared" si="73"/>
        <v>1.0686274509803921</v>
      </c>
      <c r="N474" s="399">
        <f>F$178</f>
        <v>113</v>
      </c>
      <c r="O474" s="164">
        <f>F$179</f>
        <v>128</v>
      </c>
      <c r="P474" s="135">
        <f t="shared" si="74"/>
        <v>1.032258064516129</v>
      </c>
      <c r="Q474" s="399">
        <f>G$178</f>
        <v>98</v>
      </c>
      <c r="R474" s="164">
        <f>G$179</f>
        <v>90</v>
      </c>
      <c r="S474" s="135">
        <f t="shared" si="75"/>
        <v>1.0344827586206897</v>
      </c>
      <c r="T474" s="399">
        <f>H$178</f>
        <v>103</v>
      </c>
      <c r="U474" s="164">
        <f>H$179</f>
        <v>111</v>
      </c>
      <c r="V474" s="135">
        <f t="shared" si="76"/>
        <v>1.0373831775700935</v>
      </c>
      <c r="W474" s="399">
        <f>I$178</f>
        <v>74</v>
      </c>
      <c r="X474" s="164">
        <f>I$179</f>
        <v>80</v>
      </c>
      <c r="Y474" s="135">
        <f t="shared" si="77"/>
        <v>1.095890410958904</v>
      </c>
      <c r="Z474" s="399">
        <f>J$178</f>
        <v>104</v>
      </c>
      <c r="AA474" s="164">
        <f>J$179</f>
        <v>113</v>
      </c>
      <c r="AB474" s="134">
        <f t="shared" si="78"/>
        <v>0.86923076923076925</v>
      </c>
      <c r="AC474" s="409">
        <f t="shared" si="69"/>
        <v>830</v>
      </c>
      <c r="AD474" s="164">
        <f t="shared" si="79"/>
        <v>910</v>
      </c>
      <c r="AE474" s="386">
        <f t="shared" si="80"/>
        <v>1.04</v>
      </c>
      <c r="AF474" s="131"/>
    </row>
    <row r="475" spans="1:32">
      <c r="A475" s="354" t="str">
        <f>$A$405</f>
        <v>2020-21</v>
      </c>
      <c r="B475" s="399">
        <f>B156</f>
        <v>124</v>
      </c>
      <c r="C475" s="164">
        <f>B157</f>
        <v>110</v>
      </c>
      <c r="D475" s="135">
        <f t="shared" si="70"/>
        <v>1.0476190476190477</v>
      </c>
      <c r="E475" s="399">
        <f>C$156</f>
        <v>95</v>
      </c>
      <c r="F475" s="164">
        <f>C$157</f>
        <v>75</v>
      </c>
      <c r="G475" s="135">
        <f t="shared" si="71"/>
        <v>0.96153846153846156</v>
      </c>
      <c r="H475" s="399">
        <f>D$156</f>
        <v>79</v>
      </c>
      <c r="I475" s="164">
        <f>D$157</f>
        <v>75</v>
      </c>
      <c r="J475" s="135">
        <f t="shared" si="72"/>
        <v>1.1029411764705883</v>
      </c>
      <c r="K475" s="399">
        <f>E$156</f>
        <v>100</v>
      </c>
      <c r="L475" s="164">
        <f>E$157</f>
        <v>79</v>
      </c>
      <c r="M475" s="135">
        <f t="shared" si="73"/>
        <v>0.90804597701149425</v>
      </c>
      <c r="N475" s="399">
        <f>F$156</f>
        <v>102</v>
      </c>
      <c r="O475" s="164">
        <f>F$157</f>
        <v>113</v>
      </c>
      <c r="P475" s="135">
        <f t="shared" si="74"/>
        <v>1</v>
      </c>
      <c r="Q475" s="399">
        <f>G$156</f>
        <v>103</v>
      </c>
      <c r="R475" s="164">
        <f>G$157</f>
        <v>94</v>
      </c>
      <c r="S475" s="135">
        <f t="shared" si="75"/>
        <v>0.95918367346938771</v>
      </c>
      <c r="T475" s="399">
        <f>H$156</f>
        <v>106</v>
      </c>
      <c r="U475" s="164">
        <f>H$157</f>
        <v>111</v>
      </c>
      <c r="V475" s="135">
        <f t="shared" si="76"/>
        <v>1.0776699029126213</v>
      </c>
      <c r="W475" s="399">
        <f>I$156</f>
        <v>90</v>
      </c>
      <c r="X475" s="164">
        <f>I$157</f>
        <v>74</v>
      </c>
      <c r="Y475" s="135">
        <f t="shared" si="77"/>
        <v>1</v>
      </c>
      <c r="Z475" s="399">
        <f>J$156</f>
        <v>93</v>
      </c>
      <c r="AA475" s="164">
        <f>J$157</f>
        <v>98</v>
      </c>
      <c r="AB475" s="134">
        <f t="shared" si="78"/>
        <v>0.94230769230769229</v>
      </c>
      <c r="AC475" s="409">
        <f t="shared" si="69"/>
        <v>892</v>
      </c>
      <c r="AD475" s="164">
        <f t="shared" si="79"/>
        <v>829</v>
      </c>
      <c r="AE475" s="386">
        <f t="shared" si="80"/>
        <v>0.99879518072289153</v>
      </c>
      <c r="AF475" s="131"/>
    </row>
    <row r="476" spans="1:32">
      <c r="A476" s="354" t="str">
        <f>$A$406</f>
        <v>2021-22</v>
      </c>
      <c r="B476" s="399">
        <f>B$134</f>
        <v>85</v>
      </c>
      <c r="C476" s="164">
        <f>B$135</f>
        <v>131</v>
      </c>
      <c r="D476" s="135">
        <f t="shared" si="70"/>
        <v>1.0564516129032258</v>
      </c>
      <c r="E476" s="399">
        <f>C$134</f>
        <v>80</v>
      </c>
      <c r="F476" s="164">
        <f>C$135</f>
        <v>94</v>
      </c>
      <c r="G476" s="135">
        <f t="shared" si="71"/>
        <v>0.98947368421052628</v>
      </c>
      <c r="H476" s="399">
        <f>D$134</f>
        <v>95</v>
      </c>
      <c r="I476" s="164">
        <f>D$135</f>
        <v>81</v>
      </c>
      <c r="J476" s="135">
        <f t="shared" si="72"/>
        <v>1.0253164556962024</v>
      </c>
      <c r="K476" s="399">
        <f>E$134</f>
        <v>75</v>
      </c>
      <c r="L476" s="164">
        <f>E$135</f>
        <v>105</v>
      </c>
      <c r="M476" s="135">
        <f t="shared" si="73"/>
        <v>1.05</v>
      </c>
      <c r="N476" s="399">
        <f>F$134</f>
        <v>102</v>
      </c>
      <c r="O476" s="164">
        <f>F$135</f>
        <v>104</v>
      </c>
      <c r="P476" s="135">
        <f t="shared" si="74"/>
        <v>1.0196078431372548</v>
      </c>
      <c r="Q476" s="399">
        <f>G$134</f>
        <v>116</v>
      </c>
      <c r="R476" s="164">
        <f>G$135</f>
        <v>109</v>
      </c>
      <c r="S476" s="135">
        <f t="shared" si="75"/>
        <v>1.058252427184466</v>
      </c>
      <c r="T476" s="399">
        <f>H$134</f>
        <v>99</v>
      </c>
      <c r="U476" s="164">
        <f>H$135</f>
        <v>107</v>
      </c>
      <c r="V476" s="135">
        <f t="shared" si="76"/>
        <v>1.0094339622641511</v>
      </c>
      <c r="W476" s="399">
        <f>I$134</f>
        <v>70</v>
      </c>
      <c r="X476" s="164">
        <f>I$135</f>
        <v>83</v>
      </c>
      <c r="Y476" s="135">
        <f t="shared" si="77"/>
        <v>0.92222222222222228</v>
      </c>
      <c r="Z476" s="399">
        <f>J$134</f>
        <v>97</v>
      </c>
      <c r="AA476" s="164">
        <f>J$135</f>
        <v>106</v>
      </c>
      <c r="AB476" s="134">
        <f t="shared" si="78"/>
        <v>1.1397849462365592</v>
      </c>
      <c r="AC476" s="409">
        <f t="shared" si="69"/>
        <v>819</v>
      </c>
      <c r="AD476" s="164">
        <f t="shared" si="79"/>
        <v>920</v>
      </c>
      <c r="AE476" s="386">
        <f t="shared" si="80"/>
        <v>1.0313901345291481</v>
      </c>
      <c r="AF476" s="131"/>
    </row>
    <row r="477" spans="1:32">
      <c r="A477" s="354" t="str">
        <f>$A$407</f>
        <v>2022-23</v>
      </c>
      <c r="B477" s="399">
        <f>B$112</f>
        <v>109</v>
      </c>
      <c r="C477" s="164">
        <f>B$113</f>
        <v>93</v>
      </c>
      <c r="D477" s="135">
        <f t="shared" si="70"/>
        <v>1.0941176470588236</v>
      </c>
      <c r="E477" s="399">
        <f>C$112</f>
        <v>81</v>
      </c>
      <c r="F477" s="164">
        <f>C$113</f>
        <v>88</v>
      </c>
      <c r="G477" s="135">
        <f t="shared" si="71"/>
        <v>1.1000000000000001</v>
      </c>
      <c r="H477" s="399">
        <f>D$112</f>
        <v>96</v>
      </c>
      <c r="I477" s="164">
        <f>D$113</f>
        <v>87</v>
      </c>
      <c r="J477" s="135">
        <f t="shared" si="72"/>
        <v>0.91578947368421049</v>
      </c>
      <c r="K477" s="399">
        <f>E$112</f>
        <v>91</v>
      </c>
      <c r="L477" s="164">
        <f>E$113</f>
        <v>82</v>
      </c>
      <c r="M477" s="135">
        <f t="shared" si="73"/>
        <v>1.0933333333333333</v>
      </c>
      <c r="N477" s="399">
        <f>F$112</f>
        <v>114</v>
      </c>
      <c r="O477" s="164">
        <f>F$113</f>
        <v>106</v>
      </c>
      <c r="P477" s="135">
        <f t="shared" si="74"/>
        <v>1.0392156862745099</v>
      </c>
      <c r="Q477" s="399">
        <f>G$112</f>
        <v>102</v>
      </c>
      <c r="R477" s="164">
        <f>G$113</f>
        <v>122</v>
      </c>
      <c r="S477" s="135">
        <f t="shared" si="75"/>
        <v>1.0517241379310345</v>
      </c>
      <c r="T477" s="399">
        <f>H$112</f>
        <v>115</v>
      </c>
      <c r="U477" s="164">
        <f>H$113</f>
        <v>108</v>
      </c>
      <c r="V477" s="135">
        <f t="shared" si="76"/>
        <v>1.0909090909090908</v>
      </c>
      <c r="W477" s="399">
        <f>I$112</f>
        <v>76</v>
      </c>
      <c r="X477" s="164">
        <f>I$113</f>
        <v>68</v>
      </c>
      <c r="Y477" s="135">
        <f t="shared" si="77"/>
        <v>0.97142857142857142</v>
      </c>
      <c r="Z477" s="399">
        <f>J$112</f>
        <v>104</v>
      </c>
      <c r="AA477" s="164">
        <f>J$113</f>
        <v>103</v>
      </c>
      <c r="AB477" s="134">
        <f t="shared" si="78"/>
        <v>1.0618556701030928</v>
      </c>
      <c r="AC477" s="409">
        <f t="shared" si="69"/>
        <v>888</v>
      </c>
      <c r="AD477" s="164">
        <f t="shared" si="79"/>
        <v>857</v>
      </c>
      <c r="AE477" s="386">
        <f t="shared" si="80"/>
        <v>1.0463980463980465</v>
      </c>
      <c r="AF477" s="131"/>
    </row>
    <row r="478" spans="1:32">
      <c r="A478" s="354" t="str">
        <f>$A$408</f>
        <v>2023-24</v>
      </c>
      <c r="B478" s="399">
        <f>B$90</f>
        <v>126</v>
      </c>
      <c r="C478" s="164">
        <f>B$91</f>
        <v>115</v>
      </c>
      <c r="D478" s="135">
        <f t="shared" si="70"/>
        <v>1.0550458715596329</v>
      </c>
      <c r="E478" s="399">
        <f>C$90</f>
        <v>78</v>
      </c>
      <c r="F478" s="164">
        <f>C$91</f>
        <v>82</v>
      </c>
      <c r="G478" s="135">
        <f t="shared" si="71"/>
        <v>1.0123456790123457</v>
      </c>
      <c r="H478" s="399">
        <f>D$90</f>
        <v>73</v>
      </c>
      <c r="I478" s="164">
        <f>D$91</f>
        <v>91</v>
      </c>
      <c r="J478" s="135">
        <f t="shared" si="72"/>
        <v>0.94791666666666663</v>
      </c>
      <c r="K478" s="399">
        <f>E$90</f>
        <v>102</v>
      </c>
      <c r="L478" s="164">
        <f>E$91</f>
        <v>91</v>
      </c>
      <c r="M478" s="135">
        <f t="shared" si="73"/>
        <v>1</v>
      </c>
      <c r="N478" s="399">
        <f>F$90</f>
        <v>97</v>
      </c>
      <c r="O478" s="164">
        <f>F$91</f>
        <v>107</v>
      </c>
      <c r="P478" s="135">
        <f t="shared" si="74"/>
        <v>0.93859649122807021</v>
      </c>
      <c r="Q478" s="399">
        <f>G$90</f>
        <v>81</v>
      </c>
      <c r="R478" s="164">
        <f>G$91</f>
        <v>105</v>
      </c>
      <c r="S478" s="135">
        <f t="shared" si="75"/>
        <v>1.0294117647058822</v>
      </c>
      <c r="T478" s="399">
        <f>H$90</f>
        <v>92</v>
      </c>
      <c r="U478" s="164">
        <f>H$91</f>
        <v>114</v>
      </c>
      <c r="V478" s="135">
        <f t="shared" si="76"/>
        <v>0.99130434782608701</v>
      </c>
      <c r="W478" s="399">
        <f>I$90</f>
        <v>91</v>
      </c>
      <c r="X478" s="164">
        <f>I$91</f>
        <v>76</v>
      </c>
      <c r="Y478" s="135">
        <f t="shared" si="77"/>
        <v>1</v>
      </c>
      <c r="Z478" s="399">
        <f>J$90</f>
        <v>97</v>
      </c>
      <c r="AA478" s="164">
        <f>J$91</f>
        <v>104</v>
      </c>
      <c r="AB478" s="134">
        <f t="shared" si="78"/>
        <v>1</v>
      </c>
      <c r="AC478" s="409">
        <f t="shared" si="69"/>
        <v>837</v>
      </c>
      <c r="AD478" s="164">
        <f t="shared" si="79"/>
        <v>885</v>
      </c>
      <c r="AE478" s="386">
        <f t="shared" si="80"/>
        <v>0.9966216216216216</v>
      </c>
      <c r="AF478" s="131"/>
    </row>
    <row r="479" spans="1:32">
      <c r="A479" s="354" t="str">
        <f>$A$409</f>
        <v>2024-25</v>
      </c>
      <c r="B479" s="399">
        <f>B$68</f>
        <v>94</v>
      </c>
      <c r="C479" s="164">
        <f>B$69</f>
        <v>126</v>
      </c>
      <c r="D479" s="135">
        <f t="shared" si="70"/>
        <v>1</v>
      </c>
      <c r="E479" s="399">
        <f>C$68</f>
        <v>78</v>
      </c>
      <c r="F479" s="164">
        <f>C$69</f>
        <v>72</v>
      </c>
      <c r="G479" s="135">
        <f t="shared" si="71"/>
        <v>0.92307692307692313</v>
      </c>
      <c r="H479" s="399">
        <f>D$68</f>
        <v>91</v>
      </c>
      <c r="I479" s="164">
        <f>D$69</f>
        <v>74</v>
      </c>
      <c r="J479" s="135">
        <f t="shared" si="72"/>
        <v>1.0136986301369864</v>
      </c>
      <c r="K479" s="399">
        <f>E$68</f>
        <v>81</v>
      </c>
      <c r="L479" s="164">
        <f>E$69</f>
        <v>100</v>
      </c>
      <c r="M479" s="135">
        <f t="shared" si="73"/>
        <v>0.98039215686274506</v>
      </c>
      <c r="N479" s="399">
        <f>F$68</f>
        <v>109</v>
      </c>
      <c r="O479" s="164">
        <f>F$69</f>
        <v>103</v>
      </c>
      <c r="P479" s="135">
        <f t="shared" si="74"/>
        <v>1.0618556701030928</v>
      </c>
      <c r="Q479" s="399">
        <f>G$68</f>
        <v>99</v>
      </c>
      <c r="R479" s="164">
        <f>G$69</f>
        <v>87</v>
      </c>
      <c r="S479" s="135">
        <f t="shared" si="75"/>
        <v>1.0740740740740742</v>
      </c>
      <c r="T479" s="399">
        <f>H$68</f>
        <v>119</v>
      </c>
      <c r="U479" s="164">
        <f>H$69</f>
        <v>99</v>
      </c>
      <c r="V479" s="135">
        <f t="shared" si="76"/>
        <v>1.076086956521739</v>
      </c>
      <c r="W479" s="399">
        <f>I$68</f>
        <v>75</v>
      </c>
      <c r="X479" s="164">
        <f>I$69</f>
        <v>92</v>
      </c>
      <c r="Y479" s="135">
        <f t="shared" si="77"/>
        <v>1.0109890109890109</v>
      </c>
      <c r="Z479" s="399">
        <f>J$68</f>
        <v>104</v>
      </c>
      <c r="AA479" s="164">
        <f>J$69</f>
        <v>95</v>
      </c>
      <c r="AB479" s="134">
        <f t="shared" si="78"/>
        <v>0.97938144329896903</v>
      </c>
      <c r="AC479" s="409">
        <f t="shared" si="69"/>
        <v>850</v>
      </c>
      <c r="AD479" s="164">
        <f t="shared" si="79"/>
        <v>848</v>
      </c>
      <c r="AE479" s="386">
        <f t="shared" si="80"/>
        <v>1.0131421744324971</v>
      </c>
      <c r="AF479" s="131"/>
    </row>
    <row r="480" spans="1:32" ht="13.8" thickBot="1">
      <c r="A480" s="372" t="str">
        <f>$A$410</f>
        <v>2025-26</v>
      </c>
      <c r="B480" s="407">
        <f>B16</f>
        <v>103</v>
      </c>
      <c r="C480" s="168">
        <f>B17</f>
        <v>99</v>
      </c>
      <c r="D480" s="195">
        <f>C480/B479</f>
        <v>1.053191489361702</v>
      </c>
      <c r="E480" s="407">
        <f>C16</f>
        <v>72</v>
      </c>
      <c r="F480" s="168">
        <f>C17</f>
        <v>81</v>
      </c>
      <c r="G480" s="195">
        <f>F480/E479</f>
        <v>1.0384615384615385</v>
      </c>
      <c r="H480" s="407">
        <f>D16</f>
        <v>95</v>
      </c>
      <c r="I480" s="168">
        <f>D17</f>
        <v>95</v>
      </c>
      <c r="J480" s="195">
        <f>I480/H479</f>
        <v>1.043956043956044</v>
      </c>
      <c r="K480" s="407">
        <f>E16</f>
        <v>93</v>
      </c>
      <c r="L480" s="168">
        <f>E17</f>
        <v>84</v>
      </c>
      <c r="M480" s="195">
        <f>L480/K479</f>
        <v>1.037037037037037</v>
      </c>
      <c r="N480" s="407">
        <f>F16</f>
        <v>103</v>
      </c>
      <c r="O480" s="168">
        <f>F17</f>
        <v>109</v>
      </c>
      <c r="P480" s="195">
        <f>O480/N479</f>
        <v>1</v>
      </c>
      <c r="Q480" s="407">
        <f>G16</f>
        <v>80</v>
      </c>
      <c r="R480" s="168">
        <f>G17</f>
        <v>102</v>
      </c>
      <c r="S480" s="195">
        <f>R480/Q479</f>
        <v>1.0303030303030303</v>
      </c>
      <c r="T480" s="407">
        <f>H16</f>
        <v>97</v>
      </c>
      <c r="U480" s="168">
        <f>H17</f>
        <v>120</v>
      </c>
      <c r="V480" s="195">
        <f>U480/T479</f>
        <v>1.0084033613445378</v>
      </c>
      <c r="W480" s="407">
        <f>I16</f>
        <v>68</v>
      </c>
      <c r="X480" s="168">
        <f>I17</f>
        <v>77</v>
      </c>
      <c r="Y480" s="195">
        <f>X480/W479</f>
        <v>1.0266666666666666</v>
      </c>
      <c r="Z480" s="407">
        <f>J16</f>
        <v>96</v>
      </c>
      <c r="AA480" s="168">
        <f>J17</f>
        <v>109</v>
      </c>
      <c r="AB480" s="170">
        <f>AA480/Z479</f>
        <v>1.0480769230769231</v>
      </c>
      <c r="AC480" s="412">
        <f t="shared" si="69"/>
        <v>807</v>
      </c>
      <c r="AD480" s="168">
        <f t="shared" si="79"/>
        <v>876</v>
      </c>
      <c r="AE480" s="388">
        <f>AD480/AC479</f>
        <v>1.0305882352941176</v>
      </c>
      <c r="AF480" s="131"/>
    </row>
    <row r="481" spans="1:34" ht="13.8" thickTop="1">
      <c r="A481" s="354"/>
      <c r="B481" s="399"/>
      <c r="C481" s="164"/>
      <c r="D481" s="226"/>
      <c r="E481" s="399"/>
      <c r="F481" s="164"/>
      <c r="G481" s="226"/>
      <c r="H481" s="399"/>
      <c r="I481" s="164"/>
      <c r="J481" s="226"/>
      <c r="K481" s="399"/>
      <c r="L481" s="164"/>
      <c r="M481" s="226"/>
      <c r="N481" s="399"/>
      <c r="O481" s="164"/>
      <c r="P481" s="226"/>
      <c r="Q481" s="399"/>
      <c r="R481" s="164"/>
      <c r="S481" s="226"/>
      <c r="T481" s="399"/>
      <c r="U481" s="164"/>
      <c r="V481" s="226"/>
      <c r="W481" s="399"/>
      <c r="X481" s="164"/>
      <c r="Y481" s="226"/>
      <c r="Z481" s="399"/>
      <c r="AA481" s="164"/>
      <c r="AB481" s="29"/>
      <c r="AC481" s="409"/>
      <c r="AD481" s="164"/>
      <c r="AE481" s="175"/>
      <c r="AF481" s="131"/>
    </row>
    <row r="482" spans="1:34">
      <c r="A482" s="354" t="s">
        <v>72</v>
      </c>
      <c r="B482" s="401">
        <f>SUM(B477:B479)</f>
        <v>329</v>
      </c>
      <c r="C482" s="169">
        <f>SUM(C478:C480)</f>
        <v>340</v>
      </c>
      <c r="D482" s="135">
        <f>C482/B482</f>
        <v>1.0334346504559271</v>
      </c>
      <c r="E482" s="401">
        <f>SUM(E477:E479)</f>
        <v>237</v>
      </c>
      <c r="F482" s="169">
        <f>SUM(F478:F480)</f>
        <v>235</v>
      </c>
      <c r="G482" s="135">
        <f>F482/E482</f>
        <v>0.99156118143459915</v>
      </c>
      <c r="H482" s="401">
        <f>SUM(H477:H479)</f>
        <v>260</v>
      </c>
      <c r="I482" s="169">
        <f>SUM(I478:I480)</f>
        <v>260</v>
      </c>
      <c r="J482" s="135">
        <f>I482/H482</f>
        <v>1</v>
      </c>
      <c r="K482" s="401">
        <f>SUM(K477:K479)</f>
        <v>274</v>
      </c>
      <c r="L482" s="169">
        <f>SUM(L478:L480)</f>
        <v>275</v>
      </c>
      <c r="M482" s="135">
        <f>L482/K482</f>
        <v>1.0036496350364963</v>
      </c>
      <c r="N482" s="401">
        <f>SUM(N477:N479)</f>
        <v>320</v>
      </c>
      <c r="O482" s="169">
        <f>SUM(O478:O480)</f>
        <v>319</v>
      </c>
      <c r="P482" s="135">
        <f>O482/N482</f>
        <v>0.99687499999999996</v>
      </c>
      <c r="Q482" s="401">
        <f>SUM(Q477:Q479)</f>
        <v>282</v>
      </c>
      <c r="R482" s="169">
        <f>SUM(R478:R480)</f>
        <v>294</v>
      </c>
      <c r="S482" s="135">
        <f>R482/Q482</f>
        <v>1.0425531914893618</v>
      </c>
      <c r="T482" s="401">
        <f>SUM(T477:T479)</f>
        <v>326</v>
      </c>
      <c r="U482" s="169">
        <f>SUM(U478:U480)</f>
        <v>333</v>
      </c>
      <c r="V482" s="135">
        <f>U482/T482</f>
        <v>1.0214723926380369</v>
      </c>
      <c r="W482" s="401">
        <f>SUM(W477:W479)</f>
        <v>242</v>
      </c>
      <c r="X482" s="169">
        <f>SUM(X478:X480)</f>
        <v>245</v>
      </c>
      <c r="Y482" s="135">
        <f>X482/W482</f>
        <v>1.0123966942148761</v>
      </c>
      <c r="Z482" s="401">
        <f>SUM(Z477:Z479)</f>
        <v>305</v>
      </c>
      <c r="AA482" s="169">
        <f>SUM(AA478:AA480)</f>
        <v>308</v>
      </c>
      <c r="AB482" s="134">
        <f>AA482/Z482</f>
        <v>1.0098360655737706</v>
      </c>
      <c r="AC482" s="413">
        <f>SUM(AC477:AC479)</f>
        <v>2575</v>
      </c>
      <c r="AD482" s="164">
        <f>SUM(AD478:AD480)</f>
        <v>2609</v>
      </c>
      <c r="AE482" s="386">
        <f>AD482/AC482</f>
        <v>1.0132038834951456</v>
      </c>
      <c r="AF482" s="131"/>
      <c r="AH482" s="542"/>
    </row>
    <row r="483" spans="1:34">
      <c r="A483" s="354" t="s">
        <v>73</v>
      </c>
      <c r="B483" s="401">
        <f>SUM(B475:B479)</f>
        <v>538</v>
      </c>
      <c r="C483" s="169">
        <f>SUM(C476:C480)</f>
        <v>564</v>
      </c>
      <c r="D483" s="135">
        <f>C483/B483</f>
        <v>1.0483271375464684</v>
      </c>
      <c r="E483" s="401">
        <f>SUM(E475:E479)</f>
        <v>412</v>
      </c>
      <c r="F483" s="169">
        <f>SUM(F476:F480)</f>
        <v>417</v>
      </c>
      <c r="G483" s="135">
        <f>F483/E483</f>
        <v>1.0121359223300972</v>
      </c>
      <c r="H483" s="401">
        <f>SUM(H475:H479)</f>
        <v>434</v>
      </c>
      <c r="I483" s="169">
        <f>SUM(I476:I480)</f>
        <v>428</v>
      </c>
      <c r="J483" s="135">
        <f>I483/H483</f>
        <v>0.98617511520737322</v>
      </c>
      <c r="K483" s="401">
        <f>SUM(K475:K479)</f>
        <v>449</v>
      </c>
      <c r="L483" s="169">
        <f>SUM(L476:L480)</f>
        <v>462</v>
      </c>
      <c r="M483" s="135">
        <f>L483/K483</f>
        <v>1.0289532293986636</v>
      </c>
      <c r="N483" s="401">
        <f>SUM(N475:N479)</f>
        <v>524</v>
      </c>
      <c r="O483" s="169">
        <f>SUM(O476:O480)</f>
        <v>529</v>
      </c>
      <c r="P483" s="135">
        <f>O483/N483</f>
        <v>1.0095419847328244</v>
      </c>
      <c r="Q483" s="401">
        <f>SUM(Q475:Q479)</f>
        <v>501</v>
      </c>
      <c r="R483" s="169">
        <f>SUM(R476:R480)</f>
        <v>525</v>
      </c>
      <c r="S483" s="135">
        <f>R483/Q483</f>
        <v>1.0479041916167664</v>
      </c>
      <c r="T483" s="401">
        <f>SUM(T475:T479)</f>
        <v>531</v>
      </c>
      <c r="U483" s="169">
        <f>SUM(U476:U480)</f>
        <v>548</v>
      </c>
      <c r="V483" s="135">
        <f>U483/T483</f>
        <v>1.0320150659133709</v>
      </c>
      <c r="W483" s="401">
        <f>SUM(W475:W479)</f>
        <v>402</v>
      </c>
      <c r="X483" s="169">
        <f>SUM(X476:X480)</f>
        <v>396</v>
      </c>
      <c r="Y483" s="135">
        <f>X483/W483</f>
        <v>0.9850746268656716</v>
      </c>
      <c r="Z483" s="401">
        <f>SUM(Z475:Z479)</f>
        <v>495</v>
      </c>
      <c r="AA483" s="169">
        <f>SUM(AA476:AA480)</f>
        <v>517</v>
      </c>
      <c r="AB483" s="134">
        <f>AA483/Z483</f>
        <v>1.0444444444444445</v>
      </c>
      <c r="AC483" s="409">
        <f>SUM(AC475:AC479)</f>
        <v>4286</v>
      </c>
      <c r="AD483" s="164">
        <f>SUM(AD476:AD480)</f>
        <v>4386</v>
      </c>
      <c r="AE483" s="386">
        <f>AD483/AC483</f>
        <v>1.0233317778814746</v>
      </c>
      <c r="AF483" s="131"/>
    </row>
    <row r="484" spans="1:34" ht="13.8" thickBot="1">
      <c r="A484" s="356" t="s">
        <v>74</v>
      </c>
      <c r="B484" s="402">
        <f>SUM(B470:B479)</f>
        <v>972</v>
      </c>
      <c r="C484" s="396">
        <f>SUM(C471:C480)</f>
        <v>1043</v>
      </c>
      <c r="D484" s="361">
        <f>C484/B484</f>
        <v>1.073045267489712</v>
      </c>
      <c r="E484" s="402">
        <f>SUM(E470:E479)</f>
        <v>812</v>
      </c>
      <c r="F484" s="396">
        <f>SUM(F471:F480)</f>
        <v>833</v>
      </c>
      <c r="G484" s="361">
        <f>F484/E484</f>
        <v>1.0258620689655173</v>
      </c>
      <c r="H484" s="402">
        <f>SUM(H470:H479)</f>
        <v>840</v>
      </c>
      <c r="I484" s="396">
        <f>SUM(I471:I480)</f>
        <v>840</v>
      </c>
      <c r="J484" s="361">
        <f>I484/H484</f>
        <v>1</v>
      </c>
      <c r="K484" s="402">
        <f>SUM(K470:K479)</f>
        <v>905</v>
      </c>
      <c r="L484" s="396">
        <f>SUM(L471:L480)</f>
        <v>935</v>
      </c>
      <c r="M484" s="361">
        <f>L484/K484</f>
        <v>1.0331491712707181</v>
      </c>
      <c r="N484" s="402">
        <f>SUM(N470:N479)</f>
        <v>1094</v>
      </c>
      <c r="O484" s="396">
        <f>SUM(O471:O480)</f>
        <v>1117</v>
      </c>
      <c r="P484" s="361">
        <f>O484/N484</f>
        <v>1.0210237659963437</v>
      </c>
      <c r="Q484" s="402">
        <f>SUM(Q470:Q479)</f>
        <v>992</v>
      </c>
      <c r="R484" s="396">
        <f>SUM(R471:R480)</f>
        <v>1054</v>
      </c>
      <c r="S484" s="361">
        <f>R484/Q484</f>
        <v>1.0625</v>
      </c>
      <c r="T484" s="402">
        <f>SUM(T470:T479)</f>
        <v>1057</v>
      </c>
      <c r="U484" s="396">
        <f>SUM(U471:U480)</f>
        <v>1107</v>
      </c>
      <c r="V484" s="361">
        <f>U484/T484</f>
        <v>1.0473036896877956</v>
      </c>
      <c r="W484" s="402">
        <f>SUM(W470:W479)</f>
        <v>798</v>
      </c>
      <c r="X484" s="396">
        <f>SUM(X471:X480)</f>
        <v>781</v>
      </c>
      <c r="Y484" s="361">
        <f>X484/W484</f>
        <v>0.97869674185463662</v>
      </c>
      <c r="Z484" s="402">
        <f>SUM(Z470:Z479)</f>
        <v>1122</v>
      </c>
      <c r="AA484" s="396">
        <f>SUM(AA471:AA480)</f>
        <v>1144</v>
      </c>
      <c r="AB484" s="365">
        <f>AA484/Z484</f>
        <v>1.0196078431372548</v>
      </c>
      <c r="AC484" s="417">
        <f>SUM(AC471:AC479)</f>
        <v>7704</v>
      </c>
      <c r="AD484" s="416">
        <f>SUM(AD472:AD480)</f>
        <v>7899</v>
      </c>
      <c r="AE484" s="390">
        <f>AD484/AC484</f>
        <v>1.0253115264797508</v>
      </c>
    </row>
    <row r="485" spans="1:34">
      <c r="A485" s="131"/>
      <c r="B485" s="131"/>
      <c r="C485" s="131"/>
      <c r="D485" s="131"/>
      <c r="E485" s="131"/>
      <c r="F485" s="131"/>
      <c r="G485" s="131"/>
      <c r="H485" s="131"/>
      <c r="I485" s="131"/>
      <c r="J485" s="131"/>
      <c r="K485" s="131"/>
      <c r="L485" s="131"/>
      <c r="M485" s="131"/>
      <c r="N485" s="131"/>
      <c r="O485" s="131"/>
      <c r="P485" s="131"/>
      <c r="Q485" s="131"/>
      <c r="R485" s="131"/>
      <c r="S485" s="131"/>
      <c r="T485" s="131"/>
      <c r="U485" s="131"/>
      <c r="V485" s="131"/>
      <c r="W485" s="131"/>
      <c r="X485" s="131"/>
      <c r="Y485" s="131"/>
      <c r="Z485" s="131"/>
      <c r="AA485" s="131"/>
      <c r="AB485" s="131"/>
      <c r="AC485" s="131"/>
    </row>
    <row r="486" spans="1:34" ht="17.399999999999999">
      <c r="A486" s="130" t="s">
        <v>396</v>
      </c>
      <c r="B486" s="131"/>
      <c r="C486" s="130"/>
      <c r="D486" s="131"/>
      <c r="E486" s="131"/>
      <c r="F486" s="131"/>
      <c r="G486" s="131"/>
      <c r="H486" s="131"/>
      <c r="I486" s="131"/>
      <c r="J486" s="131"/>
      <c r="K486" s="131"/>
      <c r="L486" s="131"/>
      <c r="M486" s="131"/>
      <c r="N486" s="131"/>
      <c r="O486" s="131"/>
      <c r="P486" s="131"/>
      <c r="Q486" s="131"/>
      <c r="R486" s="131"/>
      <c r="S486" s="131"/>
      <c r="T486" s="131"/>
      <c r="U486" s="131"/>
      <c r="V486" s="131"/>
      <c r="W486" s="131"/>
      <c r="X486" s="131"/>
      <c r="Y486" s="131"/>
      <c r="Z486" s="131"/>
      <c r="AA486" s="131"/>
      <c r="AB486" s="131"/>
      <c r="AC486" s="131"/>
      <c r="AD486" s="131"/>
      <c r="AE486" s="131"/>
    </row>
    <row r="487" spans="1:34" ht="17.399999999999999">
      <c r="A487" s="130" t="s">
        <v>65</v>
      </c>
      <c r="B487" s="131"/>
      <c r="C487" s="131"/>
      <c r="D487" s="131"/>
      <c r="E487" s="131"/>
      <c r="F487" s="131"/>
      <c r="G487" s="130"/>
      <c r="H487" s="131"/>
      <c r="I487" s="131"/>
      <c r="J487" s="131"/>
      <c r="K487" s="131"/>
      <c r="L487" s="131"/>
      <c r="M487" s="131"/>
      <c r="N487" s="131"/>
      <c r="O487" s="131"/>
      <c r="P487" s="131"/>
      <c r="Q487" s="131"/>
      <c r="R487" s="131"/>
      <c r="S487" s="131"/>
      <c r="T487" s="131"/>
      <c r="U487" s="131"/>
      <c r="V487" s="131"/>
      <c r="W487" s="131"/>
      <c r="X487" s="131"/>
      <c r="Y487" s="131"/>
      <c r="Z487" s="131"/>
      <c r="AA487" s="131"/>
      <c r="AB487" s="131"/>
      <c r="AC487" s="131"/>
      <c r="AD487" s="131"/>
      <c r="AE487" s="131"/>
    </row>
    <row r="488" spans="1:34" ht="13.8" thickBot="1"/>
    <row r="489" spans="1:34">
      <c r="A489" s="351" t="s">
        <v>66</v>
      </c>
      <c r="B489" s="787" t="s">
        <v>67</v>
      </c>
      <c r="C489" s="788"/>
      <c r="D489" s="789"/>
      <c r="E489" s="787" t="s">
        <v>68</v>
      </c>
      <c r="F489" s="788"/>
      <c r="G489" s="789"/>
      <c r="H489" s="787" t="s">
        <v>272</v>
      </c>
      <c r="I489" s="788"/>
      <c r="J489" s="789"/>
      <c r="K489" s="787" t="s">
        <v>69</v>
      </c>
      <c r="L489" s="788"/>
      <c r="M489" s="789"/>
      <c r="N489" s="787" t="s">
        <v>273</v>
      </c>
      <c r="O489" s="788"/>
      <c r="P489" s="789"/>
      <c r="Q489" s="787" t="s">
        <v>371</v>
      </c>
      <c r="R489" s="788"/>
      <c r="S489" s="789"/>
      <c r="T489" s="787" t="s">
        <v>372</v>
      </c>
      <c r="U489" s="788"/>
      <c r="V489" s="789"/>
      <c r="W489" s="787" t="s">
        <v>70</v>
      </c>
      <c r="X489" s="788"/>
      <c r="Y489" s="789"/>
      <c r="Z489" s="787" t="s">
        <v>407</v>
      </c>
      <c r="AA489" s="788"/>
      <c r="AB489" s="788"/>
      <c r="AC489" s="794" t="s">
        <v>52</v>
      </c>
      <c r="AD489" s="795"/>
      <c r="AE489" s="796"/>
    </row>
    <row r="490" spans="1:34" ht="13.8" thickBot="1">
      <c r="A490" s="397"/>
      <c r="B490" s="367" t="s">
        <v>399</v>
      </c>
      <c r="C490" s="368" t="s">
        <v>82</v>
      </c>
      <c r="D490" s="369" t="s">
        <v>79</v>
      </c>
      <c r="E490" s="367" t="s">
        <v>399</v>
      </c>
      <c r="F490" s="368" t="s">
        <v>82</v>
      </c>
      <c r="G490" s="370" t="s">
        <v>71</v>
      </c>
      <c r="H490" s="367" t="s">
        <v>399</v>
      </c>
      <c r="I490" s="368" t="s">
        <v>82</v>
      </c>
      <c r="J490" s="370" t="s">
        <v>71</v>
      </c>
      <c r="K490" s="367" t="s">
        <v>399</v>
      </c>
      <c r="L490" s="368" t="s">
        <v>82</v>
      </c>
      <c r="M490" s="370" t="s">
        <v>71</v>
      </c>
      <c r="N490" s="367" t="s">
        <v>399</v>
      </c>
      <c r="O490" s="368" t="s">
        <v>82</v>
      </c>
      <c r="P490" s="371" t="s">
        <v>71</v>
      </c>
      <c r="Q490" s="367" t="s">
        <v>399</v>
      </c>
      <c r="R490" s="368" t="s">
        <v>82</v>
      </c>
      <c r="S490" s="371" t="s">
        <v>71</v>
      </c>
      <c r="T490" s="367" t="s">
        <v>399</v>
      </c>
      <c r="U490" s="368" t="s">
        <v>82</v>
      </c>
      <c r="V490" s="370" t="s">
        <v>71</v>
      </c>
      <c r="W490" s="367" t="s">
        <v>399</v>
      </c>
      <c r="X490" s="368" t="s">
        <v>82</v>
      </c>
      <c r="Y490" s="371" t="s">
        <v>71</v>
      </c>
      <c r="Z490" s="367" t="s">
        <v>399</v>
      </c>
      <c r="AA490" s="368" t="s">
        <v>82</v>
      </c>
      <c r="AB490" s="379" t="s">
        <v>71</v>
      </c>
      <c r="AC490" s="368" t="s">
        <v>399</v>
      </c>
      <c r="AD490" s="368" t="s">
        <v>82</v>
      </c>
      <c r="AE490" s="384" t="s">
        <v>71</v>
      </c>
    </row>
    <row r="491" spans="1:34" ht="13.8" thickTop="1">
      <c r="A491" s="194"/>
      <c r="B491" s="194"/>
      <c r="C491" s="29"/>
      <c r="D491" s="226"/>
      <c r="E491" s="194"/>
      <c r="F491" s="29"/>
      <c r="G491" s="226"/>
      <c r="H491" s="194"/>
      <c r="I491" s="29"/>
      <c r="J491" s="226"/>
      <c r="K491" s="194"/>
      <c r="L491" s="29"/>
      <c r="M491" s="226"/>
      <c r="N491" s="194"/>
      <c r="O491" s="29"/>
      <c r="P491" s="226"/>
      <c r="Q491" s="194"/>
      <c r="R491" s="29"/>
      <c r="S491" s="226"/>
      <c r="T491" s="194"/>
      <c r="U491" s="29"/>
      <c r="V491" s="226"/>
      <c r="W491" s="194"/>
      <c r="X491" s="29"/>
      <c r="Y491" s="226"/>
      <c r="Z491" s="194"/>
      <c r="AA491" s="29"/>
      <c r="AB491" s="29"/>
      <c r="AC491" s="29"/>
      <c r="AD491" s="29"/>
      <c r="AE491" s="175"/>
    </row>
    <row r="492" spans="1:34">
      <c r="A492" s="394" t="str">
        <f>$A$396</f>
        <v>2011-12</v>
      </c>
      <c r="B492" s="194">
        <f>B$355</f>
        <v>105</v>
      </c>
      <c r="C492" s="29"/>
      <c r="D492" s="226"/>
      <c r="E492" s="194">
        <f>C$355</f>
        <v>81</v>
      </c>
      <c r="F492" s="29"/>
      <c r="G492" s="135"/>
      <c r="H492" s="194">
        <f>D$355</f>
        <v>76</v>
      </c>
      <c r="I492" s="29"/>
      <c r="J492" s="135"/>
      <c r="K492" s="194">
        <f>E$355</f>
        <v>88</v>
      </c>
      <c r="L492" s="29"/>
      <c r="M492" s="135"/>
      <c r="N492" s="194">
        <f>F$355</f>
        <v>118</v>
      </c>
      <c r="O492" s="29"/>
      <c r="P492" s="135"/>
      <c r="Q492" s="194">
        <f>G$355</f>
        <v>89</v>
      </c>
      <c r="R492" s="29"/>
      <c r="S492" s="135"/>
      <c r="T492" s="194">
        <f>H$355</f>
        <v>102</v>
      </c>
      <c r="U492" s="29"/>
      <c r="V492" s="135"/>
      <c r="W492" s="194">
        <f>I$355</f>
        <v>88</v>
      </c>
      <c r="X492" s="29"/>
      <c r="Y492" s="135"/>
      <c r="Z492" s="194">
        <f>J$355</f>
        <v>109</v>
      </c>
      <c r="AA492" s="29"/>
      <c r="AB492" s="134"/>
      <c r="AC492" s="174">
        <f t="shared" ref="AC492:AC506" si="81">Z492+W492+T492+Q492+N492+K492+H492+E492+B492</f>
        <v>856</v>
      </c>
      <c r="AD492" s="29"/>
      <c r="AE492" s="386"/>
    </row>
    <row r="493" spans="1:34">
      <c r="A493" s="394" t="str">
        <f>$A$397</f>
        <v>2012-13</v>
      </c>
      <c r="B493" s="194">
        <f>B$333</f>
        <v>108</v>
      </c>
      <c r="C493" s="29">
        <f>B$334</f>
        <v>81</v>
      </c>
      <c r="D493" s="135">
        <f>C493/B492</f>
        <v>0.77142857142857146</v>
      </c>
      <c r="E493" s="194">
        <f>C$333</f>
        <v>84</v>
      </c>
      <c r="F493" s="29">
        <f>C$334</f>
        <v>93</v>
      </c>
      <c r="G493" s="135">
        <f>F493/E492</f>
        <v>1.1481481481481481</v>
      </c>
      <c r="H493" s="194">
        <f>D$333</f>
        <v>78</v>
      </c>
      <c r="I493" s="29">
        <f>D$334</f>
        <v>85</v>
      </c>
      <c r="J493" s="135">
        <f>I493/H492</f>
        <v>1.118421052631579</v>
      </c>
      <c r="K493" s="194">
        <f>E$333</f>
        <v>91</v>
      </c>
      <c r="L493" s="29">
        <f>E$334</f>
        <v>104</v>
      </c>
      <c r="M493" s="135">
        <f>L493/K492</f>
        <v>1.1818181818181819</v>
      </c>
      <c r="N493" s="194">
        <f>F$333</f>
        <v>122</v>
      </c>
      <c r="O493" s="29">
        <f>F$334</f>
        <v>114</v>
      </c>
      <c r="P493" s="135">
        <f>O493/N492</f>
        <v>0.96610169491525422</v>
      </c>
      <c r="Q493" s="194">
        <f>G$333</f>
        <v>92</v>
      </c>
      <c r="R493" s="29">
        <f>G$334</f>
        <v>118</v>
      </c>
      <c r="S493" s="135">
        <f>R493/Q492</f>
        <v>1.3258426966292134</v>
      </c>
      <c r="T493" s="194">
        <f>H$333</f>
        <v>105</v>
      </c>
      <c r="U493" s="29">
        <f>H$334</f>
        <v>99</v>
      </c>
      <c r="V493" s="135">
        <f>U493/T492</f>
        <v>0.97058823529411764</v>
      </c>
      <c r="W493" s="194">
        <f>I$333</f>
        <v>91</v>
      </c>
      <c r="X493" s="29">
        <f>I$334</f>
        <v>98</v>
      </c>
      <c r="Y493" s="135">
        <f>X493/W492</f>
        <v>1.1136363636363635</v>
      </c>
      <c r="Z493" s="194">
        <f>J$333</f>
        <v>111</v>
      </c>
      <c r="AA493" s="29">
        <f>J$334</f>
        <v>105</v>
      </c>
      <c r="AB493" s="134">
        <f>AA493/Z492</f>
        <v>0.96330275229357798</v>
      </c>
      <c r="AC493" s="174">
        <f t="shared" si="81"/>
        <v>882</v>
      </c>
      <c r="AD493" s="164">
        <f t="shared" ref="AD493:AD506" si="82">AA493+X493+U493+R493+O493+L493+I493+F493+C493</f>
        <v>897</v>
      </c>
      <c r="AE493" s="386">
        <f>AD493/AC492</f>
        <v>1.0478971962616823</v>
      </c>
    </row>
    <row r="494" spans="1:34">
      <c r="A494" s="394" t="str">
        <f>$A$398</f>
        <v>2013-14</v>
      </c>
      <c r="B494" s="194">
        <f>B$311</f>
        <v>107</v>
      </c>
      <c r="C494" s="29">
        <f>B$312</f>
        <v>84</v>
      </c>
      <c r="D494" s="135">
        <f t="shared" ref="D494:D505" si="83">C494/B493</f>
        <v>0.77777777777777779</v>
      </c>
      <c r="E494" s="194">
        <f>C$311</f>
        <v>84</v>
      </c>
      <c r="F494" s="29">
        <f>C$312</f>
        <v>96</v>
      </c>
      <c r="G494" s="135">
        <f t="shared" ref="G494:G505" si="84">F494/E493</f>
        <v>1.1428571428571428</v>
      </c>
      <c r="H494" s="194">
        <f>D$311</f>
        <v>78</v>
      </c>
      <c r="I494" s="29">
        <f>D$312</f>
        <v>88</v>
      </c>
      <c r="J494" s="135">
        <f t="shared" ref="J494:J505" si="85">I494/H493</f>
        <v>1.1282051282051282</v>
      </c>
      <c r="K494" s="194">
        <f>E$311</f>
        <v>90</v>
      </c>
      <c r="L494" s="29">
        <f>E$312</f>
        <v>108</v>
      </c>
      <c r="M494" s="135">
        <f t="shared" ref="M494:M505" si="86">L494/K493</f>
        <v>1.1868131868131868</v>
      </c>
      <c r="N494" s="194">
        <f>F$311</f>
        <v>121</v>
      </c>
      <c r="O494" s="29">
        <f>F$312</f>
        <v>118</v>
      </c>
      <c r="P494" s="135">
        <f t="shared" ref="P494:P505" si="87">O494/N493</f>
        <v>0.96721311475409832</v>
      </c>
      <c r="Q494" s="194">
        <f>G$311</f>
        <v>91</v>
      </c>
      <c r="R494" s="29">
        <f>G$312</f>
        <v>122</v>
      </c>
      <c r="S494" s="135">
        <f t="shared" ref="S494:S505" si="88">R494/Q493</f>
        <v>1.326086956521739</v>
      </c>
      <c r="T494" s="194">
        <f>H$311</f>
        <v>104</v>
      </c>
      <c r="U494" s="29">
        <f>H$312</f>
        <v>103</v>
      </c>
      <c r="V494" s="135">
        <f t="shared" ref="V494:V505" si="89">U494/T493</f>
        <v>0.98095238095238091</v>
      </c>
      <c r="W494" s="194">
        <f>I$311</f>
        <v>90</v>
      </c>
      <c r="X494" s="29">
        <f>I$312</f>
        <v>102</v>
      </c>
      <c r="Y494" s="135">
        <f t="shared" ref="Y494:Y505" si="90">X494/W493</f>
        <v>1.1208791208791209</v>
      </c>
      <c r="Z494" s="194">
        <f>J$311</f>
        <v>114</v>
      </c>
      <c r="AA494" s="29">
        <f>J$312</f>
        <v>106</v>
      </c>
      <c r="AB494" s="134">
        <f t="shared" ref="AB494:AB505" si="91">AA494/Z493</f>
        <v>0.95495495495495497</v>
      </c>
      <c r="AC494" s="174">
        <f t="shared" si="81"/>
        <v>879</v>
      </c>
      <c r="AD494" s="164">
        <f t="shared" si="82"/>
        <v>927</v>
      </c>
      <c r="AE494" s="386">
        <f t="shared" ref="AE494:AE505" si="92">AD494/AC493</f>
        <v>1.0510204081632653</v>
      </c>
    </row>
    <row r="495" spans="1:34">
      <c r="A495" s="394" t="str">
        <f>$A$399</f>
        <v>2014-15</v>
      </c>
      <c r="B495" s="194">
        <f>B$289</f>
        <v>87</v>
      </c>
      <c r="C495" s="29">
        <f>B$290</f>
        <v>112</v>
      </c>
      <c r="D495" s="135">
        <f t="shared" si="83"/>
        <v>1.0467289719626167</v>
      </c>
      <c r="E495" s="194">
        <f>C$289</f>
        <v>75</v>
      </c>
      <c r="F495" s="29">
        <f>C$290</f>
        <v>78</v>
      </c>
      <c r="G495" s="135">
        <f t="shared" si="84"/>
        <v>0.9285714285714286</v>
      </c>
      <c r="H495" s="194">
        <f>D$289</f>
        <v>85</v>
      </c>
      <c r="I495" s="29">
        <f>D$290</f>
        <v>84</v>
      </c>
      <c r="J495" s="135">
        <f t="shared" si="85"/>
        <v>1.0769230769230769</v>
      </c>
      <c r="K495" s="194">
        <f>E$289</f>
        <v>105</v>
      </c>
      <c r="L495" s="29">
        <f>E$290</f>
        <v>94</v>
      </c>
      <c r="M495" s="135">
        <f t="shared" si="86"/>
        <v>1.0444444444444445</v>
      </c>
      <c r="N495" s="194">
        <f>F$289</f>
        <v>117</v>
      </c>
      <c r="O495" s="29">
        <f>F$290</f>
        <v>118</v>
      </c>
      <c r="P495" s="135">
        <f t="shared" si="87"/>
        <v>0.97520661157024791</v>
      </c>
      <c r="Q495" s="194">
        <f>G$289</f>
        <v>112</v>
      </c>
      <c r="R495" s="29">
        <f>G$290</f>
        <v>99</v>
      </c>
      <c r="S495" s="135">
        <f t="shared" si="88"/>
        <v>1.0879120879120878</v>
      </c>
      <c r="T495" s="194">
        <f>H$289</f>
        <v>108</v>
      </c>
      <c r="U495" s="29">
        <f>H$290</f>
        <v>116</v>
      </c>
      <c r="V495" s="135">
        <f t="shared" si="89"/>
        <v>1.1153846153846154</v>
      </c>
      <c r="W495" s="194">
        <f>I$289</f>
        <v>107</v>
      </c>
      <c r="X495" s="29">
        <f>I$290</f>
        <v>84</v>
      </c>
      <c r="Y495" s="135">
        <f t="shared" si="90"/>
        <v>0.93333333333333335</v>
      </c>
      <c r="Z495" s="194">
        <f>J$289</f>
        <v>112</v>
      </c>
      <c r="AA495" s="29">
        <f>J$290</f>
        <v>119</v>
      </c>
      <c r="AB495" s="134">
        <f t="shared" si="91"/>
        <v>1.0438596491228069</v>
      </c>
      <c r="AC495" s="174">
        <f t="shared" si="81"/>
        <v>908</v>
      </c>
      <c r="AD495" s="164">
        <f t="shared" si="82"/>
        <v>904</v>
      </c>
      <c r="AE495" s="386">
        <f t="shared" si="92"/>
        <v>1.0284414106939703</v>
      </c>
    </row>
    <row r="496" spans="1:34">
      <c r="A496" s="394" t="str">
        <f>$A$400</f>
        <v>2015-16</v>
      </c>
      <c r="B496" s="194">
        <f>B$267</f>
        <v>94</v>
      </c>
      <c r="C496" s="29">
        <f>B$268</f>
        <v>92</v>
      </c>
      <c r="D496" s="135">
        <f t="shared" si="83"/>
        <v>1.0574712643678161</v>
      </c>
      <c r="E496" s="194">
        <f>C$267</f>
        <v>88</v>
      </c>
      <c r="F496" s="29">
        <f>C$268</f>
        <v>78</v>
      </c>
      <c r="G496" s="135">
        <f t="shared" si="84"/>
        <v>1.04</v>
      </c>
      <c r="H496" s="194">
        <f>D$267</f>
        <v>87</v>
      </c>
      <c r="I496" s="29">
        <f>D$268</f>
        <v>81</v>
      </c>
      <c r="J496" s="135">
        <f t="shared" si="85"/>
        <v>0.95294117647058818</v>
      </c>
      <c r="K496" s="194">
        <f>E$267</f>
        <v>95</v>
      </c>
      <c r="L496" s="29">
        <f>E$268</f>
        <v>99</v>
      </c>
      <c r="M496" s="135">
        <f t="shared" si="86"/>
        <v>0.94285714285714284</v>
      </c>
      <c r="N496" s="194">
        <f>F$267</f>
        <v>105</v>
      </c>
      <c r="O496" s="29">
        <f>F$268</f>
        <v>128</v>
      </c>
      <c r="P496" s="135">
        <f t="shared" si="87"/>
        <v>1.0940170940170941</v>
      </c>
      <c r="Q496" s="194">
        <f>G$267</f>
        <v>98</v>
      </c>
      <c r="R496" s="29">
        <f>G$268</f>
        <v>119</v>
      </c>
      <c r="S496" s="135">
        <f t="shared" si="88"/>
        <v>1.0625</v>
      </c>
      <c r="T496" s="194">
        <f>H$267</f>
        <v>94</v>
      </c>
      <c r="U496" s="29">
        <f>H$268</f>
        <v>116</v>
      </c>
      <c r="V496" s="135">
        <f t="shared" si="89"/>
        <v>1.0740740740740742</v>
      </c>
      <c r="W496" s="194">
        <f>I$267</f>
        <v>77</v>
      </c>
      <c r="X496" s="29">
        <f>I$268</f>
        <v>107</v>
      </c>
      <c r="Y496" s="135">
        <f t="shared" si="90"/>
        <v>1</v>
      </c>
      <c r="Z496" s="194">
        <f>J$267</f>
        <v>106</v>
      </c>
      <c r="AA496" s="29">
        <f>J$268</f>
        <v>131</v>
      </c>
      <c r="AB496" s="134">
        <f t="shared" si="91"/>
        <v>1.1696428571428572</v>
      </c>
      <c r="AC496" s="174">
        <f t="shared" si="81"/>
        <v>844</v>
      </c>
      <c r="AD496" s="164">
        <f t="shared" si="82"/>
        <v>951</v>
      </c>
      <c r="AE496" s="386">
        <f t="shared" si="92"/>
        <v>1.0473568281938326</v>
      </c>
    </row>
    <row r="497" spans="1:31">
      <c r="A497" s="394" t="str">
        <f>$A$401</f>
        <v>2016-17</v>
      </c>
      <c r="B497" s="194">
        <f>B$245</f>
        <v>95</v>
      </c>
      <c r="C497" s="29">
        <f>B$246</f>
        <v>98</v>
      </c>
      <c r="D497" s="135">
        <f t="shared" si="83"/>
        <v>1.0425531914893618</v>
      </c>
      <c r="E497" s="194">
        <f>C$245</f>
        <v>95</v>
      </c>
      <c r="F497" s="29">
        <f>C$246</f>
        <v>86</v>
      </c>
      <c r="G497" s="135">
        <f t="shared" si="84"/>
        <v>0.97727272727272729</v>
      </c>
      <c r="H497" s="194">
        <f>D$245</f>
        <v>78</v>
      </c>
      <c r="I497" s="29">
        <f>D$246</f>
        <v>89</v>
      </c>
      <c r="J497" s="135">
        <f t="shared" si="85"/>
        <v>1.0229885057471264</v>
      </c>
      <c r="K497" s="194">
        <f>E$245</f>
        <v>101</v>
      </c>
      <c r="L497" s="29">
        <f>E$246</f>
        <v>93</v>
      </c>
      <c r="M497" s="135">
        <f t="shared" si="86"/>
        <v>0.97894736842105268</v>
      </c>
      <c r="N497" s="194">
        <f>F$245</f>
        <v>121</v>
      </c>
      <c r="O497" s="29">
        <f>F$246</f>
        <v>99</v>
      </c>
      <c r="P497" s="135">
        <f t="shared" si="87"/>
        <v>0.94285714285714284</v>
      </c>
      <c r="Q497" s="194">
        <f>G$245</f>
        <v>116</v>
      </c>
      <c r="R497" s="29">
        <f>G$246</f>
        <v>112</v>
      </c>
      <c r="S497" s="135">
        <f t="shared" si="88"/>
        <v>1.1428571428571428</v>
      </c>
      <c r="T497" s="194">
        <f>H$245</f>
        <v>122</v>
      </c>
      <c r="U497" s="29">
        <f>H$246</f>
        <v>108</v>
      </c>
      <c r="V497" s="135">
        <f t="shared" si="89"/>
        <v>1.1489361702127661</v>
      </c>
      <c r="W497" s="194">
        <f>I$245</f>
        <v>73</v>
      </c>
      <c r="X497" s="29">
        <f>I$246</f>
        <v>82</v>
      </c>
      <c r="Y497" s="135">
        <f t="shared" si="90"/>
        <v>1.0649350649350648</v>
      </c>
      <c r="Z497" s="194">
        <f>J$245</f>
        <v>154</v>
      </c>
      <c r="AA497" s="29">
        <f>J$246</f>
        <v>119</v>
      </c>
      <c r="AB497" s="134">
        <f t="shared" si="91"/>
        <v>1.1226415094339623</v>
      </c>
      <c r="AC497" s="174">
        <f t="shared" si="81"/>
        <v>955</v>
      </c>
      <c r="AD497" s="164">
        <f t="shared" si="82"/>
        <v>886</v>
      </c>
      <c r="AE497" s="386">
        <f t="shared" si="92"/>
        <v>1.0497630331753554</v>
      </c>
    </row>
    <row r="498" spans="1:31">
      <c r="A498" s="394" t="str">
        <f>$A$402</f>
        <v>2017-18</v>
      </c>
      <c r="B498" s="194">
        <f>B$223</f>
        <v>89</v>
      </c>
      <c r="C498" s="29">
        <f>B$224</f>
        <v>103</v>
      </c>
      <c r="D498" s="135">
        <f t="shared" si="83"/>
        <v>1.0842105263157895</v>
      </c>
      <c r="E498" s="194">
        <f>C$223</f>
        <v>68</v>
      </c>
      <c r="F498" s="29">
        <f>C$224</f>
        <v>96</v>
      </c>
      <c r="G498" s="135">
        <f t="shared" si="84"/>
        <v>1.0105263157894737</v>
      </c>
      <c r="H498" s="194">
        <f>D$223</f>
        <v>96</v>
      </c>
      <c r="I498" s="29">
        <f>D$224</f>
        <v>85</v>
      </c>
      <c r="J498" s="135">
        <f t="shared" si="85"/>
        <v>1.0897435897435896</v>
      </c>
      <c r="K498" s="194">
        <f>E$223</f>
        <v>86</v>
      </c>
      <c r="L498" s="29">
        <f>E$224</f>
        <v>100</v>
      </c>
      <c r="M498" s="135">
        <f t="shared" si="86"/>
        <v>0.99009900990099009</v>
      </c>
      <c r="N498" s="194">
        <f>F$223</f>
        <v>110</v>
      </c>
      <c r="O498" s="29">
        <f>F$224</f>
        <v>125</v>
      </c>
      <c r="P498" s="135">
        <f t="shared" si="87"/>
        <v>1.0330578512396693</v>
      </c>
      <c r="Q498" s="194">
        <f>G$223</f>
        <v>123</v>
      </c>
      <c r="R498" s="29">
        <f>G$224</f>
        <v>128</v>
      </c>
      <c r="S498" s="135">
        <f t="shared" si="88"/>
        <v>1.103448275862069</v>
      </c>
      <c r="T498" s="194">
        <f>H$223</f>
        <v>113</v>
      </c>
      <c r="U498" s="29">
        <f>H$224</f>
        <v>130</v>
      </c>
      <c r="V498" s="135">
        <f t="shared" si="89"/>
        <v>1.0655737704918034</v>
      </c>
      <c r="W498" s="194">
        <f>I$223</f>
        <v>94</v>
      </c>
      <c r="X498" s="29">
        <f>I$224</f>
        <v>77</v>
      </c>
      <c r="Y498" s="135">
        <f t="shared" si="90"/>
        <v>1.0547945205479452</v>
      </c>
      <c r="Z498" s="194">
        <f>J$223</f>
        <v>122</v>
      </c>
      <c r="AA498" s="29">
        <f>J$224</f>
        <v>154</v>
      </c>
      <c r="AB498" s="134">
        <f t="shared" si="91"/>
        <v>1</v>
      </c>
      <c r="AC498" s="174">
        <f t="shared" si="81"/>
        <v>901</v>
      </c>
      <c r="AD498" s="164">
        <f t="shared" si="82"/>
        <v>998</v>
      </c>
      <c r="AE498" s="386">
        <f t="shared" si="92"/>
        <v>1.0450261780104713</v>
      </c>
    </row>
    <row r="499" spans="1:31">
      <c r="A499" s="394" t="str">
        <f>$A$403</f>
        <v>2018-19</v>
      </c>
      <c r="B499" s="194">
        <f>B$201</f>
        <v>74</v>
      </c>
      <c r="C499" s="29">
        <f>B$202</f>
        <v>95</v>
      </c>
      <c r="D499" s="135">
        <f t="shared" si="83"/>
        <v>1.0674157303370786</v>
      </c>
      <c r="E499" s="194">
        <f>C$201</f>
        <v>94</v>
      </c>
      <c r="F499" s="29">
        <f>C$202</f>
        <v>67</v>
      </c>
      <c r="G499" s="135">
        <f t="shared" si="84"/>
        <v>0.98529411764705888</v>
      </c>
      <c r="H499" s="194">
        <f>D$201</f>
        <v>79</v>
      </c>
      <c r="I499" s="29">
        <f>D$202</f>
        <v>98</v>
      </c>
      <c r="J499" s="135">
        <f t="shared" si="85"/>
        <v>1.0208333333333333</v>
      </c>
      <c r="K499" s="194">
        <f>E$201</f>
        <v>98</v>
      </c>
      <c r="L499" s="29">
        <f>E$202</f>
        <v>94</v>
      </c>
      <c r="M499" s="135">
        <f t="shared" si="86"/>
        <v>1.0930232558139534</v>
      </c>
      <c r="N499" s="194">
        <f>F$201</f>
        <v>116</v>
      </c>
      <c r="O499" s="29">
        <f>F$202</f>
        <v>120</v>
      </c>
      <c r="P499" s="135">
        <f t="shared" si="87"/>
        <v>1.0909090909090908</v>
      </c>
      <c r="Q499" s="194">
        <f>G$201</f>
        <v>106</v>
      </c>
      <c r="R499" s="29">
        <f>G$202</f>
        <v>123</v>
      </c>
      <c r="S499" s="135">
        <f t="shared" si="88"/>
        <v>1</v>
      </c>
      <c r="T499" s="194">
        <f>H$201</f>
        <v>102</v>
      </c>
      <c r="U499" s="29">
        <f>H$202</f>
        <v>113</v>
      </c>
      <c r="V499" s="135">
        <f t="shared" si="89"/>
        <v>1</v>
      </c>
      <c r="W499" s="194">
        <f>I$201</f>
        <v>64</v>
      </c>
      <c r="X499" s="29">
        <f>I$202</f>
        <v>93</v>
      </c>
      <c r="Y499" s="135">
        <f t="shared" si="90"/>
        <v>0.98936170212765961</v>
      </c>
      <c r="Z499" s="194">
        <f>J$201</f>
        <v>140</v>
      </c>
      <c r="AA499" s="29">
        <f>J$202</f>
        <v>129</v>
      </c>
      <c r="AB499" s="134">
        <f t="shared" si="91"/>
        <v>1.0573770491803278</v>
      </c>
      <c r="AC499" s="174">
        <f t="shared" si="81"/>
        <v>873</v>
      </c>
      <c r="AD499" s="164">
        <f t="shared" si="82"/>
        <v>932</v>
      </c>
      <c r="AE499" s="386">
        <f t="shared" si="92"/>
        <v>1.0344062153163152</v>
      </c>
    </row>
    <row r="500" spans="1:31">
      <c r="A500" s="394" t="str">
        <f>$A$404</f>
        <v>2019-20</v>
      </c>
      <c r="B500" s="194">
        <f>B$179</f>
        <v>111</v>
      </c>
      <c r="C500" s="29">
        <f>B$180</f>
        <v>94</v>
      </c>
      <c r="D500" s="135">
        <f t="shared" si="83"/>
        <v>1.2702702702702702</v>
      </c>
      <c r="E500" s="194">
        <f>C$179</f>
        <v>84</v>
      </c>
      <c r="F500" s="29">
        <f>C$180</f>
        <v>92</v>
      </c>
      <c r="G500" s="135">
        <f t="shared" si="84"/>
        <v>0.97872340425531912</v>
      </c>
      <c r="H500" s="194">
        <f>D$179</f>
        <v>84</v>
      </c>
      <c r="I500" s="29">
        <f>D$180</f>
        <v>89</v>
      </c>
      <c r="J500" s="135">
        <f t="shared" si="85"/>
        <v>1.1265822784810127</v>
      </c>
      <c r="K500" s="194">
        <f>E$179</f>
        <v>109</v>
      </c>
      <c r="L500" s="29">
        <f>E$180</f>
        <v>103</v>
      </c>
      <c r="M500" s="135">
        <f t="shared" si="86"/>
        <v>1.0510204081632653</v>
      </c>
      <c r="N500" s="194">
        <f>F$179</f>
        <v>128</v>
      </c>
      <c r="O500" s="29">
        <f>F$180</f>
        <v>124</v>
      </c>
      <c r="P500" s="135">
        <f t="shared" si="87"/>
        <v>1.0689655172413792</v>
      </c>
      <c r="Q500" s="194">
        <f>G$179</f>
        <v>90</v>
      </c>
      <c r="R500" s="29">
        <f>G$180</f>
        <v>115</v>
      </c>
      <c r="S500" s="135">
        <f t="shared" si="88"/>
        <v>1.0849056603773586</v>
      </c>
      <c r="T500" s="194">
        <f>H$179</f>
        <v>111</v>
      </c>
      <c r="U500" s="29">
        <f>H$180</f>
        <v>104</v>
      </c>
      <c r="V500" s="135">
        <f t="shared" si="89"/>
        <v>1.0196078431372548</v>
      </c>
      <c r="W500" s="194">
        <f>I$179</f>
        <v>80</v>
      </c>
      <c r="X500" s="29">
        <f>I$180</f>
        <v>77</v>
      </c>
      <c r="Y500" s="135">
        <f t="shared" si="90"/>
        <v>1.203125</v>
      </c>
      <c r="Z500" s="194">
        <f>J$179</f>
        <v>113</v>
      </c>
      <c r="AA500" s="29">
        <f>J$180</f>
        <v>108</v>
      </c>
      <c r="AB500" s="134">
        <f t="shared" si="91"/>
        <v>0.77142857142857146</v>
      </c>
      <c r="AC500" s="174">
        <f t="shared" si="81"/>
        <v>910</v>
      </c>
      <c r="AD500" s="164">
        <f t="shared" si="82"/>
        <v>906</v>
      </c>
      <c r="AE500" s="386">
        <f t="shared" si="92"/>
        <v>1.0378006872852235</v>
      </c>
    </row>
    <row r="501" spans="1:31">
      <c r="A501" s="394" t="str">
        <f>$A$405</f>
        <v>2020-21</v>
      </c>
      <c r="B501" s="194">
        <f>B$157</f>
        <v>110</v>
      </c>
      <c r="C501" s="29">
        <f>B$158</f>
        <v>111</v>
      </c>
      <c r="D501" s="135">
        <f t="shared" si="83"/>
        <v>1</v>
      </c>
      <c r="E501" s="194">
        <f>C$157</f>
        <v>75</v>
      </c>
      <c r="F501" s="29">
        <f>C$158</f>
        <v>81</v>
      </c>
      <c r="G501" s="135">
        <f t="shared" si="84"/>
        <v>0.9642857142857143</v>
      </c>
      <c r="H501" s="194">
        <f>D$157</f>
        <v>75</v>
      </c>
      <c r="I501" s="29">
        <f>D$158</f>
        <v>94</v>
      </c>
      <c r="J501" s="135">
        <f t="shared" si="85"/>
        <v>1.1190476190476191</v>
      </c>
      <c r="K501" s="194">
        <f>E$157</f>
        <v>79</v>
      </c>
      <c r="L501" s="29">
        <f>E$158</f>
        <v>108</v>
      </c>
      <c r="M501" s="135">
        <f t="shared" si="86"/>
        <v>0.99082568807339455</v>
      </c>
      <c r="N501" s="194">
        <f>F$157</f>
        <v>113</v>
      </c>
      <c r="O501" s="29">
        <f>F$158</f>
        <v>134</v>
      </c>
      <c r="P501" s="135">
        <f t="shared" si="87"/>
        <v>1.046875</v>
      </c>
      <c r="Q501" s="194">
        <f>G$157</f>
        <v>94</v>
      </c>
      <c r="R501" s="29">
        <f>G$158</f>
        <v>95</v>
      </c>
      <c r="S501" s="135">
        <f t="shared" si="88"/>
        <v>1.0555555555555556</v>
      </c>
      <c r="T501" s="194">
        <f>H$157</f>
        <v>111</v>
      </c>
      <c r="U501" s="29">
        <f>H$158</f>
        <v>118</v>
      </c>
      <c r="V501" s="135">
        <f t="shared" si="89"/>
        <v>1.0630630630630631</v>
      </c>
      <c r="W501" s="194">
        <f>I$157</f>
        <v>74</v>
      </c>
      <c r="X501" s="29">
        <f>I$158</f>
        <v>79</v>
      </c>
      <c r="Y501" s="135">
        <f t="shared" si="90"/>
        <v>0.98750000000000004</v>
      </c>
      <c r="Z501" s="194">
        <f>J$157</f>
        <v>98</v>
      </c>
      <c r="AA501" s="29">
        <f>J$158</f>
        <v>100</v>
      </c>
      <c r="AB501" s="134">
        <f t="shared" si="91"/>
        <v>0.88495575221238942</v>
      </c>
      <c r="AC501" s="174">
        <f t="shared" si="81"/>
        <v>829</v>
      </c>
      <c r="AD501" s="164">
        <f t="shared" si="82"/>
        <v>920</v>
      </c>
      <c r="AE501" s="386">
        <f t="shared" si="92"/>
        <v>1.0109890109890109</v>
      </c>
    </row>
    <row r="502" spans="1:31">
      <c r="A502" s="394" t="str">
        <f>$A$406</f>
        <v>2021-22</v>
      </c>
      <c r="B502" s="194">
        <f>B$135</f>
        <v>131</v>
      </c>
      <c r="C502" s="29">
        <f>B$136</f>
        <v>108</v>
      </c>
      <c r="D502" s="135">
        <f t="shared" si="83"/>
        <v>0.98181818181818181</v>
      </c>
      <c r="E502" s="194">
        <f>C$135</f>
        <v>94</v>
      </c>
      <c r="F502" s="29">
        <f>C$136</f>
        <v>77</v>
      </c>
      <c r="G502" s="135">
        <f t="shared" si="84"/>
        <v>1.0266666666666666</v>
      </c>
      <c r="H502" s="194">
        <f>D$135</f>
        <v>81</v>
      </c>
      <c r="I502" s="29">
        <f>D$136</f>
        <v>80</v>
      </c>
      <c r="J502" s="135">
        <f t="shared" si="85"/>
        <v>1.0666666666666667</v>
      </c>
      <c r="K502" s="194">
        <f>E$135</f>
        <v>105</v>
      </c>
      <c r="L502" s="29">
        <f>E$136</f>
        <v>80</v>
      </c>
      <c r="M502" s="135">
        <f t="shared" si="86"/>
        <v>1.0126582278481013</v>
      </c>
      <c r="N502" s="194">
        <f>F$135</f>
        <v>104</v>
      </c>
      <c r="O502" s="29">
        <f>F$136</f>
        <v>120</v>
      </c>
      <c r="P502" s="135">
        <f t="shared" si="87"/>
        <v>1.0619469026548674</v>
      </c>
      <c r="Q502" s="194">
        <f>G$135</f>
        <v>109</v>
      </c>
      <c r="R502" s="29">
        <f>G$136</f>
        <v>105</v>
      </c>
      <c r="S502" s="135">
        <f t="shared" si="88"/>
        <v>1.1170212765957446</v>
      </c>
      <c r="T502" s="194">
        <f>H$135</f>
        <v>107</v>
      </c>
      <c r="U502" s="29">
        <f>H$136</f>
        <v>119</v>
      </c>
      <c r="V502" s="135">
        <f t="shared" si="89"/>
        <v>1.072072072072072</v>
      </c>
      <c r="W502" s="194">
        <f>I$135</f>
        <v>83</v>
      </c>
      <c r="X502" s="29">
        <f>I$136</f>
        <v>71</v>
      </c>
      <c r="Y502" s="135">
        <f t="shared" si="90"/>
        <v>0.95945945945945943</v>
      </c>
      <c r="Z502" s="194">
        <f>J$135</f>
        <v>106</v>
      </c>
      <c r="AA502" s="29">
        <f>J$136</f>
        <v>94</v>
      </c>
      <c r="AB502" s="134">
        <f t="shared" si="91"/>
        <v>0.95918367346938771</v>
      </c>
      <c r="AC502" s="174">
        <f t="shared" si="81"/>
        <v>920</v>
      </c>
      <c r="AD502" s="164">
        <f t="shared" si="82"/>
        <v>854</v>
      </c>
      <c r="AE502" s="386">
        <f t="shared" si="92"/>
        <v>1.0301568154402896</v>
      </c>
    </row>
    <row r="503" spans="1:31">
      <c r="A503" s="394" t="str">
        <f>$A$407</f>
        <v>2022-23</v>
      </c>
      <c r="B503" s="194">
        <f>B$113</f>
        <v>93</v>
      </c>
      <c r="C503" s="29">
        <f>B$114</f>
        <v>131</v>
      </c>
      <c r="D503" s="135">
        <f t="shared" si="83"/>
        <v>1</v>
      </c>
      <c r="E503" s="194">
        <f>C$113</f>
        <v>88</v>
      </c>
      <c r="F503" s="29">
        <f>C$114</f>
        <v>98</v>
      </c>
      <c r="G503" s="135">
        <f t="shared" si="84"/>
        <v>1.0425531914893618</v>
      </c>
      <c r="H503" s="194">
        <f>D$113</f>
        <v>87</v>
      </c>
      <c r="I503" s="29">
        <f>D$114</f>
        <v>87</v>
      </c>
      <c r="J503" s="135">
        <f t="shared" si="85"/>
        <v>1.0740740740740742</v>
      </c>
      <c r="K503" s="194">
        <f>E$113</f>
        <v>82</v>
      </c>
      <c r="L503" s="29">
        <f>E$114</f>
        <v>109</v>
      </c>
      <c r="M503" s="135">
        <f t="shared" si="86"/>
        <v>1.0380952380952382</v>
      </c>
      <c r="N503" s="194">
        <f>F$113</f>
        <v>106</v>
      </c>
      <c r="O503" s="29">
        <f>F$114</f>
        <v>109</v>
      </c>
      <c r="P503" s="135">
        <f t="shared" si="87"/>
        <v>1.0480769230769231</v>
      </c>
      <c r="Q503" s="194">
        <f>G$113</f>
        <v>122</v>
      </c>
      <c r="R503" s="29">
        <f>G$114</f>
        <v>113</v>
      </c>
      <c r="S503" s="135">
        <f t="shared" si="88"/>
        <v>1.036697247706422</v>
      </c>
      <c r="T503" s="194">
        <f>H$113</f>
        <v>108</v>
      </c>
      <c r="U503" s="29">
        <f>H$114</f>
        <v>111</v>
      </c>
      <c r="V503" s="135">
        <f t="shared" si="89"/>
        <v>1.0373831775700935</v>
      </c>
      <c r="W503" s="194">
        <f>I$113</f>
        <v>68</v>
      </c>
      <c r="X503" s="29">
        <f>I$114</f>
        <v>83</v>
      </c>
      <c r="Y503" s="135">
        <f t="shared" si="90"/>
        <v>1</v>
      </c>
      <c r="Z503" s="194">
        <f>J$113</f>
        <v>103</v>
      </c>
      <c r="AA503" s="29">
        <f>J$114</f>
        <v>100</v>
      </c>
      <c r="AB503" s="134">
        <f t="shared" si="91"/>
        <v>0.94339622641509435</v>
      </c>
      <c r="AC503" s="174">
        <f t="shared" si="81"/>
        <v>857</v>
      </c>
      <c r="AD503" s="164">
        <f t="shared" si="82"/>
        <v>941</v>
      </c>
      <c r="AE503" s="386">
        <f t="shared" si="92"/>
        <v>1.0228260869565218</v>
      </c>
    </row>
    <row r="504" spans="1:31">
      <c r="A504" s="394" t="str">
        <f>$A$408</f>
        <v>2023-24</v>
      </c>
      <c r="B504" s="194">
        <f>B$91</f>
        <v>115</v>
      </c>
      <c r="C504" s="29">
        <f>B$92</f>
        <v>96</v>
      </c>
      <c r="D504" s="135">
        <f t="shared" si="83"/>
        <v>1.032258064516129</v>
      </c>
      <c r="E504" s="194">
        <f>C$91</f>
        <v>82</v>
      </c>
      <c r="F504" s="29">
        <f>C$92</f>
        <v>92</v>
      </c>
      <c r="G504" s="135">
        <f t="shared" si="84"/>
        <v>1.0454545454545454</v>
      </c>
      <c r="H504" s="194">
        <f>D$91</f>
        <v>91</v>
      </c>
      <c r="I504" s="29">
        <f>D$92</f>
        <v>87</v>
      </c>
      <c r="J504" s="135">
        <f t="shared" si="85"/>
        <v>1</v>
      </c>
      <c r="K504" s="194">
        <f>E$91</f>
        <v>91</v>
      </c>
      <c r="L504" s="29">
        <f>E$92</f>
        <v>90</v>
      </c>
      <c r="M504" s="135">
        <f t="shared" si="86"/>
        <v>1.0975609756097562</v>
      </c>
      <c r="N504" s="194">
        <f>F$91</f>
        <v>107</v>
      </c>
      <c r="O504" s="29">
        <f>F$92</f>
        <v>107</v>
      </c>
      <c r="P504" s="135">
        <f t="shared" si="87"/>
        <v>1.0094339622641511</v>
      </c>
      <c r="Q504" s="194">
        <f>G$91</f>
        <v>105</v>
      </c>
      <c r="R504" s="29">
        <f>G$92</f>
        <v>123</v>
      </c>
      <c r="S504" s="135">
        <f t="shared" si="88"/>
        <v>1.0081967213114753</v>
      </c>
      <c r="T504" s="194">
        <f>H$91</f>
        <v>114</v>
      </c>
      <c r="U504" s="29">
        <f>H$92</f>
        <v>104</v>
      </c>
      <c r="V504" s="135">
        <f t="shared" si="89"/>
        <v>0.96296296296296291</v>
      </c>
      <c r="W504" s="194">
        <f>I$91</f>
        <v>76</v>
      </c>
      <c r="X504" s="29">
        <f>I$92</f>
        <v>72</v>
      </c>
      <c r="Y504" s="135">
        <f t="shared" si="90"/>
        <v>1.0588235294117647</v>
      </c>
      <c r="Z504" s="194">
        <f>J$91</f>
        <v>104</v>
      </c>
      <c r="AA504" s="29">
        <f>J$92</f>
        <v>104</v>
      </c>
      <c r="AB504" s="134">
        <f t="shared" si="91"/>
        <v>1.0097087378640777</v>
      </c>
      <c r="AC504" s="174">
        <f t="shared" si="81"/>
        <v>885</v>
      </c>
      <c r="AD504" s="164">
        <f t="shared" si="82"/>
        <v>875</v>
      </c>
      <c r="AE504" s="386">
        <f t="shared" si="92"/>
        <v>1.0210035005834306</v>
      </c>
    </row>
    <row r="505" spans="1:31">
      <c r="A505" s="394" t="str">
        <f>$A$409</f>
        <v>2024-25</v>
      </c>
      <c r="B505" s="194">
        <f>B$69</f>
        <v>126</v>
      </c>
      <c r="C505" s="29">
        <f>B$70</f>
        <v>117</v>
      </c>
      <c r="D505" s="135">
        <f t="shared" si="83"/>
        <v>1.017391304347826</v>
      </c>
      <c r="E505" s="194">
        <f>C$69</f>
        <v>72</v>
      </c>
      <c r="F505" s="29">
        <f>C$70</f>
        <v>86</v>
      </c>
      <c r="G505" s="135">
        <f t="shared" si="84"/>
        <v>1.0487804878048781</v>
      </c>
      <c r="H505" s="194">
        <f>D$69</f>
        <v>74</v>
      </c>
      <c r="I505" s="29">
        <f>D$70</f>
        <v>91</v>
      </c>
      <c r="J505" s="135">
        <f t="shared" si="85"/>
        <v>1</v>
      </c>
      <c r="K505" s="194">
        <f>E$69</f>
        <v>100</v>
      </c>
      <c r="L505" s="29">
        <f>E$70</f>
        <v>94</v>
      </c>
      <c r="M505" s="135">
        <f t="shared" si="86"/>
        <v>1.0329670329670331</v>
      </c>
      <c r="N505" s="194">
        <f>F$69</f>
        <v>103</v>
      </c>
      <c r="O505" s="29">
        <f>F$70</f>
        <v>116</v>
      </c>
      <c r="P505" s="135">
        <f t="shared" si="87"/>
        <v>1.0841121495327102</v>
      </c>
      <c r="Q505" s="194">
        <f>G$69</f>
        <v>87</v>
      </c>
      <c r="R505" s="29">
        <f>G$70</f>
        <v>105</v>
      </c>
      <c r="S505" s="135">
        <f t="shared" si="88"/>
        <v>1</v>
      </c>
      <c r="T505" s="194">
        <f>H$69</f>
        <v>99</v>
      </c>
      <c r="U505" s="29">
        <f>H$70</f>
        <v>119</v>
      </c>
      <c r="V505" s="135">
        <f t="shared" si="89"/>
        <v>1.0438596491228069</v>
      </c>
      <c r="W505" s="194">
        <f>I$69</f>
        <v>92</v>
      </c>
      <c r="X505" s="29">
        <f>I$70</f>
        <v>71</v>
      </c>
      <c r="Y505" s="135">
        <f t="shared" si="90"/>
        <v>0.93421052631578949</v>
      </c>
      <c r="Z505" s="194">
        <f>J$69</f>
        <v>95</v>
      </c>
      <c r="AA505" s="29">
        <f>J$70</f>
        <v>112</v>
      </c>
      <c r="AB505" s="134">
        <f t="shared" si="91"/>
        <v>1.0769230769230769</v>
      </c>
      <c r="AC505" s="174">
        <f t="shared" si="81"/>
        <v>848</v>
      </c>
      <c r="AD505" s="164">
        <f t="shared" si="82"/>
        <v>911</v>
      </c>
      <c r="AE505" s="386">
        <f t="shared" si="92"/>
        <v>1.0293785310734462</v>
      </c>
    </row>
    <row r="506" spans="1:31" ht="13.8" thickBot="1">
      <c r="A506" s="341" t="str">
        <f>$A$410</f>
        <v>2025-26</v>
      </c>
      <c r="B506" s="159">
        <f>B$17</f>
        <v>99</v>
      </c>
      <c r="C506" s="136">
        <f>B$18</f>
        <v>132</v>
      </c>
      <c r="D506" s="195">
        <f>C506/B505</f>
        <v>1.0476190476190477</v>
      </c>
      <c r="E506" s="159">
        <f>C$17</f>
        <v>81</v>
      </c>
      <c r="F506" s="136">
        <f>C$18</f>
        <v>79</v>
      </c>
      <c r="G506" s="195">
        <f>F506/E505</f>
        <v>1.0972222222222223</v>
      </c>
      <c r="H506" s="159">
        <f>D$17</f>
        <v>95</v>
      </c>
      <c r="I506" s="136">
        <f>D$18</f>
        <v>80</v>
      </c>
      <c r="J506" s="195">
        <f>I506/H505</f>
        <v>1.0810810810810811</v>
      </c>
      <c r="K506" s="159">
        <f>E$17</f>
        <v>84</v>
      </c>
      <c r="L506" s="136">
        <f>E$18</f>
        <v>104</v>
      </c>
      <c r="M506" s="195">
        <f>L506/K505</f>
        <v>1.04</v>
      </c>
      <c r="N506" s="159">
        <f>F$17</f>
        <v>109</v>
      </c>
      <c r="O506" s="136">
        <f>F$18</f>
        <v>106</v>
      </c>
      <c r="P506" s="195">
        <f>O506/N505</f>
        <v>1.029126213592233</v>
      </c>
      <c r="Q506" s="159">
        <f>G$17</f>
        <v>102</v>
      </c>
      <c r="R506" s="136">
        <f>G$18</f>
        <v>89</v>
      </c>
      <c r="S506" s="195">
        <f>R506/Q505</f>
        <v>1.0229885057471264</v>
      </c>
      <c r="T506" s="159">
        <f>H$17</f>
        <v>120</v>
      </c>
      <c r="U506" s="136">
        <f>H$18</f>
        <v>97</v>
      </c>
      <c r="V506" s="195">
        <f>U506/T505</f>
        <v>0.97979797979797978</v>
      </c>
      <c r="W506" s="159">
        <f>I$17</f>
        <v>77</v>
      </c>
      <c r="X506" s="136">
        <f>I$18</f>
        <v>94</v>
      </c>
      <c r="Y506" s="195">
        <f>X506/W505</f>
        <v>1.0217391304347827</v>
      </c>
      <c r="Z506" s="159">
        <f>J$17</f>
        <v>109</v>
      </c>
      <c r="AA506" s="136">
        <f>J$18</f>
        <v>93</v>
      </c>
      <c r="AB506" s="170">
        <f>AA506/Z505</f>
        <v>0.97894736842105268</v>
      </c>
      <c r="AC506" s="251">
        <f t="shared" si="81"/>
        <v>876</v>
      </c>
      <c r="AD506" s="168">
        <f t="shared" si="82"/>
        <v>874</v>
      </c>
      <c r="AE506" s="388">
        <f>AD506/AC505</f>
        <v>1.0306603773584906</v>
      </c>
    </row>
    <row r="507" spans="1:31" ht="13.8" thickTop="1">
      <c r="A507" s="194"/>
      <c r="B507" s="194"/>
      <c r="C507" s="29"/>
      <c r="D507" s="226"/>
      <c r="E507" s="194"/>
      <c r="F507" s="29"/>
      <c r="G507" s="226"/>
      <c r="H507" s="194"/>
      <c r="I507" s="29"/>
      <c r="J507" s="226"/>
      <c r="K507" s="194"/>
      <c r="L507" s="29"/>
      <c r="M507" s="226"/>
      <c r="N507" s="194"/>
      <c r="O507" s="29"/>
      <c r="P507" s="226"/>
      <c r="Q507" s="194"/>
      <c r="R507" s="29"/>
      <c r="S507" s="226"/>
      <c r="T507" s="194"/>
      <c r="U507" s="29"/>
      <c r="V507" s="226"/>
      <c r="W507" s="194"/>
      <c r="X507" s="29"/>
      <c r="Y507" s="226"/>
      <c r="Z507" s="194"/>
      <c r="AA507" s="29"/>
      <c r="AB507" s="29"/>
      <c r="AC507" s="174"/>
      <c r="AD507" s="164"/>
      <c r="AE507" s="175"/>
    </row>
    <row r="508" spans="1:31">
      <c r="A508" s="415" t="s">
        <v>72</v>
      </c>
      <c r="B508" s="362">
        <f>SUM(B503:B505)</f>
        <v>334</v>
      </c>
      <c r="C508" s="114">
        <f>SUM(C504:C506)</f>
        <v>345</v>
      </c>
      <c r="D508" s="135">
        <f>C508/B508</f>
        <v>1.032934131736527</v>
      </c>
      <c r="E508" s="362">
        <f>SUM(E503:E505)</f>
        <v>242</v>
      </c>
      <c r="F508" s="114">
        <f>SUM(F504:F506)</f>
        <v>257</v>
      </c>
      <c r="G508" s="135">
        <f>F508/E508</f>
        <v>1.0619834710743801</v>
      </c>
      <c r="H508" s="362">
        <f>SUM(H503:H505)</f>
        <v>252</v>
      </c>
      <c r="I508" s="114">
        <f>SUM(I504:I506)</f>
        <v>258</v>
      </c>
      <c r="J508" s="135">
        <f>I508/H508</f>
        <v>1.0238095238095237</v>
      </c>
      <c r="K508" s="362">
        <f>SUM(K503:K505)</f>
        <v>273</v>
      </c>
      <c r="L508" s="114">
        <f>SUM(L504:L506)</f>
        <v>288</v>
      </c>
      <c r="M508" s="135">
        <f>L508/K508</f>
        <v>1.054945054945055</v>
      </c>
      <c r="N508" s="362">
        <f>SUM(N503:N505)</f>
        <v>316</v>
      </c>
      <c r="O508" s="114">
        <f>SUM(O504:O506)</f>
        <v>329</v>
      </c>
      <c r="P508" s="135">
        <f>O508/N508</f>
        <v>1.0411392405063291</v>
      </c>
      <c r="Q508" s="362">
        <f>SUM(Q503:Q505)</f>
        <v>314</v>
      </c>
      <c r="R508" s="114">
        <f>SUM(R504:R506)</f>
        <v>317</v>
      </c>
      <c r="S508" s="135">
        <f>R508/Q508</f>
        <v>1.0095541401273886</v>
      </c>
      <c r="T508" s="362">
        <f>SUM(T503:T505)</f>
        <v>321</v>
      </c>
      <c r="U508" s="114">
        <f>SUM(U504:U506)</f>
        <v>320</v>
      </c>
      <c r="V508" s="135">
        <f>U508/T508</f>
        <v>0.99688473520249221</v>
      </c>
      <c r="W508" s="362">
        <f>SUM(W503:W505)</f>
        <v>236</v>
      </c>
      <c r="X508" s="114">
        <f>SUM(X504:X506)</f>
        <v>237</v>
      </c>
      <c r="Y508" s="135">
        <f>X508/W508</f>
        <v>1.0042372881355932</v>
      </c>
      <c r="Z508" s="362">
        <f>SUM(Z503:Z505)</f>
        <v>302</v>
      </c>
      <c r="AA508" s="114">
        <f>SUM(AA504:AA506)</f>
        <v>309</v>
      </c>
      <c r="AB508" s="134">
        <f>AA508/Z508</f>
        <v>1.0231788079470199</v>
      </c>
      <c r="AC508" s="174">
        <f>SUM(AC503:AC505)</f>
        <v>2590</v>
      </c>
      <c r="AD508" s="164">
        <f>SUM(AD504:AD506)</f>
        <v>2660</v>
      </c>
      <c r="AE508" s="386">
        <f>AD508/AC508</f>
        <v>1.027027027027027</v>
      </c>
    </row>
    <row r="509" spans="1:31">
      <c r="A509" s="415" t="s">
        <v>73</v>
      </c>
      <c r="B509" s="362">
        <f>SUM(B501:B505)</f>
        <v>575</v>
      </c>
      <c r="C509" s="114">
        <f>SUM(C502:C506)</f>
        <v>584</v>
      </c>
      <c r="D509" s="135">
        <f>C509/B509</f>
        <v>1.0156521739130435</v>
      </c>
      <c r="E509" s="362">
        <f>SUM(E501:E505)</f>
        <v>411</v>
      </c>
      <c r="F509" s="114">
        <f>SUM(F502:F506)</f>
        <v>432</v>
      </c>
      <c r="G509" s="135">
        <f>F509/E509</f>
        <v>1.051094890510949</v>
      </c>
      <c r="H509" s="362">
        <f>SUM(H501:H505)</f>
        <v>408</v>
      </c>
      <c r="I509" s="114">
        <f>SUM(I502:I506)</f>
        <v>425</v>
      </c>
      <c r="J509" s="135">
        <f>I509/H509</f>
        <v>1.0416666666666667</v>
      </c>
      <c r="K509" s="362">
        <f>SUM(K501:K505)</f>
        <v>457</v>
      </c>
      <c r="L509" s="114">
        <f>SUM(L502:L506)</f>
        <v>477</v>
      </c>
      <c r="M509" s="135">
        <f>L509/K509</f>
        <v>1.0437636761487965</v>
      </c>
      <c r="N509" s="362">
        <f>SUM(N501:N505)</f>
        <v>533</v>
      </c>
      <c r="O509" s="114">
        <f>SUM(O502:O506)</f>
        <v>558</v>
      </c>
      <c r="P509" s="135">
        <f>O509/N509</f>
        <v>1.0469043151969981</v>
      </c>
      <c r="Q509" s="362">
        <f>SUM(Q501:Q505)</f>
        <v>517</v>
      </c>
      <c r="R509" s="114">
        <f>SUM(R502:R506)</f>
        <v>535</v>
      </c>
      <c r="S509" s="135">
        <f>R509/Q509</f>
        <v>1.0348162475822051</v>
      </c>
      <c r="T509" s="362">
        <f>SUM(T501:T505)</f>
        <v>539</v>
      </c>
      <c r="U509" s="114">
        <f>SUM(U502:U506)</f>
        <v>550</v>
      </c>
      <c r="V509" s="135">
        <f>U509/T509</f>
        <v>1.0204081632653061</v>
      </c>
      <c r="W509" s="362">
        <f>SUM(W501:W505)</f>
        <v>393</v>
      </c>
      <c r="X509" s="114">
        <f>SUM(X502:X506)</f>
        <v>391</v>
      </c>
      <c r="Y509" s="135">
        <f>X509/W509</f>
        <v>0.99491094147582693</v>
      </c>
      <c r="Z509" s="362">
        <f>SUM(Z501:Z505)</f>
        <v>506</v>
      </c>
      <c r="AA509" s="114">
        <f>SUM(AA502:AA506)</f>
        <v>503</v>
      </c>
      <c r="AB509" s="134">
        <f>AA509/Z509</f>
        <v>0.99407114624505932</v>
      </c>
      <c r="AC509" s="174">
        <f>SUM(AC501:AC505)</f>
        <v>4339</v>
      </c>
      <c r="AD509" s="164">
        <f>SUM(AD502:AD506)</f>
        <v>4455</v>
      </c>
      <c r="AE509" s="386">
        <f>AD509/AC509</f>
        <v>1.0267342705692555</v>
      </c>
    </row>
    <row r="510" spans="1:31" ht="13.8" thickBot="1">
      <c r="A510" s="257" t="s">
        <v>74</v>
      </c>
      <c r="B510" s="363">
        <f>SUM(B496:B505)</f>
        <v>1038</v>
      </c>
      <c r="C510" s="396">
        <f>SUM(C497:C506)</f>
        <v>1085</v>
      </c>
      <c r="D510" s="361">
        <f>C510/B510</f>
        <v>1.0452793834296725</v>
      </c>
      <c r="E510" s="363">
        <f>SUM(E496:E505)</f>
        <v>840</v>
      </c>
      <c r="F510" s="396">
        <f>SUM(F497:F506)</f>
        <v>854</v>
      </c>
      <c r="G510" s="361">
        <f>F510/E510</f>
        <v>1.0166666666666666</v>
      </c>
      <c r="H510" s="363">
        <f>SUM(H496:H505)</f>
        <v>832</v>
      </c>
      <c r="I510" s="396">
        <f>SUM(I497:I506)</f>
        <v>880</v>
      </c>
      <c r="J510" s="361">
        <f>I510/H510</f>
        <v>1.0576923076923077</v>
      </c>
      <c r="K510" s="363">
        <f>SUM(K496:K505)</f>
        <v>946</v>
      </c>
      <c r="L510" s="396">
        <f>SUM(L497:L506)</f>
        <v>975</v>
      </c>
      <c r="M510" s="361">
        <f>L510/K510</f>
        <v>1.0306553911205074</v>
      </c>
      <c r="N510" s="363">
        <f>SUM(N496:N505)</f>
        <v>1113</v>
      </c>
      <c r="O510" s="396">
        <f>SUM(O497:O506)</f>
        <v>1160</v>
      </c>
      <c r="P510" s="361">
        <f>O510/N510</f>
        <v>1.0422282120395328</v>
      </c>
      <c r="Q510" s="363">
        <f>SUM(Q496:Q505)</f>
        <v>1050</v>
      </c>
      <c r="R510" s="396">
        <f>SUM(R497:R506)</f>
        <v>1108</v>
      </c>
      <c r="S510" s="361">
        <f>R510/Q510</f>
        <v>1.0552380952380953</v>
      </c>
      <c r="T510" s="363">
        <f>SUM(T496:T505)</f>
        <v>1081</v>
      </c>
      <c r="U510" s="396">
        <f>SUM(U497:U506)</f>
        <v>1123</v>
      </c>
      <c r="V510" s="361">
        <f>U510/T510</f>
        <v>1.0388529139685476</v>
      </c>
      <c r="W510" s="363">
        <f>SUM(W496:W505)</f>
        <v>781</v>
      </c>
      <c r="X510" s="396">
        <f>SUM(X497:X506)</f>
        <v>799</v>
      </c>
      <c r="Y510" s="361">
        <f>X510/W510</f>
        <v>1.0230473751600513</v>
      </c>
      <c r="Z510" s="363">
        <f>SUM(Z496:Z505)</f>
        <v>1141</v>
      </c>
      <c r="AA510" s="396">
        <f>SUM(AA497:AA506)</f>
        <v>1113</v>
      </c>
      <c r="AB510" s="365">
        <f>AA510/Z510</f>
        <v>0.97546012269938653</v>
      </c>
      <c r="AC510" s="180">
        <f>SUM(AC496:AC505)</f>
        <v>8822</v>
      </c>
      <c r="AD510" s="416">
        <f>SUM(AD497:AD506)</f>
        <v>9097</v>
      </c>
      <c r="AE510" s="390">
        <f>AD510/AC510</f>
        <v>1.0311720698254363</v>
      </c>
    </row>
    <row r="512" spans="1:31" ht="17.399999999999999">
      <c r="A512" s="130" t="s">
        <v>277</v>
      </c>
      <c r="B512" s="131"/>
      <c r="C512" s="130"/>
      <c r="D512" s="131"/>
      <c r="E512" s="131"/>
      <c r="F512" s="131"/>
      <c r="G512" s="131"/>
      <c r="H512" s="131"/>
      <c r="I512" s="131"/>
      <c r="J512" s="131"/>
      <c r="K512" s="131"/>
      <c r="L512" s="131"/>
      <c r="M512" s="131"/>
      <c r="N512" s="131"/>
      <c r="O512" s="131"/>
      <c r="P512" s="131"/>
      <c r="Q512" s="131"/>
      <c r="R512" s="131"/>
      <c r="S512" s="131"/>
      <c r="T512" s="131"/>
      <c r="U512" s="131"/>
      <c r="V512" s="131"/>
      <c r="W512" s="131"/>
      <c r="X512" s="131"/>
      <c r="Y512" s="131"/>
      <c r="Z512" s="131"/>
      <c r="AA512" s="131"/>
      <c r="AB512" s="131"/>
      <c r="AC512" s="131"/>
      <c r="AD512" s="131"/>
      <c r="AE512" s="131"/>
    </row>
    <row r="513" spans="1:31" ht="17.399999999999999">
      <c r="A513" s="130" t="s">
        <v>65</v>
      </c>
      <c r="B513" s="131"/>
      <c r="C513" s="131"/>
      <c r="D513" s="131"/>
      <c r="E513" s="131"/>
      <c r="F513" s="131"/>
      <c r="G513" s="130"/>
      <c r="H513" s="131"/>
      <c r="I513" s="131"/>
      <c r="J513" s="131"/>
      <c r="K513" s="131"/>
      <c r="L513" s="131"/>
      <c r="M513" s="131"/>
      <c r="N513" s="131"/>
      <c r="O513" s="131"/>
      <c r="P513" s="131"/>
      <c r="Q513" s="131"/>
      <c r="R513" s="131"/>
      <c r="S513" s="131"/>
      <c r="T513" s="131"/>
      <c r="U513" s="131"/>
      <c r="V513" s="131"/>
      <c r="W513" s="131"/>
      <c r="X513" s="131"/>
      <c r="Y513" s="131"/>
      <c r="Z513" s="131"/>
      <c r="AA513" s="131"/>
      <c r="AB513" s="131"/>
      <c r="AC513" s="131"/>
      <c r="AD513" s="131"/>
      <c r="AE513" s="131"/>
    </row>
    <row r="514" spans="1:31" ht="13.8" thickBot="1"/>
    <row r="515" spans="1:31">
      <c r="A515" s="353" t="s">
        <v>66</v>
      </c>
      <c r="B515" s="787" t="s">
        <v>67</v>
      </c>
      <c r="C515" s="788"/>
      <c r="D515" s="789"/>
      <c r="E515" s="787" t="s">
        <v>68</v>
      </c>
      <c r="F515" s="788"/>
      <c r="G515" s="789"/>
      <c r="H515" s="787" t="s">
        <v>272</v>
      </c>
      <c r="I515" s="788"/>
      <c r="J515" s="789"/>
      <c r="K515" s="787" t="s">
        <v>69</v>
      </c>
      <c r="L515" s="788"/>
      <c r="M515" s="789"/>
      <c r="N515" s="787" t="s">
        <v>273</v>
      </c>
      <c r="O515" s="788"/>
      <c r="P515" s="789"/>
      <c r="Q515" s="787" t="s">
        <v>371</v>
      </c>
      <c r="R515" s="788"/>
      <c r="S515" s="789"/>
      <c r="T515" s="787" t="s">
        <v>372</v>
      </c>
      <c r="U515" s="788"/>
      <c r="V515" s="789"/>
      <c r="W515" s="787" t="s">
        <v>70</v>
      </c>
      <c r="X515" s="788"/>
      <c r="Y515" s="789"/>
      <c r="Z515" s="787" t="s">
        <v>407</v>
      </c>
      <c r="AA515" s="788"/>
      <c r="AB515" s="788"/>
      <c r="AC515" s="794" t="s">
        <v>52</v>
      </c>
      <c r="AD515" s="795"/>
      <c r="AE515" s="796"/>
    </row>
    <row r="516" spans="1:31" ht="13.8" thickBot="1">
      <c r="A516" s="366"/>
      <c r="B516" s="367" t="s">
        <v>82</v>
      </c>
      <c r="C516" s="368" t="s">
        <v>83</v>
      </c>
      <c r="D516" s="369" t="s">
        <v>79</v>
      </c>
      <c r="E516" s="367" t="s">
        <v>82</v>
      </c>
      <c r="F516" s="368" t="s">
        <v>83</v>
      </c>
      <c r="G516" s="370" t="s">
        <v>71</v>
      </c>
      <c r="H516" s="367" t="s">
        <v>82</v>
      </c>
      <c r="I516" s="368" t="s">
        <v>83</v>
      </c>
      <c r="J516" s="370" t="s">
        <v>71</v>
      </c>
      <c r="K516" s="367" t="s">
        <v>82</v>
      </c>
      <c r="L516" s="368" t="s">
        <v>83</v>
      </c>
      <c r="M516" s="370" t="s">
        <v>71</v>
      </c>
      <c r="N516" s="367" t="s">
        <v>82</v>
      </c>
      <c r="O516" s="368" t="s">
        <v>83</v>
      </c>
      <c r="P516" s="371" t="s">
        <v>71</v>
      </c>
      <c r="Q516" s="367" t="s">
        <v>82</v>
      </c>
      <c r="R516" s="368" t="s">
        <v>83</v>
      </c>
      <c r="S516" s="371" t="s">
        <v>71</v>
      </c>
      <c r="T516" s="367" t="s">
        <v>82</v>
      </c>
      <c r="U516" s="368" t="s">
        <v>83</v>
      </c>
      <c r="V516" s="370" t="s">
        <v>71</v>
      </c>
      <c r="W516" s="367" t="s">
        <v>82</v>
      </c>
      <c r="X516" s="368" t="s">
        <v>83</v>
      </c>
      <c r="Y516" s="371" t="s">
        <v>71</v>
      </c>
      <c r="Z516" s="367" t="s">
        <v>82</v>
      </c>
      <c r="AA516" s="368" t="s">
        <v>83</v>
      </c>
      <c r="AB516" s="379" t="s">
        <v>71</v>
      </c>
      <c r="AC516" s="383" t="s">
        <v>82</v>
      </c>
      <c r="AD516" s="368" t="s">
        <v>83</v>
      </c>
      <c r="AE516" s="384" t="s">
        <v>71</v>
      </c>
    </row>
    <row r="517" spans="1:31" ht="13.8" thickTop="1">
      <c r="A517" s="222"/>
      <c r="B517" s="194"/>
      <c r="C517" s="29"/>
      <c r="D517" s="226"/>
      <c r="E517" s="194"/>
      <c r="F517" s="29"/>
      <c r="G517" s="226"/>
      <c r="H517" s="194"/>
      <c r="I517" s="29"/>
      <c r="J517" s="226"/>
      <c r="K517" s="194"/>
      <c r="L517" s="29"/>
      <c r="M517" s="226"/>
      <c r="N517" s="194"/>
      <c r="O517" s="29"/>
      <c r="P517" s="226"/>
      <c r="Q517" s="194"/>
      <c r="R517" s="29"/>
      <c r="S517" s="226"/>
      <c r="T517" s="194"/>
      <c r="U517" s="29"/>
      <c r="V517" s="226"/>
      <c r="W517" s="194"/>
      <c r="X517" s="29"/>
      <c r="Y517" s="226"/>
      <c r="Z517" s="194"/>
      <c r="AA517" s="29"/>
      <c r="AB517" s="29"/>
      <c r="AC517" s="174"/>
      <c r="AD517" s="29"/>
      <c r="AE517" s="175"/>
    </row>
    <row r="518" spans="1:31">
      <c r="A518" s="222" t="str">
        <f>$A$396</f>
        <v>2011-12</v>
      </c>
      <c r="B518" s="194">
        <f>B$356</f>
        <v>81</v>
      </c>
      <c r="C518" s="29"/>
      <c r="D518" s="226"/>
      <c r="E518" s="194">
        <f>C$356</f>
        <v>93</v>
      </c>
      <c r="F518" s="29"/>
      <c r="G518" s="135"/>
      <c r="H518" s="194">
        <f>D$356</f>
        <v>85</v>
      </c>
      <c r="I518" s="29"/>
      <c r="J518" s="135"/>
      <c r="K518" s="194">
        <f>E$356</f>
        <v>104</v>
      </c>
      <c r="L518" s="29"/>
      <c r="M518" s="135"/>
      <c r="N518" s="194">
        <f>F$356</f>
        <v>114</v>
      </c>
      <c r="O518" s="29"/>
      <c r="P518" s="135"/>
      <c r="Q518" s="194">
        <f>G$356</f>
        <v>118</v>
      </c>
      <c r="R518" s="29"/>
      <c r="S518" s="135"/>
      <c r="T518" s="194">
        <f>H$356</f>
        <v>100</v>
      </c>
      <c r="U518" s="29"/>
      <c r="V518" s="135"/>
      <c r="W518" s="194">
        <f>I$356</f>
        <v>99</v>
      </c>
      <c r="X518" s="29"/>
      <c r="Y518" s="135"/>
      <c r="Z518" s="194">
        <f>J$356</f>
        <v>104</v>
      </c>
      <c r="AA518" s="29"/>
      <c r="AB518" s="134"/>
      <c r="AC518" s="174">
        <f t="shared" ref="AC518:AC532" si="93">Z518+W518+T518+Q518+N518+K518+H518+E518+B518</f>
        <v>898</v>
      </c>
      <c r="AD518" s="29"/>
      <c r="AE518" s="386"/>
    </row>
    <row r="519" spans="1:31">
      <c r="A519" s="222" t="str">
        <f>$A$397</f>
        <v>2012-13</v>
      </c>
      <c r="B519" s="194">
        <f>B$334</f>
        <v>81</v>
      </c>
      <c r="C519" s="29">
        <f>B$335</f>
        <v>112</v>
      </c>
      <c r="D519" s="135">
        <f>C519/B518</f>
        <v>1.382716049382716</v>
      </c>
      <c r="E519" s="194">
        <f>C$334</f>
        <v>93</v>
      </c>
      <c r="F519" s="29">
        <f>C$335</f>
        <v>82</v>
      </c>
      <c r="G519" s="135">
        <f>F519/E518</f>
        <v>0.88172043010752688</v>
      </c>
      <c r="H519" s="194">
        <f>D$334</f>
        <v>85</v>
      </c>
      <c r="I519" s="29">
        <f>D$335</f>
        <v>91</v>
      </c>
      <c r="J519" s="135">
        <f>I519/H518</f>
        <v>1.0705882352941176</v>
      </c>
      <c r="K519" s="194">
        <f>E$334</f>
        <v>104</v>
      </c>
      <c r="L519" s="29">
        <f>E$335</f>
        <v>85</v>
      </c>
      <c r="M519" s="135">
        <f>L519/K518</f>
        <v>0.81730769230769229</v>
      </c>
      <c r="N519" s="194">
        <f>F$334</f>
        <v>114</v>
      </c>
      <c r="O519" s="29">
        <f>F$335</f>
        <v>131</v>
      </c>
      <c r="P519" s="135">
        <f>O519/N518</f>
        <v>1.1491228070175439</v>
      </c>
      <c r="Q519" s="194">
        <f>G$334</f>
        <v>118</v>
      </c>
      <c r="R519" s="29">
        <f>G$335</f>
        <v>112</v>
      </c>
      <c r="S519" s="135">
        <f>R519/Q518</f>
        <v>0.94915254237288138</v>
      </c>
      <c r="T519" s="194">
        <f>H$334</f>
        <v>99</v>
      </c>
      <c r="U519" s="29">
        <f>H$335</f>
        <v>99</v>
      </c>
      <c r="V519" s="135">
        <f>U519/T518</f>
        <v>0.99</v>
      </c>
      <c r="W519" s="194">
        <f>I$334</f>
        <v>98</v>
      </c>
      <c r="X519" s="29">
        <f>I$335</f>
        <v>86</v>
      </c>
      <c r="Y519" s="135">
        <f>X519/W518</f>
        <v>0.86868686868686873</v>
      </c>
      <c r="Z519" s="194">
        <f>J$334</f>
        <v>105</v>
      </c>
      <c r="AA519" s="29">
        <f>J$335</f>
        <v>114</v>
      </c>
      <c r="AB519" s="134">
        <f>AA519/Z518</f>
        <v>1.0961538461538463</v>
      </c>
      <c r="AC519" s="174">
        <f t="shared" si="93"/>
        <v>897</v>
      </c>
      <c r="AD519" s="29">
        <f t="shared" ref="AD519:AD532" si="94">AA519+X519+U519+R519+O519+L519+I519+F519+C519</f>
        <v>912</v>
      </c>
      <c r="AE519" s="386">
        <f>AD519/AC518</f>
        <v>1.0155902004454342</v>
      </c>
    </row>
    <row r="520" spans="1:31">
      <c r="A520" s="222" t="str">
        <f>$A$398</f>
        <v>2013-14</v>
      </c>
      <c r="B520" s="194">
        <f>B$312</f>
        <v>84</v>
      </c>
      <c r="C520" s="29">
        <f>B$313</f>
        <v>114</v>
      </c>
      <c r="D520" s="135">
        <f t="shared" ref="D520:D531" si="95">C520/B519</f>
        <v>1.4074074074074074</v>
      </c>
      <c r="E520" s="194">
        <f>C$312</f>
        <v>96</v>
      </c>
      <c r="F520" s="29">
        <f>C$313</f>
        <v>83</v>
      </c>
      <c r="G520" s="135">
        <f t="shared" ref="G520:G531" si="96">F520/E519</f>
        <v>0.89247311827956988</v>
      </c>
      <c r="H520" s="194">
        <f>D$312</f>
        <v>88</v>
      </c>
      <c r="I520" s="29">
        <f>D$313</f>
        <v>93</v>
      </c>
      <c r="J520" s="135">
        <f t="shared" ref="J520:J531" si="97">I520/H519</f>
        <v>1.0941176470588236</v>
      </c>
      <c r="K520" s="194">
        <f>E$312</f>
        <v>108</v>
      </c>
      <c r="L520" s="29">
        <f>E$313</f>
        <v>86</v>
      </c>
      <c r="M520" s="135">
        <f t="shared" ref="M520:M531" si="98">L520/K519</f>
        <v>0.82692307692307687</v>
      </c>
      <c r="N520" s="194">
        <f>F$312</f>
        <v>118</v>
      </c>
      <c r="O520" s="29">
        <f>F$313</f>
        <v>133</v>
      </c>
      <c r="P520" s="135">
        <f t="shared" ref="P520:P531" si="99">O520/N519</f>
        <v>1.1666666666666667</v>
      </c>
      <c r="Q520" s="194">
        <f>G$312</f>
        <v>122</v>
      </c>
      <c r="R520" s="29">
        <f>G$313</f>
        <v>114</v>
      </c>
      <c r="S520" s="135">
        <f t="shared" ref="S520:S531" si="100">R520/Q519</f>
        <v>0.96610169491525422</v>
      </c>
      <c r="T520" s="194">
        <f>H$312</f>
        <v>103</v>
      </c>
      <c r="U520" s="29">
        <f>H$313</f>
        <v>101</v>
      </c>
      <c r="V520" s="135">
        <f t="shared" ref="V520:V531" si="101">U520/T519</f>
        <v>1.0202020202020201</v>
      </c>
      <c r="W520" s="194">
        <f>I$312</f>
        <v>102</v>
      </c>
      <c r="X520" s="29">
        <f>I$313</f>
        <v>88</v>
      </c>
      <c r="Y520" s="135">
        <f t="shared" ref="Y520:Y531" si="102">X520/W519</f>
        <v>0.89795918367346939</v>
      </c>
      <c r="Z520" s="194">
        <f>J$312</f>
        <v>106</v>
      </c>
      <c r="AA520" s="29">
        <f>J$313</f>
        <v>117</v>
      </c>
      <c r="AB520" s="134">
        <f t="shared" ref="AB520:AB531" si="103">AA520/Z519</f>
        <v>1.1142857142857143</v>
      </c>
      <c r="AC520" s="174">
        <f t="shared" si="93"/>
        <v>927</v>
      </c>
      <c r="AD520" s="29">
        <f t="shared" si="94"/>
        <v>929</v>
      </c>
      <c r="AE520" s="386">
        <f t="shared" ref="AE520:AE532" si="104">AD520/AC519</f>
        <v>1.0356744704570791</v>
      </c>
    </row>
    <row r="521" spans="1:31">
      <c r="A521" s="222" t="str">
        <f>$A$399</f>
        <v>2014-15</v>
      </c>
      <c r="B521" s="194">
        <f>B$290</f>
        <v>112</v>
      </c>
      <c r="C521" s="29">
        <f>B$291</f>
        <v>97</v>
      </c>
      <c r="D521" s="135">
        <f t="shared" si="95"/>
        <v>1.1547619047619047</v>
      </c>
      <c r="E521" s="194">
        <f>C$290</f>
        <v>78</v>
      </c>
      <c r="F521" s="29">
        <f>C$291</f>
        <v>76</v>
      </c>
      <c r="G521" s="135">
        <f t="shared" si="96"/>
        <v>0.79166666666666663</v>
      </c>
      <c r="H521" s="194">
        <f>D$290</f>
        <v>84</v>
      </c>
      <c r="I521" s="29">
        <f>D$291</f>
        <v>74</v>
      </c>
      <c r="J521" s="135">
        <f t="shared" si="97"/>
        <v>0.84090909090909094</v>
      </c>
      <c r="K521" s="194">
        <f>E$290</f>
        <v>94</v>
      </c>
      <c r="L521" s="29">
        <f>E$291</f>
        <v>121</v>
      </c>
      <c r="M521" s="135">
        <f t="shared" si="98"/>
        <v>1.1203703703703705</v>
      </c>
      <c r="N521" s="194">
        <f>F$290</f>
        <v>118</v>
      </c>
      <c r="O521" s="29">
        <f>F$291</f>
        <v>125</v>
      </c>
      <c r="P521" s="135">
        <f t="shared" si="99"/>
        <v>1.0593220338983051</v>
      </c>
      <c r="Q521" s="194">
        <f>G$290</f>
        <v>99</v>
      </c>
      <c r="R521" s="29">
        <f>G$291</f>
        <v>141</v>
      </c>
      <c r="S521" s="135">
        <f t="shared" si="100"/>
        <v>1.1557377049180328</v>
      </c>
      <c r="T521" s="194">
        <f>H$290</f>
        <v>116</v>
      </c>
      <c r="U521" s="29">
        <f>H$291</f>
        <v>108</v>
      </c>
      <c r="V521" s="135">
        <f t="shared" si="101"/>
        <v>1.0485436893203883</v>
      </c>
      <c r="W521" s="194">
        <f>I$290</f>
        <v>84</v>
      </c>
      <c r="X521" s="29">
        <f>I$291</f>
        <v>102</v>
      </c>
      <c r="Y521" s="135">
        <f t="shared" si="102"/>
        <v>1</v>
      </c>
      <c r="Z521" s="194">
        <f>J$290</f>
        <v>119</v>
      </c>
      <c r="AA521" s="29">
        <f>J$291</f>
        <v>117</v>
      </c>
      <c r="AB521" s="134">
        <f t="shared" si="103"/>
        <v>1.1037735849056605</v>
      </c>
      <c r="AC521" s="174">
        <f t="shared" si="93"/>
        <v>904</v>
      </c>
      <c r="AD521" s="29">
        <f t="shared" si="94"/>
        <v>961</v>
      </c>
      <c r="AE521" s="386">
        <f t="shared" si="104"/>
        <v>1.0366774541531822</v>
      </c>
    </row>
    <row r="522" spans="1:31">
      <c r="A522" s="222" t="str">
        <f>$A$400</f>
        <v>2015-16</v>
      </c>
      <c r="B522" s="194">
        <f>B$268</f>
        <v>92</v>
      </c>
      <c r="C522" s="29">
        <f>B$269</f>
        <v>118</v>
      </c>
      <c r="D522" s="135">
        <f t="shared" si="95"/>
        <v>1.0535714285714286</v>
      </c>
      <c r="E522" s="194">
        <f>C$268</f>
        <v>78</v>
      </c>
      <c r="F522" s="29">
        <f>C$269</f>
        <v>78</v>
      </c>
      <c r="G522" s="135">
        <f t="shared" si="96"/>
        <v>1</v>
      </c>
      <c r="H522" s="194">
        <f>D$268</f>
        <v>81</v>
      </c>
      <c r="I522" s="29">
        <f>D$269</f>
        <v>86</v>
      </c>
      <c r="J522" s="135">
        <f t="shared" si="97"/>
        <v>1.0238095238095237</v>
      </c>
      <c r="K522" s="194">
        <f>E$268</f>
        <v>99</v>
      </c>
      <c r="L522" s="29">
        <f>E$269</f>
        <v>91</v>
      </c>
      <c r="M522" s="135">
        <f t="shared" si="98"/>
        <v>0.96808510638297873</v>
      </c>
      <c r="N522" s="194">
        <f>F$268</f>
        <v>128</v>
      </c>
      <c r="O522" s="29">
        <f>F$269</f>
        <v>118</v>
      </c>
      <c r="P522" s="135">
        <f t="shared" si="99"/>
        <v>1</v>
      </c>
      <c r="Q522" s="194">
        <f>G$268</f>
        <v>119</v>
      </c>
      <c r="R522" s="29">
        <f>G$269</f>
        <v>97</v>
      </c>
      <c r="S522" s="135">
        <f t="shared" si="100"/>
        <v>0.97979797979797978</v>
      </c>
      <c r="T522" s="194">
        <f>H$268</f>
        <v>116</v>
      </c>
      <c r="U522" s="29">
        <f>H$269</f>
        <v>125</v>
      </c>
      <c r="V522" s="135">
        <f t="shared" si="101"/>
        <v>1.0775862068965518</v>
      </c>
      <c r="W522" s="194">
        <f>I$268</f>
        <v>107</v>
      </c>
      <c r="X522" s="29">
        <f>I$269</f>
        <v>83</v>
      </c>
      <c r="Y522" s="135">
        <f t="shared" si="102"/>
        <v>0.98809523809523814</v>
      </c>
      <c r="Z522" s="194">
        <f>J$268</f>
        <v>131</v>
      </c>
      <c r="AA522" s="29">
        <f>J$269</f>
        <v>131</v>
      </c>
      <c r="AB522" s="134">
        <f t="shared" si="103"/>
        <v>1.1008403361344539</v>
      </c>
      <c r="AC522" s="174">
        <f t="shared" si="93"/>
        <v>951</v>
      </c>
      <c r="AD522" s="29">
        <f t="shared" si="94"/>
        <v>927</v>
      </c>
      <c r="AE522" s="386">
        <f t="shared" si="104"/>
        <v>1.0254424778761062</v>
      </c>
    </row>
    <row r="523" spans="1:31">
      <c r="A523" s="222" t="str">
        <f>$A$401</f>
        <v>2016-17</v>
      </c>
      <c r="B523" s="194">
        <f>B$246</f>
        <v>98</v>
      </c>
      <c r="C523" s="29">
        <f>B$247</f>
        <v>99</v>
      </c>
      <c r="D523" s="135">
        <f t="shared" si="95"/>
        <v>1.076086956521739</v>
      </c>
      <c r="E523" s="194">
        <f>C$246</f>
        <v>86</v>
      </c>
      <c r="F523" s="29">
        <f>C$247</f>
        <v>77</v>
      </c>
      <c r="G523" s="135">
        <f t="shared" si="96"/>
        <v>0.98717948717948723</v>
      </c>
      <c r="H523" s="194">
        <f>D$246</f>
        <v>89</v>
      </c>
      <c r="I523" s="29">
        <f>D$247</f>
        <v>87</v>
      </c>
      <c r="J523" s="135">
        <f t="shared" si="97"/>
        <v>1.0740740740740742</v>
      </c>
      <c r="K523" s="194">
        <f>E$246</f>
        <v>93</v>
      </c>
      <c r="L523" s="29">
        <f>E$247</f>
        <v>89</v>
      </c>
      <c r="M523" s="135">
        <f t="shared" si="98"/>
        <v>0.89898989898989901</v>
      </c>
      <c r="N523" s="194">
        <f>F$246</f>
        <v>99</v>
      </c>
      <c r="O523" s="29">
        <f>F$247</f>
        <v>131</v>
      </c>
      <c r="P523" s="135">
        <f t="shared" si="99"/>
        <v>1.0234375</v>
      </c>
      <c r="Q523" s="194">
        <f>G$246</f>
        <v>112</v>
      </c>
      <c r="R523" s="29">
        <f>G$247</f>
        <v>128</v>
      </c>
      <c r="S523" s="135">
        <f t="shared" si="100"/>
        <v>1.0756302521008403</v>
      </c>
      <c r="T523" s="194">
        <f>H$246</f>
        <v>108</v>
      </c>
      <c r="U523" s="29">
        <f>H$247</f>
        <v>109</v>
      </c>
      <c r="V523" s="135">
        <f t="shared" si="101"/>
        <v>0.93965517241379315</v>
      </c>
      <c r="W523" s="194">
        <f>I$246</f>
        <v>82</v>
      </c>
      <c r="X523" s="29">
        <f>I$247</f>
        <v>103</v>
      </c>
      <c r="Y523" s="135">
        <f t="shared" si="102"/>
        <v>0.96261682242990654</v>
      </c>
      <c r="Z523" s="194">
        <f>J$246</f>
        <v>119</v>
      </c>
      <c r="AA523" s="29">
        <f>J$247</f>
        <v>139</v>
      </c>
      <c r="AB523" s="134">
        <f t="shared" si="103"/>
        <v>1.0610687022900764</v>
      </c>
      <c r="AC523" s="174">
        <f t="shared" si="93"/>
        <v>886</v>
      </c>
      <c r="AD523" s="29">
        <f t="shared" si="94"/>
        <v>962</v>
      </c>
      <c r="AE523" s="386">
        <f t="shared" si="104"/>
        <v>1.0115667718191377</v>
      </c>
    </row>
    <row r="524" spans="1:31">
      <c r="A524" s="222" t="str">
        <f>$A$402</f>
        <v>2017-18</v>
      </c>
      <c r="B524" s="194">
        <f>B$224</f>
        <v>103</v>
      </c>
      <c r="C524" s="29">
        <f>B$225</f>
        <v>95</v>
      </c>
      <c r="D524" s="135">
        <f t="shared" si="95"/>
        <v>0.96938775510204078</v>
      </c>
      <c r="E524" s="194">
        <f>C$224</f>
        <v>96</v>
      </c>
      <c r="F524" s="29">
        <f>C$225</f>
        <v>90</v>
      </c>
      <c r="G524" s="135">
        <f t="shared" si="96"/>
        <v>1.0465116279069768</v>
      </c>
      <c r="H524" s="194">
        <f>D$224</f>
        <v>85</v>
      </c>
      <c r="I524" s="29">
        <f>D$225</f>
        <v>89</v>
      </c>
      <c r="J524" s="135">
        <f t="shared" si="97"/>
        <v>1</v>
      </c>
      <c r="K524" s="194">
        <f>E$224</f>
        <v>100</v>
      </c>
      <c r="L524" s="29">
        <f>E$225</f>
        <v>88</v>
      </c>
      <c r="M524" s="135">
        <f t="shared" si="98"/>
        <v>0.94623655913978499</v>
      </c>
      <c r="N524" s="194">
        <f>F$224</f>
        <v>125</v>
      </c>
      <c r="O524" s="29">
        <f>F$225</f>
        <v>104</v>
      </c>
      <c r="P524" s="135">
        <f t="shared" si="99"/>
        <v>1.0505050505050506</v>
      </c>
      <c r="Q524" s="194">
        <f>G$224</f>
        <v>128</v>
      </c>
      <c r="R524" s="29">
        <f>G$225</f>
        <v>129</v>
      </c>
      <c r="S524" s="135">
        <f t="shared" si="100"/>
        <v>1.1517857142857142</v>
      </c>
      <c r="T524" s="194">
        <f>H$224</f>
        <v>130</v>
      </c>
      <c r="U524" s="29">
        <f>H$225</f>
        <v>113</v>
      </c>
      <c r="V524" s="135">
        <f t="shared" si="101"/>
        <v>1.0462962962962963</v>
      </c>
      <c r="W524" s="194">
        <f>I$224</f>
        <v>77</v>
      </c>
      <c r="X524" s="29">
        <f>I$225</f>
        <v>74</v>
      </c>
      <c r="Y524" s="135">
        <f t="shared" si="102"/>
        <v>0.90243902439024393</v>
      </c>
      <c r="Z524" s="194">
        <f>J$224</f>
        <v>154</v>
      </c>
      <c r="AA524" s="29">
        <f>J$225</f>
        <v>123</v>
      </c>
      <c r="AB524" s="134">
        <f t="shared" si="103"/>
        <v>1.0336134453781514</v>
      </c>
      <c r="AC524" s="174">
        <f t="shared" si="93"/>
        <v>998</v>
      </c>
      <c r="AD524" s="29">
        <f t="shared" si="94"/>
        <v>905</v>
      </c>
      <c r="AE524" s="386">
        <f t="shared" si="104"/>
        <v>1.0214446952595937</v>
      </c>
    </row>
    <row r="525" spans="1:31">
      <c r="A525" s="222" t="str">
        <f>$A$403</f>
        <v>2018-19</v>
      </c>
      <c r="B525" s="194">
        <f>B$202</f>
        <v>95</v>
      </c>
      <c r="C525" s="29">
        <f>B$203</f>
        <v>100</v>
      </c>
      <c r="D525" s="135">
        <f t="shared" si="95"/>
        <v>0.970873786407767</v>
      </c>
      <c r="E525" s="194">
        <f>C$202</f>
        <v>67</v>
      </c>
      <c r="F525" s="29">
        <f>C$203</f>
        <v>108</v>
      </c>
      <c r="G525" s="135">
        <f t="shared" si="96"/>
        <v>1.125</v>
      </c>
      <c r="H525" s="194">
        <f>D$202</f>
        <v>98</v>
      </c>
      <c r="I525" s="29">
        <f>D$203</f>
        <v>93</v>
      </c>
      <c r="J525" s="135">
        <f t="shared" si="97"/>
        <v>1.0941176470588236</v>
      </c>
      <c r="K525" s="194">
        <f>E$202</f>
        <v>94</v>
      </c>
      <c r="L525" s="29">
        <f>E$203</f>
        <v>105</v>
      </c>
      <c r="M525" s="135">
        <f t="shared" si="98"/>
        <v>1.05</v>
      </c>
      <c r="N525" s="194">
        <f>F$202</f>
        <v>120</v>
      </c>
      <c r="O525" s="29">
        <f>F$203</f>
        <v>127</v>
      </c>
      <c r="P525" s="135">
        <f t="shared" si="99"/>
        <v>1.016</v>
      </c>
      <c r="Q525" s="194">
        <f>G$202</f>
        <v>123</v>
      </c>
      <c r="R525" s="29">
        <f>G$203</f>
        <v>130</v>
      </c>
      <c r="S525" s="135">
        <f t="shared" si="100"/>
        <v>1.015625</v>
      </c>
      <c r="T525" s="194">
        <f>H$202</f>
        <v>113</v>
      </c>
      <c r="U525" s="29">
        <f>H$203</f>
        <v>136</v>
      </c>
      <c r="V525" s="135">
        <f t="shared" si="101"/>
        <v>1.0461538461538462</v>
      </c>
      <c r="W525" s="194">
        <f>I$202</f>
        <v>93</v>
      </c>
      <c r="X525" s="29">
        <f>I$203</f>
        <v>71</v>
      </c>
      <c r="Y525" s="135">
        <f t="shared" si="102"/>
        <v>0.92207792207792205</v>
      </c>
      <c r="Z525" s="194">
        <f>J$202</f>
        <v>129</v>
      </c>
      <c r="AA525" s="29">
        <f>J$203</f>
        <v>147</v>
      </c>
      <c r="AB525" s="134">
        <f t="shared" si="103"/>
        <v>0.95454545454545459</v>
      </c>
      <c r="AC525" s="174">
        <f t="shared" si="93"/>
        <v>932</v>
      </c>
      <c r="AD525" s="29">
        <f t="shared" si="94"/>
        <v>1017</v>
      </c>
      <c r="AE525" s="386">
        <f t="shared" si="104"/>
        <v>1.0190380761523046</v>
      </c>
    </row>
    <row r="526" spans="1:31">
      <c r="A526" s="222" t="str">
        <f>$A$404</f>
        <v>2019-20</v>
      </c>
      <c r="B526" s="194">
        <f>B$180</f>
        <v>94</v>
      </c>
      <c r="C526" s="29">
        <f>B$181</f>
        <v>100</v>
      </c>
      <c r="D526" s="135">
        <f t="shared" si="95"/>
        <v>1.0526315789473684</v>
      </c>
      <c r="E526" s="194">
        <f>C$180</f>
        <v>92</v>
      </c>
      <c r="F526" s="29">
        <f>C$181</f>
        <v>71</v>
      </c>
      <c r="G526" s="135">
        <f t="shared" si="96"/>
        <v>1.0597014925373134</v>
      </c>
      <c r="H526" s="194">
        <f>D$180</f>
        <v>89</v>
      </c>
      <c r="I526" s="29">
        <f>D$181</f>
        <v>98</v>
      </c>
      <c r="J526" s="135">
        <f t="shared" si="97"/>
        <v>1</v>
      </c>
      <c r="K526" s="194">
        <f>E$180</f>
        <v>103</v>
      </c>
      <c r="L526" s="29">
        <f>E$181</f>
        <v>96</v>
      </c>
      <c r="M526" s="135">
        <f t="shared" si="98"/>
        <v>1.0212765957446808</v>
      </c>
      <c r="N526" s="194">
        <f>F$180</f>
        <v>124</v>
      </c>
      <c r="O526" s="29">
        <f>F$181</f>
        <v>127</v>
      </c>
      <c r="P526" s="135">
        <f t="shared" si="99"/>
        <v>1.0583333333333333</v>
      </c>
      <c r="Q526" s="194">
        <f>G$180</f>
        <v>115</v>
      </c>
      <c r="R526" s="29">
        <f>G$181</f>
        <v>120</v>
      </c>
      <c r="S526" s="135">
        <f t="shared" si="100"/>
        <v>0.97560975609756095</v>
      </c>
      <c r="T526" s="194">
        <f>H$180</f>
        <v>104</v>
      </c>
      <c r="U526" s="29">
        <f>H$181</f>
        <v>116</v>
      </c>
      <c r="V526" s="135">
        <f t="shared" si="101"/>
        <v>1.0265486725663717</v>
      </c>
      <c r="W526" s="194">
        <f>I$180</f>
        <v>77</v>
      </c>
      <c r="X526" s="29">
        <f>I$181</f>
        <v>109</v>
      </c>
      <c r="Y526" s="135">
        <f t="shared" si="102"/>
        <v>1.1720430107526882</v>
      </c>
      <c r="Z526" s="194">
        <f>J$180</f>
        <v>108</v>
      </c>
      <c r="AA526" s="29">
        <f>J$181</f>
        <v>123</v>
      </c>
      <c r="AB526" s="134">
        <f t="shared" si="103"/>
        <v>0.95348837209302328</v>
      </c>
      <c r="AC526" s="174">
        <f t="shared" si="93"/>
        <v>906</v>
      </c>
      <c r="AD526" s="29">
        <f t="shared" si="94"/>
        <v>960</v>
      </c>
      <c r="AE526" s="386">
        <f t="shared" si="104"/>
        <v>1.0300429184549356</v>
      </c>
    </row>
    <row r="527" spans="1:31">
      <c r="A527" s="222" t="str">
        <f>$A$405</f>
        <v>2020-21</v>
      </c>
      <c r="B527" s="194">
        <f>B$158</f>
        <v>111</v>
      </c>
      <c r="C527" s="29">
        <f>B$159</f>
        <v>92</v>
      </c>
      <c r="D527" s="135">
        <f t="shared" si="95"/>
        <v>0.97872340425531912</v>
      </c>
      <c r="E527" s="194">
        <f>C$158</f>
        <v>81</v>
      </c>
      <c r="F527" s="29">
        <f>C$159</f>
        <v>89</v>
      </c>
      <c r="G527" s="135">
        <f t="shared" si="96"/>
        <v>0.96739130434782605</v>
      </c>
      <c r="H527" s="194">
        <f>D$158</f>
        <v>94</v>
      </c>
      <c r="I527" s="29">
        <f>D$159</f>
        <v>92</v>
      </c>
      <c r="J527" s="135">
        <f t="shared" si="97"/>
        <v>1.0337078651685394</v>
      </c>
      <c r="K527" s="194">
        <f>E$158</f>
        <v>108</v>
      </c>
      <c r="L527" s="29">
        <f>E$159</f>
        <v>108</v>
      </c>
      <c r="M527" s="135">
        <f t="shared" si="98"/>
        <v>1.0485436893203883</v>
      </c>
      <c r="N527" s="194">
        <f>F$158</f>
        <v>134</v>
      </c>
      <c r="O527" s="29">
        <f>F$159</f>
        <v>135</v>
      </c>
      <c r="P527" s="135">
        <f t="shared" si="99"/>
        <v>1.0887096774193548</v>
      </c>
      <c r="Q527" s="194">
        <f>G$158</f>
        <v>95</v>
      </c>
      <c r="R527" s="29">
        <f>G$159</f>
        <v>120</v>
      </c>
      <c r="S527" s="135">
        <f t="shared" si="100"/>
        <v>1.0434782608695652</v>
      </c>
      <c r="T527" s="194">
        <f>H$158</f>
        <v>118</v>
      </c>
      <c r="U527" s="29">
        <f>H$159</f>
        <v>106</v>
      </c>
      <c r="V527" s="135">
        <f t="shared" si="101"/>
        <v>1.0192307692307692</v>
      </c>
      <c r="W527" s="194">
        <f>I$158</f>
        <v>79</v>
      </c>
      <c r="X527" s="29">
        <f>I$159</f>
        <v>72</v>
      </c>
      <c r="Y527" s="135">
        <f t="shared" si="102"/>
        <v>0.93506493506493504</v>
      </c>
      <c r="Z527" s="194">
        <f>J$158</f>
        <v>100</v>
      </c>
      <c r="AA527" s="29">
        <f>J$159</f>
        <v>100</v>
      </c>
      <c r="AB527" s="134">
        <f t="shared" si="103"/>
        <v>0.92592592592592593</v>
      </c>
      <c r="AC527" s="174">
        <f t="shared" si="93"/>
        <v>920</v>
      </c>
      <c r="AD527" s="29">
        <f t="shared" si="94"/>
        <v>914</v>
      </c>
      <c r="AE527" s="386">
        <f t="shared" si="104"/>
        <v>1.0088300220750552</v>
      </c>
    </row>
    <row r="528" spans="1:31">
      <c r="A528" s="222" t="str">
        <f>$A$406</f>
        <v>2021-22</v>
      </c>
      <c r="B528" s="194">
        <f>B$136</f>
        <v>108</v>
      </c>
      <c r="C528" s="29">
        <f>B$137</f>
        <v>113</v>
      </c>
      <c r="D528" s="135">
        <f t="shared" si="95"/>
        <v>1.0180180180180181</v>
      </c>
      <c r="E528" s="194">
        <f>C$136</f>
        <v>77</v>
      </c>
      <c r="F528" s="29">
        <f>C$137</f>
        <v>85</v>
      </c>
      <c r="G528" s="135">
        <f t="shared" si="96"/>
        <v>1.0493827160493827</v>
      </c>
      <c r="H528" s="194">
        <f>D$136</f>
        <v>80</v>
      </c>
      <c r="I528" s="29">
        <f>D$137</f>
        <v>95</v>
      </c>
      <c r="J528" s="135">
        <f t="shared" si="97"/>
        <v>1.0106382978723405</v>
      </c>
      <c r="K528" s="194">
        <f>E$136</f>
        <v>80</v>
      </c>
      <c r="L528" s="29">
        <f>E$137</f>
        <v>118</v>
      </c>
      <c r="M528" s="135">
        <f t="shared" si="98"/>
        <v>1.0925925925925926</v>
      </c>
      <c r="N528" s="194">
        <f>F$136</f>
        <v>120</v>
      </c>
      <c r="O528" s="29">
        <f>F$137</f>
        <v>140</v>
      </c>
      <c r="P528" s="135">
        <f t="shared" si="99"/>
        <v>1.044776119402985</v>
      </c>
      <c r="Q528" s="194">
        <f>G$136</f>
        <v>105</v>
      </c>
      <c r="R528" s="29">
        <f>G$137</f>
        <v>108</v>
      </c>
      <c r="S528" s="135">
        <f t="shared" si="100"/>
        <v>1.1368421052631579</v>
      </c>
      <c r="T528" s="194">
        <f>H$136</f>
        <v>119</v>
      </c>
      <c r="U528" s="29">
        <f>H$137</f>
        <v>117</v>
      </c>
      <c r="V528" s="135">
        <f t="shared" si="101"/>
        <v>0.99152542372881358</v>
      </c>
      <c r="W528" s="194">
        <f>I$136</f>
        <v>71</v>
      </c>
      <c r="X528" s="29">
        <f>I$137</f>
        <v>81</v>
      </c>
      <c r="Y528" s="135">
        <f t="shared" si="102"/>
        <v>1.0253164556962024</v>
      </c>
      <c r="Z528" s="194">
        <f>J$136</f>
        <v>94</v>
      </c>
      <c r="AA528" s="29">
        <f>J$137</f>
        <v>105</v>
      </c>
      <c r="AB528" s="134">
        <f t="shared" si="103"/>
        <v>1.05</v>
      </c>
      <c r="AC528" s="174">
        <f t="shared" si="93"/>
        <v>854</v>
      </c>
      <c r="AD528" s="29">
        <f t="shared" si="94"/>
        <v>962</v>
      </c>
      <c r="AE528" s="386">
        <f t="shared" si="104"/>
        <v>1.0456521739130435</v>
      </c>
    </row>
    <row r="529" spans="1:31">
      <c r="A529" s="222" t="str">
        <f>$A$407</f>
        <v>2022-23</v>
      </c>
      <c r="B529" s="194">
        <f>B$114</f>
        <v>131</v>
      </c>
      <c r="C529" s="29">
        <f>B$115</f>
        <v>112</v>
      </c>
      <c r="D529" s="135">
        <f t="shared" si="95"/>
        <v>1.037037037037037</v>
      </c>
      <c r="E529" s="194">
        <f>C$114</f>
        <v>98</v>
      </c>
      <c r="F529" s="29">
        <f>C$115</f>
        <v>79</v>
      </c>
      <c r="G529" s="135">
        <f t="shared" si="96"/>
        <v>1.025974025974026</v>
      </c>
      <c r="H529" s="194">
        <f>D$114</f>
        <v>87</v>
      </c>
      <c r="I529" s="29">
        <f>D$115</f>
        <v>82</v>
      </c>
      <c r="J529" s="135">
        <f t="shared" si="97"/>
        <v>1.0249999999999999</v>
      </c>
      <c r="K529" s="194">
        <f>E$114</f>
        <v>109</v>
      </c>
      <c r="L529" s="29">
        <f>E$115</f>
        <v>78</v>
      </c>
      <c r="M529" s="135">
        <f t="shared" si="98"/>
        <v>0.97499999999999998</v>
      </c>
      <c r="N529" s="194">
        <f>F$114</f>
        <v>109</v>
      </c>
      <c r="O529" s="29">
        <f>F$115</f>
        <v>127</v>
      </c>
      <c r="P529" s="135">
        <f t="shared" si="99"/>
        <v>1.0583333333333333</v>
      </c>
      <c r="Q529" s="194">
        <f>G$114</f>
        <v>113</v>
      </c>
      <c r="R529" s="29">
        <f>G$115</f>
        <v>114</v>
      </c>
      <c r="S529" s="135">
        <f t="shared" si="100"/>
        <v>1.0857142857142856</v>
      </c>
      <c r="T529" s="194">
        <f>H$114</f>
        <v>111</v>
      </c>
      <c r="U529" s="29">
        <f>H$115</f>
        <v>116</v>
      </c>
      <c r="V529" s="135">
        <f t="shared" si="101"/>
        <v>0.97478991596638653</v>
      </c>
      <c r="W529" s="194">
        <f>I$114</f>
        <v>83</v>
      </c>
      <c r="X529" s="29">
        <f>I$115</f>
        <v>68</v>
      </c>
      <c r="Y529" s="135">
        <f t="shared" si="102"/>
        <v>0.95774647887323938</v>
      </c>
      <c r="Z529" s="194">
        <f>J$114</f>
        <v>100</v>
      </c>
      <c r="AA529" s="29">
        <f>J$115</f>
        <v>96</v>
      </c>
      <c r="AB529" s="134">
        <f t="shared" si="103"/>
        <v>1.0212765957446808</v>
      </c>
      <c r="AC529" s="174">
        <f t="shared" si="93"/>
        <v>941</v>
      </c>
      <c r="AD529" s="29">
        <f t="shared" si="94"/>
        <v>872</v>
      </c>
      <c r="AE529" s="386">
        <f t="shared" si="104"/>
        <v>1.0210772833723654</v>
      </c>
    </row>
    <row r="530" spans="1:31">
      <c r="A530" s="222" t="str">
        <f>$A$408</f>
        <v>2023-24</v>
      </c>
      <c r="B530" s="194">
        <f>B$92</f>
        <v>96</v>
      </c>
      <c r="C530" s="29">
        <f>B$93</f>
        <v>137</v>
      </c>
      <c r="D530" s="135">
        <f t="shared" si="95"/>
        <v>1.0458015267175573</v>
      </c>
      <c r="E530" s="194">
        <f>C$92</f>
        <v>92</v>
      </c>
      <c r="F530" s="29">
        <f>C$93</f>
        <v>99</v>
      </c>
      <c r="G530" s="135">
        <f t="shared" si="96"/>
        <v>1.010204081632653</v>
      </c>
      <c r="H530" s="194">
        <f>D$92</f>
        <v>87</v>
      </c>
      <c r="I530" s="29">
        <f>D$93</f>
        <v>82</v>
      </c>
      <c r="J530" s="135">
        <f t="shared" si="97"/>
        <v>0.94252873563218387</v>
      </c>
      <c r="K530" s="194">
        <f>E$92</f>
        <v>90</v>
      </c>
      <c r="L530" s="29">
        <f>E$93</f>
        <v>108</v>
      </c>
      <c r="M530" s="135">
        <f t="shared" si="98"/>
        <v>0.99082568807339455</v>
      </c>
      <c r="N530" s="194">
        <f>F$92</f>
        <v>107</v>
      </c>
      <c r="O530" s="29">
        <f>F$93</f>
        <v>104</v>
      </c>
      <c r="P530" s="135">
        <f t="shared" si="99"/>
        <v>0.95412844036697253</v>
      </c>
      <c r="Q530" s="194">
        <f>G$92</f>
        <v>123</v>
      </c>
      <c r="R530" s="29">
        <f>G$93</f>
        <v>114</v>
      </c>
      <c r="S530" s="135">
        <f t="shared" si="100"/>
        <v>1.0088495575221239</v>
      </c>
      <c r="T530" s="194">
        <f>H$92</f>
        <v>104</v>
      </c>
      <c r="U530" s="29">
        <f>H$93</f>
        <v>112</v>
      </c>
      <c r="V530" s="135">
        <f t="shared" si="101"/>
        <v>1.0090090090090089</v>
      </c>
      <c r="W530" s="194">
        <f>I$92</f>
        <v>72</v>
      </c>
      <c r="X530" s="29">
        <f>I$93</f>
        <v>80</v>
      </c>
      <c r="Y530" s="135">
        <f t="shared" si="102"/>
        <v>0.96385542168674698</v>
      </c>
      <c r="Z530" s="194">
        <f>J$92</f>
        <v>104</v>
      </c>
      <c r="AA530" s="29">
        <f>J$93</f>
        <v>103</v>
      </c>
      <c r="AB530" s="134">
        <f t="shared" si="103"/>
        <v>1.03</v>
      </c>
      <c r="AC530" s="174">
        <f t="shared" si="93"/>
        <v>875</v>
      </c>
      <c r="AD530" s="29">
        <f t="shared" si="94"/>
        <v>939</v>
      </c>
      <c r="AE530" s="386">
        <f t="shared" si="104"/>
        <v>0.99787460148777896</v>
      </c>
    </row>
    <row r="531" spans="1:31">
      <c r="A531" s="222" t="str">
        <f>$A$409</f>
        <v>2024-25</v>
      </c>
      <c r="B531" s="194">
        <f>B$70</f>
        <v>117</v>
      </c>
      <c r="C531" s="29">
        <f>B$71</f>
        <v>98</v>
      </c>
      <c r="D531" s="135">
        <f t="shared" si="95"/>
        <v>1.0208333333333333</v>
      </c>
      <c r="E531" s="194">
        <f>C$70</f>
        <v>86</v>
      </c>
      <c r="F531" s="29">
        <f>C$71</f>
        <v>99</v>
      </c>
      <c r="G531" s="135">
        <f t="shared" si="96"/>
        <v>1.076086956521739</v>
      </c>
      <c r="H531" s="194">
        <f>D$70</f>
        <v>91</v>
      </c>
      <c r="I531" s="29">
        <f>D$71</f>
        <v>88</v>
      </c>
      <c r="J531" s="135">
        <f t="shared" si="97"/>
        <v>1.0114942528735633</v>
      </c>
      <c r="K531" s="194">
        <f>E$70</f>
        <v>94</v>
      </c>
      <c r="L531" s="29">
        <f>E$71</f>
        <v>95</v>
      </c>
      <c r="M531" s="135">
        <f t="shared" si="98"/>
        <v>1.0555555555555556</v>
      </c>
      <c r="N531" s="194">
        <f>F$70</f>
        <v>116</v>
      </c>
      <c r="O531" s="29">
        <f>F$71</f>
        <v>112</v>
      </c>
      <c r="P531" s="135">
        <f t="shared" si="99"/>
        <v>1.0467289719626167</v>
      </c>
      <c r="Q531" s="194">
        <f>G$70</f>
        <v>105</v>
      </c>
      <c r="R531" s="29">
        <f>G$71</f>
        <v>121</v>
      </c>
      <c r="S531" s="135">
        <f t="shared" si="100"/>
        <v>0.98373983739837401</v>
      </c>
      <c r="T531" s="194">
        <f>H$70</f>
        <v>119</v>
      </c>
      <c r="U531" s="29">
        <f>H$71</f>
        <v>112</v>
      </c>
      <c r="V531" s="135">
        <f t="shared" si="101"/>
        <v>1.0769230769230769</v>
      </c>
      <c r="W531" s="194">
        <f>I$70</f>
        <v>71</v>
      </c>
      <c r="X531" s="29">
        <f>I$71</f>
        <v>75</v>
      </c>
      <c r="Y531" s="135">
        <f t="shared" si="102"/>
        <v>1.0416666666666667</v>
      </c>
      <c r="Z531" s="194">
        <f>J$70</f>
        <v>112</v>
      </c>
      <c r="AA531" s="29">
        <f>J$71</f>
        <v>105</v>
      </c>
      <c r="AB531" s="134">
        <f t="shared" si="103"/>
        <v>1.0096153846153846</v>
      </c>
      <c r="AC531" s="174">
        <f t="shared" si="93"/>
        <v>911</v>
      </c>
      <c r="AD531" s="29">
        <f t="shared" si="94"/>
        <v>905</v>
      </c>
      <c r="AE531" s="386">
        <f t="shared" si="104"/>
        <v>1.0342857142857143</v>
      </c>
    </row>
    <row r="532" spans="1:31" ht="13.8" thickBot="1">
      <c r="A532" s="418" t="str">
        <f>$A$410</f>
        <v>2025-26</v>
      </c>
      <c r="B532" s="159">
        <f>B$18</f>
        <v>132</v>
      </c>
      <c r="C532" s="136">
        <f>B$19</f>
        <v>115</v>
      </c>
      <c r="D532" s="195">
        <f>C532/B531</f>
        <v>0.98290598290598286</v>
      </c>
      <c r="E532" s="159">
        <f>C$18</f>
        <v>79</v>
      </c>
      <c r="F532" s="136">
        <f>C$19</f>
        <v>89</v>
      </c>
      <c r="G532" s="195">
        <f>F532/E531</f>
        <v>1.0348837209302326</v>
      </c>
      <c r="H532" s="159">
        <f>D$18</f>
        <v>80</v>
      </c>
      <c r="I532" s="136">
        <f>D$19</f>
        <v>96</v>
      </c>
      <c r="J532" s="195">
        <f>I532/H531</f>
        <v>1.054945054945055</v>
      </c>
      <c r="K532" s="159">
        <f>E$18</f>
        <v>104</v>
      </c>
      <c r="L532" s="136">
        <f>E$19</f>
        <v>101</v>
      </c>
      <c r="M532" s="195">
        <f>L532/K531</f>
        <v>1.074468085106383</v>
      </c>
      <c r="N532" s="159">
        <f>F$18</f>
        <v>106</v>
      </c>
      <c r="O532" s="136">
        <f>F$19</f>
        <v>119</v>
      </c>
      <c r="P532" s="195">
        <f>O532/N531</f>
        <v>1.0258620689655173</v>
      </c>
      <c r="Q532" s="159">
        <f>G$18</f>
        <v>89</v>
      </c>
      <c r="R532" s="136">
        <f>G$19</f>
        <v>111</v>
      </c>
      <c r="S532" s="195">
        <f>R532/Q531</f>
        <v>1.0571428571428572</v>
      </c>
      <c r="T532" s="159">
        <f>H$18</f>
        <v>97</v>
      </c>
      <c r="U532" s="136">
        <f>H$19</f>
        <v>119</v>
      </c>
      <c r="V532" s="195">
        <f>U532/T531</f>
        <v>1</v>
      </c>
      <c r="W532" s="159">
        <f>I$18</f>
        <v>94</v>
      </c>
      <c r="X532" s="136">
        <f>I$19</f>
        <v>62</v>
      </c>
      <c r="Y532" s="195">
        <f>X532/W531</f>
        <v>0.87323943661971826</v>
      </c>
      <c r="Z532" s="159">
        <f>J$18</f>
        <v>93</v>
      </c>
      <c r="AA532" s="136">
        <f>J$19</f>
        <v>111</v>
      </c>
      <c r="AB532" s="170">
        <f>AA532/Z531</f>
        <v>0.9910714285714286</v>
      </c>
      <c r="AC532" s="251">
        <f t="shared" si="93"/>
        <v>874</v>
      </c>
      <c r="AD532" s="136">
        <f t="shared" si="94"/>
        <v>923</v>
      </c>
      <c r="AE532" s="388">
        <f t="shared" si="104"/>
        <v>1.0131723380900111</v>
      </c>
    </row>
    <row r="533" spans="1:31" ht="13.8" thickTop="1">
      <c r="A533" s="222"/>
      <c r="B533" s="362"/>
      <c r="C533" s="29"/>
      <c r="D533" s="226"/>
      <c r="E533" s="194"/>
      <c r="F533" s="29"/>
      <c r="G533" s="226"/>
      <c r="H533" s="194"/>
      <c r="I533" s="29"/>
      <c r="J533" s="226"/>
      <c r="K533" s="194"/>
      <c r="L533" s="29"/>
      <c r="M533" s="226"/>
      <c r="N533" s="194"/>
      <c r="O533" s="29"/>
      <c r="P533" s="226"/>
      <c r="Q533" s="194"/>
      <c r="R533" s="29"/>
      <c r="S533" s="226"/>
      <c r="T533" s="194"/>
      <c r="U533" s="29"/>
      <c r="V533" s="226"/>
      <c r="W533" s="194"/>
      <c r="X533" s="29"/>
      <c r="Y533" s="226"/>
      <c r="Z533" s="194"/>
      <c r="AA533" s="29"/>
      <c r="AB533" s="29"/>
      <c r="AC533" s="174"/>
      <c r="AD533" s="29"/>
      <c r="AE533" s="175"/>
    </row>
    <row r="534" spans="1:31">
      <c r="A534" s="357" t="s">
        <v>72</v>
      </c>
      <c r="B534" s="362">
        <f>SUM(B529:B531)</f>
        <v>344</v>
      </c>
      <c r="C534" s="114">
        <f>SUM(C530:C532)</f>
        <v>350</v>
      </c>
      <c r="D534" s="135">
        <f>C534/B534</f>
        <v>1.0174418604651163</v>
      </c>
      <c r="E534" s="362">
        <f>SUM(E529:E531)</f>
        <v>276</v>
      </c>
      <c r="F534" s="114">
        <f>SUM(F530:F532)</f>
        <v>287</v>
      </c>
      <c r="G534" s="135">
        <f>F534/E534</f>
        <v>1.0398550724637681</v>
      </c>
      <c r="H534" s="362">
        <f>SUM(H529:H531)</f>
        <v>265</v>
      </c>
      <c r="I534" s="114">
        <f>SUM(I530:I532)</f>
        <v>266</v>
      </c>
      <c r="J534" s="135">
        <f>I534/H534</f>
        <v>1.0037735849056604</v>
      </c>
      <c r="K534" s="362">
        <f>SUM(K529:K531)</f>
        <v>293</v>
      </c>
      <c r="L534" s="114">
        <f>SUM(L530:L532)</f>
        <v>304</v>
      </c>
      <c r="M534" s="135">
        <f>L534/K534</f>
        <v>1.0375426621160408</v>
      </c>
      <c r="N534" s="362">
        <f>SUM(N529:N531)</f>
        <v>332</v>
      </c>
      <c r="O534" s="114">
        <f>SUM(O530:O532)</f>
        <v>335</v>
      </c>
      <c r="P534" s="135">
        <f>O534/N534</f>
        <v>1.0090361445783131</v>
      </c>
      <c r="Q534" s="362">
        <f>SUM(Q529:Q531)</f>
        <v>341</v>
      </c>
      <c r="R534" s="114">
        <f>SUM(R530:R532)</f>
        <v>346</v>
      </c>
      <c r="S534" s="135">
        <f>R534/Q534</f>
        <v>1.0146627565982405</v>
      </c>
      <c r="T534" s="362">
        <f>SUM(T529:T531)</f>
        <v>334</v>
      </c>
      <c r="U534" s="114">
        <f>SUM(U530:U532)</f>
        <v>343</v>
      </c>
      <c r="V534" s="135">
        <f>U534/T534</f>
        <v>1.0269461077844311</v>
      </c>
      <c r="W534" s="362">
        <f>SUM(W529:W531)</f>
        <v>226</v>
      </c>
      <c r="X534" s="114">
        <f>SUM(X530:X532)</f>
        <v>217</v>
      </c>
      <c r="Y534" s="135">
        <f>X534/W534</f>
        <v>0.96017699115044253</v>
      </c>
      <c r="Z534" s="362">
        <f>SUM(Z529:Z531)</f>
        <v>316</v>
      </c>
      <c r="AA534" s="114">
        <f>SUM(AA530:AA532)</f>
        <v>319</v>
      </c>
      <c r="AB534" s="134">
        <f>AA534/Z534</f>
        <v>1.009493670886076</v>
      </c>
      <c r="AC534" s="174">
        <f>SUM(AC529:AC531)</f>
        <v>2727</v>
      </c>
      <c r="AD534" s="29">
        <f>SUM(AD530:AD532)</f>
        <v>2767</v>
      </c>
      <c r="AE534" s="386">
        <f>AD534/AC534</f>
        <v>1.0146681334800147</v>
      </c>
    </row>
    <row r="535" spans="1:31">
      <c r="A535" s="357" t="s">
        <v>73</v>
      </c>
      <c r="B535" s="362">
        <f>SUM(B527:B531)</f>
        <v>563</v>
      </c>
      <c r="C535" s="114">
        <f>SUM(C528:C532)</f>
        <v>575</v>
      </c>
      <c r="D535" s="135">
        <f>C535/B535</f>
        <v>1.0213143872113677</v>
      </c>
      <c r="E535" s="362">
        <f>SUM(E527:E531)</f>
        <v>434</v>
      </c>
      <c r="F535" s="114">
        <f>SUM(F528:F532)</f>
        <v>451</v>
      </c>
      <c r="G535" s="135">
        <f>F535/E535</f>
        <v>1.0391705069124424</v>
      </c>
      <c r="H535" s="362">
        <f>SUM(H527:H531)</f>
        <v>439</v>
      </c>
      <c r="I535" s="114">
        <f>SUM(I528:I532)</f>
        <v>443</v>
      </c>
      <c r="J535" s="135">
        <f>I535/H535</f>
        <v>1.0091116173120729</v>
      </c>
      <c r="K535" s="362">
        <f>SUM(K527:K531)</f>
        <v>481</v>
      </c>
      <c r="L535" s="114">
        <f>SUM(L528:L532)</f>
        <v>500</v>
      </c>
      <c r="M535" s="135">
        <f>L535/K535</f>
        <v>1.0395010395010396</v>
      </c>
      <c r="N535" s="362">
        <f>SUM(N527:N531)</f>
        <v>586</v>
      </c>
      <c r="O535" s="114">
        <f>SUM(O528:O532)</f>
        <v>602</v>
      </c>
      <c r="P535" s="135">
        <f>O535/N535</f>
        <v>1.0273037542662116</v>
      </c>
      <c r="Q535" s="362">
        <f>SUM(Q527:Q531)</f>
        <v>541</v>
      </c>
      <c r="R535" s="114">
        <f>SUM(R528:R532)</f>
        <v>568</v>
      </c>
      <c r="S535" s="135">
        <f>R535/Q535</f>
        <v>1.0499075785582255</v>
      </c>
      <c r="T535" s="362">
        <f>SUM(T527:T531)</f>
        <v>571</v>
      </c>
      <c r="U535" s="114">
        <f>SUM(U528:U532)</f>
        <v>576</v>
      </c>
      <c r="V535" s="135">
        <f>U535/T535</f>
        <v>1.0087565674255692</v>
      </c>
      <c r="W535" s="362">
        <f>SUM(W527:W531)</f>
        <v>376</v>
      </c>
      <c r="X535" s="114">
        <f>SUM(X528:X532)</f>
        <v>366</v>
      </c>
      <c r="Y535" s="135">
        <f>X535/W535</f>
        <v>0.97340425531914898</v>
      </c>
      <c r="Z535" s="362">
        <f>SUM(Z527:Z531)</f>
        <v>510</v>
      </c>
      <c r="AA535" s="114">
        <f>SUM(AA528:AA532)</f>
        <v>520</v>
      </c>
      <c r="AB535" s="134">
        <f>AA535/Z535</f>
        <v>1.0196078431372548</v>
      </c>
      <c r="AC535" s="174">
        <f>SUM(AC527:AC531)</f>
        <v>4501</v>
      </c>
      <c r="AD535" s="29">
        <f>SUM(AD528:AD532)</f>
        <v>4601</v>
      </c>
      <c r="AE535" s="386">
        <f>AD535/AC535</f>
        <v>1.0222172850477671</v>
      </c>
    </row>
    <row r="536" spans="1:31" ht="13.8" thickBot="1">
      <c r="A536" s="224" t="s">
        <v>74</v>
      </c>
      <c r="B536" s="363">
        <f>SUM(B522:B531)</f>
        <v>1045</v>
      </c>
      <c r="C536" s="364">
        <f>SUM(C523:C532)</f>
        <v>1061</v>
      </c>
      <c r="D536" s="361">
        <f>C536/B536</f>
        <v>1.0153110047846889</v>
      </c>
      <c r="E536" s="363">
        <f>SUM(E522:E531)</f>
        <v>853</v>
      </c>
      <c r="F536" s="364">
        <f>SUM(F523:F532)</f>
        <v>886</v>
      </c>
      <c r="G536" s="361">
        <f>F536/E536</f>
        <v>1.0386869871043376</v>
      </c>
      <c r="H536" s="363">
        <f>SUM(H522:H531)</f>
        <v>881</v>
      </c>
      <c r="I536" s="364">
        <f>SUM(I523:I532)</f>
        <v>902</v>
      </c>
      <c r="J536" s="361">
        <f>I536/H536</f>
        <v>1.0238365493757093</v>
      </c>
      <c r="K536" s="363">
        <f>SUM(K522:K531)</f>
        <v>970</v>
      </c>
      <c r="L536" s="364">
        <f>SUM(L523:L532)</f>
        <v>986</v>
      </c>
      <c r="M536" s="361">
        <f>L536/K536</f>
        <v>1.0164948453608247</v>
      </c>
      <c r="N536" s="363">
        <f>SUM(N522:N531)</f>
        <v>1182</v>
      </c>
      <c r="O536" s="364">
        <f>SUM(O523:O532)</f>
        <v>1226</v>
      </c>
      <c r="P536" s="361">
        <f>O536/N536</f>
        <v>1.0372250423011844</v>
      </c>
      <c r="Q536" s="363">
        <f>SUM(Q522:Q531)</f>
        <v>1138</v>
      </c>
      <c r="R536" s="364">
        <f>SUM(R523:R532)</f>
        <v>1195</v>
      </c>
      <c r="S536" s="361">
        <f>R536/Q536</f>
        <v>1.0500878734622143</v>
      </c>
      <c r="T536" s="363">
        <f>SUM(T522:T531)</f>
        <v>1142</v>
      </c>
      <c r="U536" s="364">
        <f>SUM(U523:U532)</f>
        <v>1156</v>
      </c>
      <c r="V536" s="361">
        <f>U536/T536</f>
        <v>1.0122591943957968</v>
      </c>
      <c r="W536" s="363">
        <f>SUM(W522:W531)</f>
        <v>812</v>
      </c>
      <c r="X536" s="364">
        <f>SUM(X523:X532)</f>
        <v>795</v>
      </c>
      <c r="Y536" s="361">
        <f>X536/W536</f>
        <v>0.97906403940886699</v>
      </c>
      <c r="Z536" s="363">
        <f>SUM(Z522:Z531)</f>
        <v>1151</v>
      </c>
      <c r="AA536" s="364">
        <f>SUM(AA523:AA532)</f>
        <v>1152</v>
      </c>
      <c r="AB536" s="365">
        <f>AA536/Z536</f>
        <v>1.0008688097306691</v>
      </c>
      <c r="AC536" s="180">
        <f>SUM(AC522:AC531)</f>
        <v>9174</v>
      </c>
      <c r="AD536" s="32">
        <f>SUM(AD523:AD532)</f>
        <v>9359</v>
      </c>
      <c r="AE536" s="390">
        <f>AD536/AC536</f>
        <v>1.0201656856333114</v>
      </c>
    </row>
    <row r="538" spans="1:31" ht="13.8" thickBot="1"/>
    <row r="539" spans="1:31">
      <c r="A539" s="171" t="s">
        <v>84</v>
      </c>
      <c r="B539" s="172"/>
      <c r="C539" s="172"/>
      <c r="D539" s="172"/>
      <c r="E539" s="172"/>
      <c r="F539" s="172"/>
      <c r="G539" s="172"/>
      <c r="H539" s="172"/>
      <c r="I539" s="172"/>
      <c r="J539" s="172"/>
      <c r="K539" s="172"/>
      <c r="L539" s="172"/>
      <c r="M539" s="172"/>
      <c r="N539" s="172"/>
      <c r="O539" s="172"/>
      <c r="P539" s="172"/>
      <c r="Q539" s="172"/>
      <c r="R539" s="172"/>
      <c r="S539" s="172"/>
      <c r="T539" s="172"/>
      <c r="U539" s="172"/>
      <c r="V539" s="172"/>
      <c r="W539" s="172"/>
      <c r="X539" s="172"/>
      <c r="Y539" s="172"/>
      <c r="Z539" s="172"/>
      <c r="AA539" s="172"/>
      <c r="AB539" s="172"/>
      <c r="AC539" s="172"/>
      <c r="AD539" s="172"/>
      <c r="AE539" s="173"/>
    </row>
    <row r="540" spans="1:31" ht="13.8" thickBot="1">
      <c r="A540" s="251"/>
      <c r="B540" s="136"/>
      <c r="C540" s="136"/>
      <c r="D540" s="136"/>
      <c r="E540" s="136"/>
      <c r="F540" s="136"/>
      <c r="G540" s="136"/>
      <c r="H540" s="136"/>
      <c r="I540" s="136"/>
      <c r="J540" s="136"/>
      <c r="K540" s="136"/>
      <c r="L540" s="136"/>
      <c r="M540" s="136"/>
      <c r="N540" s="136"/>
      <c r="O540" s="136"/>
      <c r="P540" s="136"/>
      <c r="Q540" s="136"/>
      <c r="R540" s="136"/>
      <c r="S540" s="136"/>
      <c r="T540" s="136"/>
      <c r="U540" s="136"/>
      <c r="V540" s="136"/>
      <c r="W540" s="136"/>
      <c r="X540" s="136"/>
      <c r="Y540" s="136"/>
      <c r="Z540" s="136"/>
      <c r="AA540" s="136"/>
      <c r="AB540" s="136"/>
      <c r="AC540" s="136"/>
      <c r="AD540" s="136"/>
      <c r="AE540" s="419"/>
    </row>
    <row r="541" spans="1:31" ht="13.8" thickTop="1">
      <c r="A541" s="176" t="s">
        <v>72</v>
      </c>
      <c r="B541" s="422">
        <f t="shared" ref="B541:C543" si="105">B534+B508+B482+B456+B412</f>
        <v>1584</v>
      </c>
      <c r="C541" s="33">
        <f t="shared" si="105"/>
        <v>1631</v>
      </c>
      <c r="D541" s="134">
        <f>C541/B541</f>
        <v>1.0296717171717171</v>
      </c>
      <c r="E541" s="420">
        <f t="shared" ref="E541:F543" si="106">E534+E508+E482+E456+E412</f>
        <v>1191</v>
      </c>
      <c r="F541" s="29">
        <f t="shared" si="106"/>
        <v>1226</v>
      </c>
      <c r="G541" s="134">
        <f>F541/E541</f>
        <v>1.0293870696893368</v>
      </c>
      <c r="H541" s="420">
        <f t="shared" ref="H541:I543" si="107">H534+H508+H482+H456+H412</f>
        <v>1298</v>
      </c>
      <c r="I541" s="114">
        <f t="shared" si="107"/>
        <v>1314</v>
      </c>
      <c r="J541" s="134">
        <f>I541/H541</f>
        <v>1.0123266563944531</v>
      </c>
      <c r="K541" s="420">
        <f t="shared" ref="K541:L543" si="108">K534+K508+K482+K456+K412</f>
        <v>1364</v>
      </c>
      <c r="L541" s="114">
        <f t="shared" si="108"/>
        <v>1387</v>
      </c>
      <c r="M541" s="134">
        <f>L541/K541</f>
        <v>1.0168621700879765</v>
      </c>
      <c r="N541" s="420">
        <f t="shared" ref="N541:O543" si="109">N534+N508+N482+N456+N412</f>
        <v>1547</v>
      </c>
      <c r="O541" s="114">
        <f t="shared" si="109"/>
        <v>1579</v>
      </c>
      <c r="P541" s="134">
        <f>O541/N541</f>
        <v>1.0206851971557853</v>
      </c>
      <c r="Q541" s="420">
        <f t="shared" ref="Q541:R543" si="110">Q534+Q508+Q482+Q456+Q412</f>
        <v>1460</v>
      </c>
      <c r="R541" s="114">
        <f t="shared" si="110"/>
        <v>1484</v>
      </c>
      <c r="S541" s="134">
        <f>R541/Q541</f>
        <v>1.0164383561643835</v>
      </c>
      <c r="T541" s="420">
        <f t="shared" ref="T541:U543" si="111">T534+T508+T482+T456+T412</f>
        <v>1552</v>
      </c>
      <c r="U541" s="114">
        <f t="shared" si="111"/>
        <v>1600</v>
      </c>
      <c r="V541" s="134">
        <f>U541/T541</f>
        <v>1.0309278350515463</v>
      </c>
      <c r="W541" s="420">
        <f t="shared" ref="W541:X543" si="112">W534+W508+W482+W456+W412</f>
        <v>1156</v>
      </c>
      <c r="X541" s="114">
        <f t="shared" si="112"/>
        <v>1146</v>
      </c>
      <c r="Y541" s="134">
        <f>X541/W541</f>
        <v>0.99134948096885811</v>
      </c>
      <c r="Z541" s="420">
        <f t="shared" ref="Z541:AA543" si="113">Z534+Z508+Z482+Z456+Z412</f>
        <v>1479</v>
      </c>
      <c r="AA541" s="114">
        <f t="shared" si="113"/>
        <v>1509</v>
      </c>
      <c r="AB541" s="134">
        <f>AA541/Z541</f>
        <v>1.0202839756592292</v>
      </c>
      <c r="AC541" s="420">
        <f t="shared" ref="AC541:AD543" si="114">AC534+AC508+AC482+AC456+AC412</f>
        <v>12631</v>
      </c>
      <c r="AD541" s="114">
        <f t="shared" si="114"/>
        <v>12876</v>
      </c>
      <c r="AE541" s="386">
        <f>AD541/AC541</f>
        <v>1.0193967223497744</v>
      </c>
    </row>
    <row r="542" spans="1:31">
      <c r="A542" s="176" t="s">
        <v>73</v>
      </c>
      <c r="B542" s="362">
        <f t="shared" si="105"/>
        <v>2646</v>
      </c>
      <c r="C542" s="114">
        <f t="shared" si="105"/>
        <v>2742</v>
      </c>
      <c r="D542" s="134">
        <f>C542/B542</f>
        <v>1.036281179138322</v>
      </c>
      <c r="E542" s="362">
        <f t="shared" si="106"/>
        <v>1991</v>
      </c>
      <c r="F542" s="114">
        <f t="shared" si="106"/>
        <v>2065</v>
      </c>
      <c r="G542" s="134">
        <f>F542/E542</f>
        <v>1.0371672526368658</v>
      </c>
      <c r="H542" s="362">
        <f t="shared" si="107"/>
        <v>2138</v>
      </c>
      <c r="I542" s="114">
        <f t="shared" si="107"/>
        <v>2180</v>
      </c>
      <c r="J542" s="134">
        <f>I542/H542</f>
        <v>1.0196445275958841</v>
      </c>
      <c r="K542" s="362">
        <f t="shared" si="108"/>
        <v>2251</v>
      </c>
      <c r="L542" s="114">
        <f t="shared" si="108"/>
        <v>2310</v>
      </c>
      <c r="M542" s="134">
        <f>L542/K542</f>
        <v>1.0262105730786317</v>
      </c>
      <c r="N542" s="362">
        <f t="shared" si="109"/>
        <v>2621</v>
      </c>
      <c r="O542" s="114">
        <f t="shared" si="109"/>
        <v>2712</v>
      </c>
      <c r="P542" s="134">
        <f>O542/N542</f>
        <v>1.0347195726821823</v>
      </c>
      <c r="Q542" s="362">
        <f t="shared" si="110"/>
        <v>2458</v>
      </c>
      <c r="R542" s="114">
        <f t="shared" si="110"/>
        <v>2558</v>
      </c>
      <c r="S542" s="134">
        <f>R542/Q542</f>
        <v>1.0406834825061024</v>
      </c>
      <c r="T542" s="362">
        <f t="shared" si="111"/>
        <v>2618</v>
      </c>
      <c r="U542" s="114">
        <f t="shared" si="111"/>
        <v>2690</v>
      </c>
      <c r="V542" s="134">
        <f>U542/T542</f>
        <v>1.027501909854851</v>
      </c>
      <c r="W542" s="362">
        <f t="shared" si="112"/>
        <v>1945</v>
      </c>
      <c r="X542" s="114">
        <f t="shared" si="112"/>
        <v>1915</v>
      </c>
      <c r="Y542" s="134">
        <f>X542/W542</f>
        <v>0.98457583547557836</v>
      </c>
      <c r="Z542" s="362">
        <f t="shared" si="113"/>
        <v>2455</v>
      </c>
      <c r="AA542" s="114">
        <f t="shared" si="113"/>
        <v>2512</v>
      </c>
      <c r="AB542" s="134">
        <f>AA542/Z542</f>
        <v>1.0232179226069247</v>
      </c>
      <c r="AC542" s="362">
        <f t="shared" si="114"/>
        <v>21123</v>
      </c>
      <c r="AD542" s="114">
        <f t="shared" si="114"/>
        <v>21684</v>
      </c>
      <c r="AE542" s="386">
        <f>AD542/AC542</f>
        <v>1.0265587274534866</v>
      </c>
    </row>
    <row r="543" spans="1:31">
      <c r="A543" s="176" t="s">
        <v>74</v>
      </c>
      <c r="B543" s="362">
        <f t="shared" si="105"/>
        <v>4918</v>
      </c>
      <c r="C543" s="114">
        <f t="shared" si="105"/>
        <v>5147</v>
      </c>
      <c r="D543" s="134">
        <f>C543/B543</f>
        <v>1.0465636437576251</v>
      </c>
      <c r="E543" s="362">
        <f t="shared" si="106"/>
        <v>4040</v>
      </c>
      <c r="F543" s="114">
        <f t="shared" si="106"/>
        <v>4165</v>
      </c>
      <c r="G543" s="134">
        <f>F543/E543</f>
        <v>1.0309405940594059</v>
      </c>
      <c r="H543" s="362">
        <f t="shared" si="107"/>
        <v>4207</v>
      </c>
      <c r="I543" s="114">
        <f t="shared" si="107"/>
        <v>4324</v>
      </c>
      <c r="J543" s="134">
        <f>I543/H543</f>
        <v>1.0278107915379131</v>
      </c>
      <c r="K543" s="362">
        <f t="shared" si="108"/>
        <v>4613</v>
      </c>
      <c r="L543" s="114">
        <f t="shared" si="108"/>
        <v>4697</v>
      </c>
      <c r="M543" s="134">
        <f>L543/K543</f>
        <v>1.0182094081942337</v>
      </c>
      <c r="N543" s="362">
        <f t="shared" si="109"/>
        <v>5352</v>
      </c>
      <c r="O543" s="114">
        <f t="shared" si="109"/>
        <v>5578</v>
      </c>
      <c r="P543" s="134">
        <f>O543/N543</f>
        <v>1.0422272047832586</v>
      </c>
      <c r="Q543" s="362">
        <f t="shared" si="110"/>
        <v>5009</v>
      </c>
      <c r="R543" s="114">
        <f t="shared" si="110"/>
        <v>5265</v>
      </c>
      <c r="S543" s="134">
        <f>R543/Q543</f>
        <v>1.0511080055899382</v>
      </c>
      <c r="T543" s="362">
        <f t="shared" si="111"/>
        <v>5216</v>
      </c>
      <c r="U543" s="114">
        <f t="shared" si="111"/>
        <v>5429</v>
      </c>
      <c r="V543" s="134">
        <f>U543/T543</f>
        <v>1.0408358895705521</v>
      </c>
      <c r="W543" s="362">
        <f t="shared" si="112"/>
        <v>3943</v>
      </c>
      <c r="X543" s="114">
        <f t="shared" si="112"/>
        <v>3915</v>
      </c>
      <c r="Y543" s="134">
        <f>X543/W543</f>
        <v>0.99289880801420238</v>
      </c>
      <c r="Z543" s="362">
        <f t="shared" si="113"/>
        <v>5486</v>
      </c>
      <c r="AA543" s="114">
        <f t="shared" si="113"/>
        <v>5525</v>
      </c>
      <c r="AB543" s="134">
        <f>AA543/Z543</f>
        <v>1.0071090047393365</v>
      </c>
      <c r="AC543" s="362">
        <f t="shared" si="114"/>
        <v>41896</v>
      </c>
      <c r="AD543" s="114">
        <f t="shared" si="114"/>
        <v>43090</v>
      </c>
      <c r="AE543" s="386">
        <f>AD543/AC543</f>
        <v>1.0284991407294253</v>
      </c>
    </row>
    <row r="544" spans="1:31" ht="13.8" thickBot="1">
      <c r="A544" s="180"/>
      <c r="B544" s="421"/>
      <c r="C544" s="32"/>
      <c r="D544" s="32"/>
      <c r="E544" s="421"/>
      <c r="F544" s="32"/>
      <c r="G544" s="32"/>
      <c r="H544" s="421"/>
      <c r="I544" s="32"/>
      <c r="J544" s="32"/>
      <c r="K544" s="421"/>
      <c r="L544" s="32"/>
      <c r="M544" s="32"/>
      <c r="N544" s="421"/>
      <c r="O544" s="32"/>
      <c r="P544" s="32"/>
      <c r="Q544" s="421"/>
      <c r="R544" s="32"/>
      <c r="S544" s="32"/>
      <c r="T544" s="421"/>
      <c r="U544" s="32"/>
      <c r="V544" s="32"/>
      <c r="W544" s="421"/>
      <c r="X544" s="32"/>
      <c r="Y544" s="32"/>
      <c r="Z544" s="421"/>
      <c r="AA544" s="32"/>
      <c r="AB544" s="32"/>
      <c r="AC544" s="421"/>
      <c r="AD544" s="32"/>
      <c r="AE544" s="181"/>
    </row>
    <row r="545" spans="1:34">
      <c r="A545" s="176" t="s">
        <v>85</v>
      </c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175"/>
    </row>
    <row r="546" spans="1:34" ht="13.8" thickBot="1">
      <c r="A546" s="251"/>
      <c r="B546" s="136"/>
      <c r="C546" s="136"/>
      <c r="D546" s="136"/>
      <c r="E546" s="136"/>
      <c r="F546" s="136"/>
      <c r="G546" s="136"/>
      <c r="H546" s="136"/>
      <c r="I546" s="136"/>
      <c r="J546" s="136"/>
      <c r="K546" s="136"/>
      <c r="L546" s="136"/>
      <c r="M546" s="136"/>
      <c r="N546" s="136"/>
      <c r="O546" s="136"/>
      <c r="P546" s="136"/>
      <c r="Q546" s="136"/>
      <c r="R546" s="136"/>
      <c r="S546" s="136"/>
      <c r="T546" s="136"/>
      <c r="U546" s="136"/>
      <c r="V546" s="136"/>
      <c r="W546" s="136"/>
      <c r="X546" s="136"/>
      <c r="Y546" s="136"/>
      <c r="Z546" s="136"/>
      <c r="AA546" s="136"/>
      <c r="AB546" s="136"/>
      <c r="AC546" s="136"/>
      <c r="AD546" s="136"/>
      <c r="AE546" s="419"/>
      <c r="AF546" s="29"/>
      <c r="AG546" s="29"/>
      <c r="AH546" s="29"/>
    </row>
    <row r="547" spans="1:34" ht="13.8" thickTop="1">
      <c r="A547" s="176" t="s">
        <v>72</v>
      </c>
      <c r="B547" s="423"/>
      <c r="C547" s="149"/>
      <c r="D547" s="134">
        <f>D541-$AE$541</f>
        <v>1.0274994821942718E-2</v>
      </c>
      <c r="E547" s="340"/>
      <c r="F547" s="29"/>
      <c r="G547" s="134">
        <f>G541-$AE$541</f>
        <v>9.9903473395623887E-3</v>
      </c>
      <c r="H547" s="340"/>
      <c r="I547" s="29"/>
      <c r="J547" s="134">
        <f>J541-$AE$541</f>
        <v>-7.0700659553213363E-3</v>
      </c>
      <c r="K547" s="340"/>
      <c r="L547" s="29"/>
      <c r="M547" s="134">
        <f>M541-$AE$541</f>
        <v>-2.5345522617978844E-3</v>
      </c>
      <c r="N547" s="340"/>
      <c r="O547" s="29"/>
      <c r="P547" s="134">
        <f>P541-$AE$541</f>
        <v>1.2884748060109086E-3</v>
      </c>
      <c r="Q547" s="425"/>
      <c r="R547" s="134"/>
      <c r="S547" s="134">
        <f>S541-$AE$541</f>
        <v>-2.9583661853909149E-3</v>
      </c>
      <c r="T547" s="340"/>
      <c r="U547" s="29"/>
      <c r="V547" s="134">
        <f>V541-$AE$541</f>
        <v>1.1531112701771873E-2</v>
      </c>
      <c r="W547" s="340"/>
      <c r="X547" s="29"/>
      <c r="Y547" s="134">
        <f>Y541-$AE$541</f>
        <v>-2.8047241380916299E-2</v>
      </c>
      <c r="Z547" s="425"/>
      <c r="AA547" s="134"/>
      <c r="AB547" s="134">
        <f>AB541-$AE$541</f>
        <v>8.8725330945482739E-4</v>
      </c>
      <c r="AC547" s="340"/>
      <c r="AD547" s="29"/>
      <c r="AE547" s="175"/>
      <c r="AF547" s="29"/>
      <c r="AG547" s="29"/>
      <c r="AH547" s="29"/>
    </row>
    <row r="548" spans="1:34">
      <c r="A548" s="176" t="s">
        <v>73</v>
      </c>
      <c r="B548" s="415"/>
      <c r="C548" s="149"/>
      <c r="D548" s="134">
        <f>D542-$AE$542</f>
        <v>9.7224516848353204E-3</v>
      </c>
      <c r="E548" s="194"/>
      <c r="F548" s="29"/>
      <c r="G548" s="134">
        <f>G542-$AE$542</f>
        <v>1.060852518337918E-2</v>
      </c>
      <c r="H548" s="194"/>
      <c r="I548" s="29"/>
      <c r="J548" s="134">
        <f>J542-$AE$542</f>
        <v>-6.9141998576025543E-3</v>
      </c>
      <c r="K548" s="194"/>
      <c r="L548" s="29"/>
      <c r="M548" s="134">
        <f>M542-$AE$542</f>
        <v>-3.4815437485491429E-4</v>
      </c>
      <c r="N548" s="194"/>
      <c r="O548" s="29"/>
      <c r="P548" s="134">
        <f>P542-$AE$542</f>
        <v>8.1608452286956457E-3</v>
      </c>
      <c r="Q548" s="323"/>
      <c r="R548" s="134"/>
      <c r="S548" s="134">
        <f>S542-$AE$542</f>
        <v>1.4124755052615789E-2</v>
      </c>
      <c r="T548" s="194"/>
      <c r="U548" s="29"/>
      <c r="V548" s="134">
        <f>V542-$AE$542</f>
        <v>9.4318240136437304E-4</v>
      </c>
      <c r="W548" s="194"/>
      <c r="X548" s="29"/>
      <c r="Y548" s="134">
        <f>Y542-$AE$542</f>
        <v>-4.1982891977908277E-2</v>
      </c>
      <c r="Z548" s="323"/>
      <c r="AA548" s="134"/>
      <c r="AB548" s="134">
        <f>AB542-$AE$542</f>
        <v>-3.3408048465619622E-3</v>
      </c>
      <c r="AC548" s="194"/>
      <c r="AD548" s="29"/>
      <c r="AE548" s="175"/>
      <c r="AF548" s="29"/>
      <c r="AG548" s="29"/>
      <c r="AH548" s="29"/>
    </row>
    <row r="549" spans="1:34" ht="13.8" thickBot="1">
      <c r="A549" s="177" t="s">
        <v>74</v>
      </c>
      <c r="B549" s="424"/>
      <c r="C549" s="178"/>
      <c r="D549" s="179">
        <f>D543-$AE$543</f>
        <v>1.8064503028199841E-2</v>
      </c>
      <c r="E549" s="421"/>
      <c r="F549" s="32"/>
      <c r="G549" s="179">
        <f>G543-$AE$543</f>
        <v>2.4414533299805807E-3</v>
      </c>
      <c r="H549" s="421"/>
      <c r="I549" s="32"/>
      <c r="J549" s="179">
        <f>J543-$AE$543</f>
        <v>-6.88349191512172E-4</v>
      </c>
      <c r="K549" s="421"/>
      <c r="L549" s="32"/>
      <c r="M549" s="179">
        <f>M543-$AE$543</f>
        <v>-1.0289732535191609E-2</v>
      </c>
      <c r="N549" s="421"/>
      <c r="O549" s="32"/>
      <c r="P549" s="179">
        <f>P543-$AE$543</f>
        <v>1.3728064053833311E-2</v>
      </c>
      <c r="Q549" s="426"/>
      <c r="R549" s="179"/>
      <c r="S549" s="179">
        <f>S543-$AE$543</f>
        <v>2.2608864860512945E-2</v>
      </c>
      <c r="T549" s="421"/>
      <c r="U549" s="32"/>
      <c r="V549" s="179">
        <f>V543-$AE$543</f>
        <v>1.2336748841126788E-2</v>
      </c>
      <c r="W549" s="421"/>
      <c r="X549" s="32"/>
      <c r="Y549" s="179">
        <f>Y543-$AE$543</f>
        <v>-3.5600332715222893E-2</v>
      </c>
      <c r="Z549" s="426"/>
      <c r="AA549" s="179"/>
      <c r="AB549" s="179">
        <f>AB543-$AE$543</f>
        <v>-2.1390135990088766E-2</v>
      </c>
      <c r="AC549" s="421"/>
      <c r="AD549" s="32"/>
      <c r="AE549" s="181"/>
      <c r="AF549" s="29"/>
      <c r="AG549" s="29"/>
      <c r="AH549" s="29"/>
    </row>
    <row r="551" spans="1:34" ht="17.399999999999999">
      <c r="C551" s="130" t="s">
        <v>274</v>
      </c>
      <c r="D551" s="131"/>
      <c r="E551" s="131"/>
      <c r="F551" s="131"/>
      <c r="G551" s="131"/>
      <c r="H551" s="131"/>
      <c r="I551" s="131"/>
      <c r="J551" s="131"/>
      <c r="K551" s="131"/>
      <c r="L551" s="131"/>
      <c r="M551" s="131"/>
      <c r="N551" s="131"/>
      <c r="O551" s="131"/>
    </row>
    <row r="552" spans="1:34" ht="17.399999999999999">
      <c r="C552" s="130" t="s">
        <v>65</v>
      </c>
      <c r="D552" s="131"/>
      <c r="E552" s="131"/>
      <c r="F552" s="131"/>
      <c r="G552" s="130"/>
      <c r="H552" s="131"/>
      <c r="I552" s="131"/>
      <c r="J552" s="131"/>
      <c r="K552" s="131"/>
      <c r="L552" s="131"/>
      <c r="M552" s="131"/>
      <c r="N552" s="131"/>
      <c r="O552" s="131"/>
    </row>
    <row r="554" spans="1:34">
      <c r="C554" s="353" t="s">
        <v>66</v>
      </c>
      <c r="D554" s="787" t="s">
        <v>363</v>
      </c>
      <c r="E554" s="788"/>
      <c r="F554" s="789"/>
      <c r="G554" s="787" t="s">
        <v>36</v>
      </c>
      <c r="H554" s="788"/>
      <c r="I554" s="789"/>
      <c r="J554" s="787" t="s">
        <v>86</v>
      </c>
      <c r="K554" s="788"/>
      <c r="L554" s="789"/>
      <c r="M554" s="787" t="s">
        <v>99</v>
      </c>
      <c r="N554" s="788"/>
      <c r="O554" s="789"/>
      <c r="P554" s="787" t="s">
        <v>52</v>
      </c>
      <c r="Q554" s="788"/>
      <c r="R554" s="789"/>
    </row>
    <row r="555" spans="1:34" ht="13.8" thickBot="1">
      <c r="C555" s="449"/>
      <c r="D555" s="450" t="s">
        <v>83</v>
      </c>
      <c r="E555" s="343" t="s">
        <v>87</v>
      </c>
      <c r="F555" s="398" t="s">
        <v>71</v>
      </c>
      <c r="G555" s="450" t="s">
        <v>83</v>
      </c>
      <c r="H555" s="343" t="s">
        <v>87</v>
      </c>
      <c r="I555" s="398" t="s">
        <v>71</v>
      </c>
      <c r="J555" s="450" t="s">
        <v>83</v>
      </c>
      <c r="K555" s="343" t="s">
        <v>87</v>
      </c>
      <c r="L555" s="398" t="s">
        <v>71</v>
      </c>
      <c r="M555" s="450" t="s">
        <v>83</v>
      </c>
      <c r="N555" s="343" t="s">
        <v>87</v>
      </c>
      <c r="O555" s="398" t="s">
        <v>79</v>
      </c>
      <c r="P555" s="450" t="s">
        <v>83</v>
      </c>
      <c r="Q555" s="343" t="s">
        <v>87</v>
      </c>
      <c r="R555" s="398" t="s">
        <v>71</v>
      </c>
    </row>
    <row r="556" spans="1:34" ht="13.8" thickTop="1">
      <c r="C556" s="222"/>
      <c r="D556" s="194"/>
      <c r="E556" s="29"/>
      <c r="F556" s="226"/>
      <c r="G556" s="194"/>
      <c r="H556" s="29"/>
      <c r="I556" s="226"/>
      <c r="J556" s="194"/>
      <c r="K556" s="29"/>
      <c r="L556" s="226"/>
      <c r="M556" s="194"/>
      <c r="N556" s="29"/>
      <c r="O556" s="226"/>
      <c r="P556" s="194"/>
      <c r="Q556" s="29"/>
      <c r="R556" s="226"/>
    </row>
    <row r="557" spans="1:34">
      <c r="C557" s="222"/>
      <c r="D557" s="194"/>
      <c r="E557" s="29"/>
      <c r="F557" s="135"/>
      <c r="G557" s="194"/>
      <c r="H557" s="29"/>
      <c r="I557" s="135"/>
      <c r="J557" s="194"/>
      <c r="K557" s="29"/>
      <c r="L557" s="135"/>
      <c r="M557" s="194"/>
      <c r="N557" s="29"/>
      <c r="O557" s="135"/>
      <c r="P557" s="194"/>
      <c r="Q557" s="29"/>
      <c r="R557" s="135"/>
    </row>
    <row r="558" spans="1:34">
      <c r="C558" s="222" t="str">
        <f>$A$397</f>
        <v>2012-13</v>
      </c>
      <c r="D558" s="194">
        <f>B911</f>
        <v>198</v>
      </c>
      <c r="E558" s="29"/>
      <c r="F558" s="135"/>
      <c r="G558" s="467">
        <f>E911</f>
        <v>242</v>
      </c>
      <c r="H558" s="29"/>
      <c r="I558" s="135"/>
      <c r="J558" s="194">
        <f>H911</f>
        <v>246</v>
      </c>
      <c r="K558" s="29"/>
      <c r="L558" s="135"/>
      <c r="M558" s="194">
        <f>K911</f>
        <v>226</v>
      </c>
      <c r="N558" s="29"/>
      <c r="O558" s="135"/>
      <c r="P558" s="333">
        <f>D558+J558+G558+M558</f>
        <v>912</v>
      </c>
      <c r="Q558" s="29"/>
      <c r="R558" s="135"/>
    </row>
    <row r="559" spans="1:34">
      <c r="C559" s="222" t="str">
        <f>$A$398</f>
        <v>2013-14</v>
      </c>
      <c r="D559" s="194">
        <f t="shared" ref="D559:D571" si="115">B912</f>
        <v>202</v>
      </c>
      <c r="E559" s="29">
        <f>C912</f>
        <v>221</v>
      </c>
      <c r="F559" s="135">
        <f t="shared" ref="F559:F570" si="116">E559/D558</f>
        <v>1.1161616161616161</v>
      </c>
      <c r="G559" s="467">
        <f t="shared" ref="G559:G571" si="117">E912</f>
        <v>246</v>
      </c>
      <c r="H559" s="29">
        <f>F912</f>
        <v>242</v>
      </c>
      <c r="I559" s="135">
        <f t="shared" ref="I559:I570" si="118">H559/G558</f>
        <v>1</v>
      </c>
      <c r="J559" s="194">
        <f t="shared" ref="J559:J571" si="119">H912</f>
        <v>251</v>
      </c>
      <c r="K559" s="29">
        <f>I912</f>
        <v>250</v>
      </c>
      <c r="L559" s="135">
        <f t="shared" ref="L559:L570" si="120">K559/J558</f>
        <v>1.0162601626016261</v>
      </c>
      <c r="M559" s="194">
        <f t="shared" ref="M559:M571" si="121">K912</f>
        <v>230</v>
      </c>
      <c r="N559" s="29">
        <f>L912</f>
        <v>227</v>
      </c>
      <c r="O559" s="135">
        <f t="shared" ref="O559:O570" si="122">N559/M558</f>
        <v>1.0044247787610618</v>
      </c>
      <c r="P559" s="333">
        <f t="shared" ref="P559:P571" si="123">D559+J559+G559+M559</f>
        <v>929</v>
      </c>
      <c r="Q559" s="29">
        <f>D559+K559+H559+N559</f>
        <v>921</v>
      </c>
      <c r="R559" s="135">
        <f t="shared" ref="R559:R570" si="124">Q559/P558</f>
        <v>1.0098684210526316</v>
      </c>
    </row>
    <row r="560" spans="1:34">
      <c r="C560" s="222" t="str">
        <f>$A$399</f>
        <v>2014-15</v>
      </c>
      <c r="D560" s="194">
        <f t="shared" si="115"/>
        <v>209</v>
      </c>
      <c r="E560" s="29">
        <f t="shared" ref="E560:E571" si="125">C913</f>
        <v>214</v>
      </c>
      <c r="F560" s="135">
        <f t="shared" si="116"/>
        <v>1.0594059405940595</v>
      </c>
      <c r="G560" s="467">
        <f t="shared" si="117"/>
        <v>255</v>
      </c>
      <c r="H560" s="29">
        <f t="shared" ref="H560:H571" si="126">F913</f>
        <v>264</v>
      </c>
      <c r="I560" s="135">
        <f t="shared" si="118"/>
        <v>1.0731707317073171</v>
      </c>
      <c r="J560" s="194">
        <f t="shared" si="119"/>
        <v>259</v>
      </c>
      <c r="K560" s="29">
        <f t="shared" ref="K560:K571" si="127">I913</f>
        <v>243</v>
      </c>
      <c r="L560" s="135">
        <f t="shared" si="120"/>
        <v>0.96812749003984067</v>
      </c>
      <c r="M560" s="194">
        <f t="shared" si="121"/>
        <v>238</v>
      </c>
      <c r="N560" s="29">
        <f t="shared" ref="N560:N571" si="128">L913</f>
        <v>232</v>
      </c>
      <c r="O560" s="135">
        <f t="shared" si="122"/>
        <v>1.008695652173913</v>
      </c>
      <c r="P560" s="333">
        <f t="shared" si="123"/>
        <v>961</v>
      </c>
      <c r="Q560" s="29">
        <f t="shared" ref="Q560:Q571" si="129">D560+K560+H560+N560</f>
        <v>948</v>
      </c>
      <c r="R560" s="135">
        <f t="shared" si="124"/>
        <v>1.0204520990312163</v>
      </c>
    </row>
    <row r="561" spans="3:20">
      <c r="C561" s="222" t="str">
        <f>$A$400</f>
        <v>2015-16</v>
      </c>
      <c r="D561" s="194">
        <f t="shared" si="115"/>
        <v>202</v>
      </c>
      <c r="E561" s="29">
        <f t="shared" si="125"/>
        <v>194</v>
      </c>
      <c r="F561" s="135">
        <f t="shared" si="116"/>
        <v>0.92822966507177029</v>
      </c>
      <c r="G561" s="467">
        <f t="shared" si="117"/>
        <v>246</v>
      </c>
      <c r="H561" s="29">
        <f t="shared" si="126"/>
        <v>279</v>
      </c>
      <c r="I561" s="135">
        <f t="shared" si="118"/>
        <v>1.0941176470588236</v>
      </c>
      <c r="J561" s="194">
        <f t="shared" si="119"/>
        <v>250</v>
      </c>
      <c r="K561" s="29">
        <f t="shared" si="127"/>
        <v>268</v>
      </c>
      <c r="L561" s="135">
        <f t="shared" si="120"/>
        <v>1.0347490347490347</v>
      </c>
      <c r="M561" s="194">
        <f t="shared" si="121"/>
        <v>229</v>
      </c>
      <c r="N561" s="29">
        <f t="shared" si="128"/>
        <v>256</v>
      </c>
      <c r="O561" s="135">
        <f t="shared" si="122"/>
        <v>1.0756302521008403</v>
      </c>
      <c r="P561" s="333">
        <f t="shared" si="123"/>
        <v>927</v>
      </c>
      <c r="Q561" s="29">
        <f t="shared" si="129"/>
        <v>1005</v>
      </c>
      <c r="R561" s="135">
        <f t="shared" si="124"/>
        <v>1.0457856399583767</v>
      </c>
    </row>
    <row r="562" spans="3:20">
      <c r="C562" s="222" t="str">
        <f>$A$401</f>
        <v>2016-17</v>
      </c>
      <c r="D562" s="194">
        <f t="shared" si="115"/>
        <v>209</v>
      </c>
      <c r="E562" s="29">
        <f t="shared" si="125"/>
        <v>235</v>
      </c>
      <c r="F562" s="135">
        <f t="shared" si="116"/>
        <v>1.1633663366336633</v>
      </c>
      <c r="G562" s="467">
        <f t="shared" si="117"/>
        <v>255</v>
      </c>
      <c r="H562" s="29">
        <f t="shared" si="126"/>
        <v>234</v>
      </c>
      <c r="I562" s="135">
        <f t="shared" si="118"/>
        <v>0.95121951219512191</v>
      </c>
      <c r="J562" s="194">
        <f t="shared" si="119"/>
        <v>260</v>
      </c>
      <c r="K562" s="29">
        <f t="shared" si="127"/>
        <v>262</v>
      </c>
      <c r="L562" s="135">
        <f t="shared" si="120"/>
        <v>1.048</v>
      </c>
      <c r="M562" s="194">
        <f t="shared" si="121"/>
        <v>238</v>
      </c>
      <c r="N562" s="29">
        <f t="shared" si="128"/>
        <v>252</v>
      </c>
      <c r="O562" s="135">
        <f t="shared" si="122"/>
        <v>1.1004366812227073</v>
      </c>
      <c r="P562" s="333">
        <f t="shared" si="123"/>
        <v>962</v>
      </c>
      <c r="Q562" s="29">
        <f t="shared" si="129"/>
        <v>957</v>
      </c>
      <c r="R562" s="135">
        <f t="shared" si="124"/>
        <v>1.0323624595469256</v>
      </c>
    </row>
    <row r="563" spans="3:20">
      <c r="C563" s="222" t="str">
        <f>$A$402</f>
        <v>2017-18</v>
      </c>
      <c r="D563" s="194">
        <f t="shared" si="115"/>
        <v>197</v>
      </c>
      <c r="E563" s="29">
        <f t="shared" si="125"/>
        <v>224</v>
      </c>
      <c r="F563" s="135">
        <f t="shared" si="116"/>
        <v>1.0717703349282297</v>
      </c>
      <c r="G563" s="467">
        <f t="shared" si="117"/>
        <v>240</v>
      </c>
      <c r="H563" s="29">
        <f t="shared" si="126"/>
        <v>284</v>
      </c>
      <c r="I563" s="135">
        <f t="shared" si="118"/>
        <v>1.1137254901960785</v>
      </c>
      <c r="J563" s="194">
        <f t="shared" si="119"/>
        <v>244</v>
      </c>
      <c r="K563" s="29">
        <f t="shared" si="127"/>
        <v>260</v>
      </c>
      <c r="L563" s="135">
        <f t="shared" si="120"/>
        <v>1</v>
      </c>
      <c r="M563" s="194">
        <f t="shared" si="121"/>
        <v>224</v>
      </c>
      <c r="N563" s="29">
        <f t="shared" si="128"/>
        <v>253</v>
      </c>
      <c r="O563" s="135">
        <f t="shared" si="122"/>
        <v>1.0630252100840336</v>
      </c>
      <c r="P563" s="333">
        <f t="shared" si="123"/>
        <v>905</v>
      </c>
      <c r="Q563" s="29">
        <f t="shared" si="129"/>
        <v>994</v>
      </c>
      <c r="R563" s="135">
        <f t="shared" si="124"/>
        <v>1.0332640332640333</v>
      </c>
    </row>
    <row r="564" spans="3:20">
      <c r="C564" s="222" t="str">
        <f>$A$403</f>
        <v>2018-19</v>
      </c>
      <c r="D564" s="194">
        <f t="shared" si="115"/>
        <v>221</v>
      </c>
      <c r="E564" s="29">
        <f t="shared" si="125"/>
        <v>217</v>
      </c>
      <c r="F564" s="135">
        <f t="shared" si="116"/>
        <v>1.101522842639594</v>
      </c>
      <c r="G564" s="467">
        <f t="shared" si="117"/>
        <v>270</v>
      </c>
      <c r="H564" s="29">
        <f t="shared" si="126"/>
        <v>234</v>
      </c>
      <c r="I564" s="135">
        <f t="shared" si="118"/>
        <v>0.97499999999999998</v>
      </c>
      <c r="J564" s="194">
        <f t="shared" si="119"/>
        <v>275</v>
      </c>
      <c r="K564" s="29">
        <f t="shared" si="127"/>
        <v>240</v>
      </c>
      <c r="L564" s="135">
        <f t="shared" si="120"/>
        <v>0.98360655737704916</v>
      </c>
      <c r="M564" s="194">
        <f t="shared" si="121"/>
        <v>252</v>
      </c>
      <c r="N564" s="29">
        <f t="shared" si="128"/>
        <v>253</v>
      </c>
      <c r="O564" s="135">
        <f t="shared" si="122"/>
        <v>1.1294642857142858</v>
      </c>
      <c r="P564" s="333">
        <f t="shared" si="123"/>
        <v>1018</v>
      </c>
      <c r="Q564" s="29">
        <f t="shared" si="129"/>
        <v>948</v>
      </c>
      <c r="R564" s="135">
        <f t="shared" si="124"/>
        <v>1.0475138121546961</v>
      </c>
    </row>
    <row r="565" spans="3:20">
      <c r="C565" s="222" t="str">
        <f>$A$404</f>
        <v>2019-20</v>
      </c>
      <c r="D565" s="194">
        <f t="shared" si="115"/>
        <v>209</v>
      </c>
      <c r="E565" s="29">
        <f t="shared" si="125"/>
        <v>223</v>
      </c>
      <c r="F565" s="135">
        <f t="shared" si="116"/>
        <v>1.0090497737556561</v>
      </c>
      <c r="G565" s="467">
        <f t="shared" si="117"/>
        <v>254</v>
      </c>
      <c r="H565" s="29">
        <f t="shared" si="126"/>
        <v>267</v>
      </c>
      <c r="I565" s="135">
        <f t="shared" si="118"/>
        <v>0.98888888888888893</v>
      </c>
      <c r="J565" s="194">
        <f t="shared" si="119"/>
        <v>259</v>
      </c>
      <c r="K565" s="29">
        <f t="shared" si="127"/>
        <v>264</v>
      </c>
      <c r="L565" s="135">
        <f t="shared" si="120"/>
        <v>0.96</v>
      </c>
      <c r="M565" s="194">
        <f t="shared" si="121"/>
        <v>238</v>
      </c>
      <c r="N565" s="29">
        <f t="shared" si="128"/>
        <v>303</v>
      </c>
      <c r="O565" s="135">
        <f t="shared" si="122"/>
        <v>1.2023809523809523</v>
      </c>
      <c r="P565" s="333">
        <f t="shared" si="123"/>
        <v>960</v>
      </c>
      <c r="Q565" s="29">
        <f t="shared" si="129"/>
        <v>1043</v>
      </c>
      <c r="R565" s="135">
        <f t="shared" si="124"/>
        <v>1.0245579567779961</v>
      </c>
    </row>
    <row r="566" spans="3:20">
      <c r="C566" s="222" t="str">
        <f>$A$405</f>
        <v>2020-21</v>
      </c>
      <c r="D566" s="194">
        <f t="shared" si="115"/>
        <v>199</v>
      </c>
      <c r="E566" s="29">
        <f t="shared" si="125"/>
        <v>202</v>
      </c>
      <c r="F566" s="135">
        <f t="shared" si="116"/>
        <v>0.96650717703349287</v>
      </c>
      <c r="G566" s="467">
        <f t="shared" si="117"/>
        <v>242</v>
      </c>
      <c r="H566" s="29">
        <f t="shared" si="126"/>
        <v>253</v>
      </c>
      <c r="I566" s="135">
        <f t="shared" si="118"/>
        <v>0.99606299212598426</v>
      </c>
      <c r="J566" s="194">
        <f t="shared" si="119"/>
        <v>247</v>
      </c>
      <c r="K566" s="29">
        <f t="shared" si="127"/>
        <v>257</v>
      </c>
      <c r="L566" s="135">
        <f t="shared" si="120"/>
        <v>0.99227799227799229</v>
      </c>
      <c r="M566" s="194">
        <f t="shared" si="121"/>
        <v>226</v>
      </c>
      <c r="N566" s="29">
        <f t="shared" si="128"/>
        <v>257</v>
      </c>
      <c r="O566" s="135">
        <f t="shared" si="122"/>
        <v>1.0798319327731092</v>
      </c>
      <c r="P566" s="333">
        <f t="shared" si="123"/>
        <v>914</v>
      </c>
      <c r="Q566" s="29">
        <f t="shared" si="129"/>
        <v>966</v>
      </c>
      <c r="R566" s="135">
        <f t="shared" si="124"/>
        <v>1.0062500000000001</v>
      </c>
    </row>
    <row r="567" spans="3:20">
      <c r="C567" s="222" t="str">
        <f>$A$406</f>
        <v>2021-22</v>
      </c>
      <c r="D567" s="194">
        <f t="shared" si="115"/>
        <v>209</v>
      </c>
      <c r="E567" s="29">
        <f t="shared" si="125"/>
        <v>208</v>
      </c>
      <c r="F567" s="135">
        <f t="shared" si="116"/>
        <v>1.0452261306532664</v>
      </c>
      <c r="G567" s="467">
        <f t="shared" si="117"/>
        <v>255</v>
      </c>
      <c r="H567" s="29">
        <f t="shared" si="126"/>
        <v>263</v>
      </c>
      <c r="I567" s="135">
        <f t="shared" si="118"/>
        <v>1.0867768595041323</v>
      </c>
      <c r="J567" s="194">
        <f t="shared" si="119"/>
        <v>260</v>
      </c>
      <c r="K567" s="29">
        <f t="shared" si="127"/>
        <v>212</v>
      </c>
      <c r="L567" s="135">
        <f t="shared" si="120"/>
        <v>0.8582995951417004</v>
      </c>
      <c r="M567" s="194">
        <f t="shared" si="121"/>
        <v>238</v>
      </c>
      <c r="N567" s="29">
        <f t="shared" si="128"/>
        <v>275</v>
      </c>
      <c r="O567" s="135">
        <f t="shared" si="122"/>
        <v>1.2168141592920354</v>
      </c>
      <c r="P567" s="333">
        <f t="shared" si="123"/>
        <v>962</v>
      </c>
      <c r="Q567" s="29">
        <f t="shared" si="129"/>
        <v>959</v>
      </c>
      <c r="R567" s="135">
        <f t="shared" si="124"/>
        <v>1.049234135667396</v>
      </c>
    </row>
    <row r="568" spans="3:20">
      <c r="C568" s="222" t="str">
        <f>$A$407</f>
        <v>2022-23</v>
      </c>
      <c r="D568" s="194">
        <f t="shared" si="115"/>
        <v>190</v>
      </c>
      <c r="E568" s="29">
        <f t="shared" si="125"/>
        <v>211</v>
      </c>
      <c r="F568" s="135">
        <f t="shared" si="116"/>
        <v>1.0095693779904307</v>
      </c>
      <c r="G568" s="467">
        <f t="shared" si="117"/>
        <v>231</v>
      </c>
      <c r="H568" s="29">
        <f t="shared" si="126"/>
        <v>254</v>
      </c>
      <c r="I568" s="135">
        <f t="shared" si="118"/>
        <v>0.99607843137254903</v>
      </c>
      <c r="J568" s="194">
        <f t="shared" si="119"/>
        <v>235</v>
      </c>
      <c r="K568" s="29">
        <f t="shared" si="127"/>
        <v>254</v>
      </c>
      <c r="L568" s="135">
        <f t="shared" si="120"/>
        <v>0.97692307692307689</v>
      </c>
      <c r="M568" s="194">
        <f t="shared" si="121"/>
        <v>216</v>
      </c>
      <c r="N568" s="29">
        <f t="shared" si="128"/>
        <v>294</v>
      </c>
      <c r="O568" s="135">
        <f t="shared" si="122"/>
        <v>1.2352941176470589</v>
      </c>
      <c r="P568" s="333">
        <f t="shared" si="123"/>
        <v>872</v>
      </c>
      <c r="Q568" s="29">
        <f t="shared" si="129"/>
        <v>992</v>
      </c>
      <c r="R568" s="135">
        <f t="shared" si="124"/>
        <v>1.0311850311850312</v>
      </c>
    </row>
    <row r="569" spans="3:20">
      <c r="C569" s="222" t="str">
        <f>$A$408</f>
        <v>2023-24</v>
      </c>
      <c r="D569" s="194">
        <f t="shared" si="115"/>
        <v>204</v>
      </c>
      <c r="E569" s="29">
        <f t="shared" si="125"/>
        <v>195</v>
      </c>
      <c r="F569" s="135">
        <f t="shared" si="116"/>
        <v>1.0263157894736843</v>
      </c>
      <c r="G569" s="467">
        <f t="shared" si="117"/>
        <v>249</v>
      </c>
      <c r="H569" s="29">
        <f t="shared" si="126"/>
        <v>237</v>
      </c>
      <c r="I569" s="135">
        <f t="shared" si="118"/>
        <v>1.025974025974026</v>
      </c>
      <c r="J569" s="194">
        <f t="shared" si="119"/>
        <v>254</v>
      </c>
      <c r="K569" s="29">
        <f t="shared" si="127"/>
        <v>231</v>
      </c>
      <c r="L569" s="135">
        <f t="shared" si="120"/>
        <v>0.98297872340425529</v>
      </c>
      <c r="M569" s="194">
        <f t="shared" si="121"/>
        <v>232</v>
      </c>
      <c r="N569" s="29">
        <f t="shared" si="128"/>
        <v>250</v>
      </c>
      <c r="O569" s="135">
        <f t="shared" si="122"/>
        <v>1.1574074074074074</v>
      </c>
      <c r="P569" s="333">
        <f t="shared" si="123"/>
        <v>939</v>
      </c>
      <c r="Q569" s="29">
        <f t="shared" si="129"/>
        <v>922</v>
      </c>
      <c r="R569" s="135">
        <f t="shared" si="124"/>
        <v>1.0573394495412844</v>
      </c>
    </row>
    <row r="570" spans="3:20">
      <c r="C570" s="222" t="str">
        <f>$A$409</f>
        <v>2024-25</v>
      </c>
      <c r="D570" s="194">
        <f t="shared" si="115"/>
        <v>197</v>
      </c>
      <c r="E570" s="29">
        <f t="shared" si="125"/>
        <v>189</v>
      </c>
      <c r="F570" s="135">
        <f t="shared" si="116"/>
        <v>0.92647058823529416</v>
      </c>
      <c r="G570" s="467">
        <f t="shared" si="117"/>
        <v>244</v>
      </c>
      <c r="H570" s="29">
        <f t="shared" si="126"/>
        <v>229</v>
      </c>
      <c r="I570" s="135">
        <f t="shared" si="118"/>
        <v>0.91967871485943775</v>
      </c>
      <c r="J570" s="194">
        <f t="shared" si="119"/>
        <v>240</v>
      </c>
      <c r="K570" s="29">
        <f t="shared" si="127"/>
        <v>266</v>
      </c>
      <c r="L570" s="135">
        <f t="shared" si="120"/>
        <v>1.0472440944881889</v>
      </c>
      <c r="M570" s="194">
        <f t="shared" si="121"/>
        <v>224</v>
      </c>
      <c r="N570" s="29">
        <f t="shared" si="128"/>
        <v>291</v>
      </c>
      <c r="O570" s="135">
        <f t="shared" si="122"/>
        <v>1.2543103448275863</v>
      </c>
      <c r="P570" s="333">
        <f t="shared" si="123"/>
        <v>905</v>
      </c>
      <c r="Q570" s="29">
        <f t="shared" si="129"/>
        <v>983</v>
      </c>
      <c r="R570" s="135">
        <f t="shared" si="124"/>
        <v>1.0468583599574015</v>
      </c>
    </row>
    <row r="571" spans="3:20" ht="13.8" thickBot="1">
      <c r="C571" s="418" t="str">
        <f>$A$410</f>
        <v>2025-26</v>
      </c>
      <c r="D571" s="159">
        <f t="shared" si="115"/>
        <v>201</v>
      </c>
      <c r="E571" s="136">
        <f t="shared" si="125"/>
        <v>176</v>
      </c>
      <c r="F571" s="195">
        <f>E571/D569</f>
        <v>0.86274509803921573</v>
      </c>
      <c r="G571" s="468">
        <f t="shared" si="117"/>
        <v>249</v>
      </c>
      <c r="H571" s="136">
        <f t="shared" si="126"/>
        <v>246</v>
      </c>
      <c r="I571" s="195">
        <f>H571/G569</f>
        <v>0.98795180722891562</v>
      </c>
      <c r="J571" s="159">
        <f t="shared" si="119"/>
        <v>245</v>
      </c>
      <c r="K571" s="136">
        <f t="shared" si="127"/>
        <v>232</v>
      </c>
      <c r="L571" s="195">
        <f>K571/J569</f>
        <v>0.91338582677165359</v>
      </c>
      <c r="M571" s="159">
        <f t="shared" si="121"/>
        <v>228</v>
      </c>
      <c r="N571" s="136">
        <f t="shared" si="128"/>
        <v>297</v>
      </c>
      <c r="O571" s="195">
        <f>N571/M570</f>
        <v>1.3258928571428572</v>
      </c>
      <c r="P571" s="330">
        <f t="shared" si="123"/>
        <v>923</v>
      </c>
      <c r="Q571" s="136">
        <f t="shared" si="129"/>
        <v>976</v>
      </c>
      <c r="R571" s="195">
        <f>Q571/P570</f>
        <v>1.0784530386740332</v>
      </c>
    </row>
    <row r="572" spans="3:20" ht="13.8" thickTop="1">
      <c r="C572" s="222"/>
      <c r="D572" s="194"/>
      <c r="E572" s="29"/>
      <c r="F572" s="226"/>
      <c r="G572" s="194"/>
      <c r="H572" s="29"/>
      <c r="I572" s="226"/>
      <c r="J572" s="194"/>
      <c r="K572" s="29"/>
      <c r="L572" s="226"/>
      <c r="M572" s="194"/>
      <c r="N572" s="29"/>
      <c r="O572" s="226"/>
      <c r="P572" s="194"/>
      <c r="Q572" s="29"/>
      <c r="R572" s="226"/>
    </row>
    <row r="573" spans="3:20">
      <c r="C573" s="357" t="s">
        <v>72</v>
      </c>
      <c r="D573" s="362">
        <f>SUM(D568:D570)</f>
        <v>591</v>
      </c>
      <c r="E573" s="114">
        <f>SUM(E569:E571)</f>
        <v>560</v>
      </c>
      <c r="F573" s="135">
        <f>E573/D573</f>
        <v>0.94754653130287647</v>
      </c>
      <c r="G573" s="362">
        <f>SUM(G568:G570)</f>
        <v>724</v>
      </c>
      <c r="H573" s="114">
        <f>SUM(H569:H571)</f>
        <v>712</v>
      </c>
      <c r="I573" s="135">
        <f>H573/G573</f>
        <v>0.98342541436464093</v>
      </c>
      <c r="J573" s="362">
        <f>SUM(J568:J570)</f>
        <v>729</v>
      </c>
      <c r="K573" s="114">
        <f>SUM(K569:K571)</f>
        <v>729</v>
      </c>
      <c r="L573" s="135">
        <f>K573/J573</f>
        <v>1</v>
      </c>
      <c r="M573" s="362">
        <f>SUM(M568:M570)</f>
        <v>672</v>
      </c>
      <c r="N573" s="114">
        <f>SUM(N569:N571)</f>
        <v>838</v>
      </c>
      <c r="O573" s="135">
        <f>N573/M573</f>
        <v>1.2470238095238095</v>
      </c>
      <c r="P573" s="362">
        <f>SUM(P568:P570)</f>
        <v>2716</v>
      </c>
      <c r="Q573" s="114">
        <f>SUM(Q569:Q571)</f>
        <v>2881</v>
      </c>
      <c r="R573" s="135">
        <f>Q573/P573</f>
        <v>1.0607511045655376</v>
      </c>
    </row>
    <row r="574" spans="3:20">
      <c r="C574" s="357" t="s">
        <v>73</v>
      </c>
      <c r="D574" s="362">
        <f>SUM(D566:D570)</f>
        <v>999</v>
      </c>
      <c r="E574" s="114">
        <f>SUM(E567:E571)</f>
        <v>979</v>
      </c>
      <c r="F574" s="135">
        <f>E574/D574</f>
        <v>0.97997997997997999</v>
      </c>
      <c r="G574" s="362">
        <f>SUM(G566:G570)</f>
        <v>1221</v>
      </c>
      <c r="H574" s="114">
        <f>SUM(H567:H571)</f>
        <v>1229</v>
      </c>
      <c r="I574" s="135">
        <f>H574/G574</f>
        <v>1.0065520065520066</v>
      </c>
      <c r="J574" s="362">
        <f>SUM(J566:J570)</f>
        <v>1236</v>
      </c>
      <c r="K574" s="114">
        <f>SUM(K567:K571)</f>
        <v>1195</v>
      </c>
      <c r="L574" s="135">
        <f>K574/J574</f>
        <v>0.96682847896440127</v>
      </c>
      <c r="M574" s="362">
        <f>SUM(M566:M570)</f>
        <v>1136</v>
      </c>
      <c r="N574" s="114">
        <f>SUM(N567:N571)</f>
        <v>1407</v>
      </c>
      <c r="O574" s="135">
        <f>N574/M574</f>
        <v>1.238556338028169</v>
      </c>
      <c r="P574" s="362">
        <f>SUM(P566:P570)</f>
        <v>4592</v>
      </c>
      <c r="Q574" s="114">
        <f>SUM(Q567:Q571)</f>
        <v>4832</v>
      </c>
      <c r="R574" s="135">
        <f>Q574/P574</f>
        <v>1.0522648083623694</v>
      </c>
    </row>
    <row r="575" spans="3:20">
      <c r="C575" s="224" t="s">
        <v>74</v>
      </c>
      <c r="D575" s="363">
        <f>SUM(D561:D570)</f>
        <v>2037</v>
      </c>
      <c r="E575" s="364">
        <f>SUM(E562:E571)</f>
        <v>2080</v>
      </c>
      <c r="F575" s="361">
        <f>E575/D575</f>
        <v>1.0211094747177221</v>
      </c>
      <c r="G575" s="363">
        <f>SUM(G561:G570)</f>
        <v>2486</v>
      </c>
      <c r="H575" s="364">
        <f>SUM(H562:H571)</f>
        <v>2501</v>
      </c>
      <c r="I575" s="361">
        <f>H575/G575</f>
        <v>1.0060337892196298</v>
      </c>
      <c r="J575" s="363">
        <f>SUM(J561:J570)</f>
        <v>2524</v>
      </c>
      <c r="K575" s="364">
        <f>SUM(K562:K571)</f>
        <v>2478</v>
      </c>
      <c r="L575" s="361">
        <f>K575/J575</f>
        <v>0.98177496038034862</v>
      </c>
      <c r="M575" s="363">
        <f>SUM(M561:M570)</f>
        <v>2317</v>
      </c>
      <c r="N575" s="364">
        <f>SUM(N562:N571)</f>
        <v>2725</v>
      </c>
      <c r="O575" s="361">
        <f>N575/M575</f>
        <v>1.1760897712559344</v>
      </c>
      <c r="P575" s="363">
        <f>SUM(P561:P570)</f>
        <v>9364</v>
      </c>
      <c r="Q575" s="364">
        <f>SUM(Q562:Q571)</f>
        <v>9740</v>
      </c>
      <c r="R575" s="361">
        <f>Q575/P575</f>
        <v>1.0401537804357113</v>
      </c>
      <c r="T575" s="29"/>
    </row>
    <row r="576" spans="3:20">
      <c r="L576" s="94"/>
      <c r="M576" s="94"/>
      <c r="T576" s="29"/>
    </row>
    <row r="577" spans="3:18" ht="17.399999999999999">
      <c r="C577" s="130" t="s">
        <v>275</v>
      </c>
      <c r="D577" s="130"/>
      <c r="E577" s="130"/>
      <c r="F577" s="130"/>
      <c r="G577" s="131"/>
      <c r="H577" s="131"/>
      <c r="I577" s="131"/>
      <c r="J577" s="131"/>
      <c r="K577" s="131"/>
      <c r="L577" s="131"/>
      <c r="M577" s="131"/>
      <c r="N577" s="131"/>
      <c r="O577" s="131"/>
      <c r="P577" s="131"/>
      <c r="Q577" s="131"/>
      <c r="R577" s="131"/>
    </row>
    <row r="578" spans="3:18" ht="17.399999999999999">
      <c r="C578" s="130" t="s">
        <v>65</v>
      </c>
      <c r="D578" s="130"/>
      <c r="E578" s="130"/>
      <c r="F578" s="130"/>
      <c r="G578" s="131"/>
      <c r="H578" s="131"/>
      <c r="I578" s="131"/>
      <c r="J578" s="130"/>
      <c r="K578" s="131"/>
      <c r="L578" s="131"/>
      <c r="M578" s="131"/>
      <c r="N578" s="131"/>
      <c r="O578" s="131"/>
      <c r="P578" s="131"/>
      <c r="Q578" s="131"/>
      <c r="R578" s="131"/>
    </row>
    <row r="580" spans="3:18">
      <c r="C580" s="353" t="s">
        <v>66</v>
      </c>
      <c r="D580" s="787" t="s">
        <v>363</v>
      </c>
      <c r="E580" s="788"/>
      <c r="F580" s="789"/>
      <c r="G580" s="787" t="s">
        <v>36</v>
      </c>
      <c r="H580" s="788"/>
      <c r="I580" s="789"/>
      <c r="J580" s="787" t="s">
        <v>86</v>
      </c>
      <c r="K580" s="788"/>
      <c r="L580" s="789"/>
      <c r="M580" s="787" t="s">
        <v>99</v>
      </c>
      <c r="N580" s="788"/>
      <c r="O580" s="789"/>
      <c r="P580" s="787" t="s">
        <v>52</v>
      </c>
      <c r="Q580" s="788"/>
      <c r="R580" s="789"/>
    </row>
    <row r="581" spans="3:18" ht="13.8" thickBot="1">
      <c r="C581" s="449"/>
      <c r="D581" s="450" t="s">
        <v>87</v>
      </c>
      <c r="E581" s="343" t="s">
        <v>88</v>
      </c>
      <c r="F581" s="398" t="s">
        <v>71</v>
      </c>
      <c r="G581" s="450" t="s">
        <v>87</v>
      </c>
      <c r="H581" s="343" t="s">
        <v>88</v>
      </c>
      <c r="I581" s="398" t="s">
        <v>71</v>
      </c>
      <c r="J581" s="450" t="s">
        <v>87</v>
      </c>
      <c r="K581" s="343" t="s">
        <v>88</v>
      </c>
      <c r="L581" s="398" t="s">
        <v>71</v>
      </c>
      <c r="M581" s="450" t="s">
        <v>87</v>
      </c>
      <c r="N581" s="343" t="s">
        <v>88</v>
      </c>
      <c r="O581" s="398" t="s">
        <v>79</v>
      </c>
      <c r="P581" s="450" t="s">
        <v>87</v>
      </c>
      <c r="Q581" s="343" t="s">
        <v>88</v>
      </c>
      <c r="R581" s="398" t="s">
        <v>71</v>
      </c>
    </row>
    <row r="582" spans="3:18" ht="13.8" thickTop="1">
      <c r="C582" s="222"/>
      <c r="D582" s="194"/>
      <c r="E582" s="29"/>
      <c r="F582" s="226"/>
      <c r="G582" s="194"/>
      <c r="H582" s="29"/>
      <c r="I582" s="226"/>
      <c r="J582" s="194"/>
      <c r="K582" s="29"/>
      <c r="L582" s="226"/>
      <c r="M582" s="194"/>
      <c r="N582" s="29"/>
      <c r="O582" s="226"/>
      <c r="P582" s="194"/>
      <c r="Q582" s="29"/>
      <c r="R582" s="226"/>
    </row>
    <row r="583" spans="3:18">
      <c r="C583" s="222" t="str">
        <f>$A$397</f>
        <v>2012-13</v>
      </c>
      <c r="D583" s="194">
        <f>B887</f>
        <v>233</v>
      </c>
      <c r="E583" s="29"/>
      <c r="F583" s="226"/>
      <c r="G583" s="194">
        <f>C887</f>
        <v>255</v>
      </c>
      <c r="H583" s="29"/>
      <c r="I583" s="135"/>
      <c r="J583" s="194">
        <f>D887</f>
        <v>263</v>
      </c>
      <c r="K583" s="29"/>
      <c r="L583" s="135"/>
      <c r="M583" s="194">
        <f>E887</f>
        <v>239</v>
      </c>
      <c r="N583" s="29"/>
      <c r="O583" s="135"/>
      <c r="P583" s="194">
        <f t="shared" ref="P583:P596" si="130">D583+J583+G583+M583</f>
        <v>990</v>
      </c>
      <c r="Q583" s="29"/>
      <c r="R583" s="135"/>
    </row>
    <row r="584" spans="3:18">
      <c r="C584" s="222" t="str">
        <f>$A$398</f>
        <v>2013-14</v>
      </c>
      <c r="D584" s="194">
        <f>F887</f>
        <v>221</v>
      </c>
      <c r="E584" s="29">
        <f>F888</f>
        <v>242</v>
      </c>
      <c r="F584" s="135">
        <f t="shared" ref="F584:F595" si="131">E584/D583</f>
        <v>1.03862660944206</v>
      </c>
      <c r="G584" s="194">
        <f>G887</f>
        <v>242</v>
      </c>
      <c r="H584" s="29">
        <f>G888</f>
        <v>230</v>
      </c>
      <c r="I584" s="135">
        <f t="shared" ref="I584:I595" si="132">H584/G583</f>
        <v>0.90196078431372551</v>
      </c>
      <c r="J584" s="194">
        <f>H887</f>
        <v>250</v>
      </c>
      <c r="K584" s="29">
        <f>H888</f>
        <v>285</v>
      </c>
      <c r="L584" s="135">
        <f t="shared" ref="L584:L595" si="133">K584/J583</f>
        <v>1.0836501901140685</v>
      </c>
      <c r="M584" s="194">
        <f>I887</f>
        <v>227</v>
      </c>
      <c r="N584" s="29">
        <f>I888</f>
        <v>235</v>
      </c>
      <c r="O584" s="135">
        <f t="shared" ref="O584:O595" si="134">N584/M583</f>
        <v>0.98326359832635979</v>
      </c>
      <c r="P584" s="194">
        <f t="shared" si="130"/>
        <v>940</v>
      </c>
      <c r="Q584" s="29">
        <f t="shared" ref="Q584:Q596" si="135">E584+K584+H584+N584</f>
        <v>992</v>
      </c>
      <c r="R584" s="135">
        <f t="shared" ref="R584:R595" si="136">Q584/P583</f>
        <v>1.002020202020202</v>
      </c>
    </row>
    <row r="585" spans="3:18">
      <c r="C585" s="222" t="str">
        <f>$A$399</f>
        <v>2014-15</v>
      </c>
      <c r="D585" s="194">
        <f>J887</f>
        <v>214</v>
      </c>
      <c r="E585" s="29">
        <f>J888</f>
        <v>210</v>
      </c>
      <c r="F585" s="135">
        <f t="shared" si="131"/>
        <v>0.95022624434389136</v>
      </c>
      <c r="G585" s="194">
        <f>K887</f>
        <v>264</v>
      </c>
      <c r="H585" s="29">
        <f>K888</f>
        <v>265</v>
      </c>
      <c r="I585" s="135">
        <f t="shared" si="132"/>
        <v>1.0950413223140496</v>
      </c>
      <c r="J585" s="194">
        <f>L887</f>
        <v>243</v>
      </c>
      <c r="K585" s="29">
        <f>L888</f>
        <v>254</v>
      </c>
      <c r="L585" s="135">
        <f t="shared" si="133"/>
        <v>1.016</v>
      </c>
      <c r="M585" s="194">
        <f>M887</f>
        <v>232</v>
      </c>
      <c r="N585" s="29">
        <f>M888</f>
        <v>230</v>
      </c>
      <c r="O585" s="135">
        <f t="shared" si="134"/>
        <v>1.0132158590308371</v>
      </c>
      <c r="P585" s="194">
        <f t="shared" si="130"/>
        <v>953</v>
      </c>
      <c r="Q585" s="29">
        <f t="shared" si="135"/>
        <v>959</v>
      </c>
      <c r="R585" s="135">
        <f t="shared" si="136"/>
        <v>1.0202127659574467</v>
      </c>
    </row>
    <row r="586" spans="3:18">
      <c r="C586" s="222" t="str">
        <f>$A$400</f>
        <v>2015-16</v>
      </c>
      <c r="D586" s="194">
        <f>N887</f>
        <v>194</v>
      </c>
      <c r="E586" s="29">
        <f>N888</f>
        <v>217</v>
      </c>
      <c r="F586" s="135">
        <f t="shared" si="131"/>
        <v>1.014018691588785</v>
      </c>
      <c r="G586" s="194">
        <f>O887</f>
        <v>279</v>
      </c>
      <c r="H586" s="29">
        <f>O888</f>
        <v>262</v>
      </c>
      <c r="I586" s="135">
        <f t="shared" si="132"/>
        <v>0.99242424242424243</v>
      </c>
      <c r="J586" s="194">
        <f>P887</f>
        <v>268</v>
      </c>
      <c r="K586" s="29">
        <f>P888</f>
        <v>246</v>
      </c>
      <c r="L586" s="135">
        <f t="shared" si="133"/>
        <v>1.0123456790123457</v>
      </c>
      <c r="M586" s="194">
        <f>Q887</f>
        <v>256</v>
      </c>
      <c r="N586" s="29">
        <f>Q888</f>
        <v>242</v>
      </c>
      <c r="O586" s="135">
        <f t="shared" si="134"/>
        <v>1.0431034482758621</v>
      </c>
      <c r="P586" s="194">
        <f t="shared" si="130"/>
        <v>997</v>
      </c>
      <c r="Q586" s="29">
        <f t="shared" si="135"/>
        <v>967</v>
      </c>
      <c r="R586" s="135">
        <f t="shared" si="136"/>
        <v>1.0146904512067156</v>
      </c>
    </row>
    <row r="587" spans="3:18">
      <c r="C587" s="222" t="str">
        <f>$A$401</f>
        <v>2016-17</v>
      </c>
      <c r="D587" s="194">
        <f>R887</f>
        <v>235</v>
      </c>
      <c r="E587" s="29">
        <f>R888</f>
        <v>208</v>
      </c>
      <c r="F587" s="135">
        <f t="shared" si="131"/>
        <v>1.0721649484536082</v>
      </c>
      <c r="G587" s="194">
        <f>S887</f>
        <v>234</v>
      </c>
      <c r="H587" s="29">
        <f>S888</f>
        <v>296</v>
      </c>
      <c r="I587" s="135">
        <f t="shared" si="132"/>
        <v>1.0609318996415771</v>
      </c>
      <c r="J587" s="194">
        <f>T887</f>
        <v>262</v>
      </c>
      <c r="K587" s="29">
        <f>T888</f>
        <v>266</v>
      </c>
      <c r="L587" s="135">
        <f t="shared" si="133"/>
        <v>0.9925373134328358</v>
      </c>
      <c r="M587" s="194">
        <f>U887</f>
        <v>252</v>
      </c>
      <c r="N587" s="29">
        <f>U888</f>
        <v>268</v>
      </c>
      <c r="O587" s="135">
        <f t="shared" si="134"/>
        <v>1.046875</v>
      </c>
      <c r="P587" s="194">
        <f t="shared" si="130"/>
        <v>983</v>
      </c>
      <c r="Q587" s="29">
        <f t="shared" si="135"/>
        <v>1038</v>
      </c>
      <c r="R587" s="135">
        <f t="shared" si="136"/>
        <v>1.0411233701103311</v>
      </c>
    </row>
    <row r="588" spans="3:18">
      <c r="C588" s="222" t="str">
        <f>$A$402</f>
        <v>2017-18</v>
      </c>
      <c r="D588" s="194">
        <f>V887</f>
        <v>224</v>
      </c>
      <c r="E588" s="29">
        <f>V888</f>
        <v>238</v>
      </c>
      <c r="F588" s="135">
        <f t="shared" si="131"/>
        <v>1.0127659574468084</v>
      </c>
      <c r="G588" s="194">
        <f>W887</f>
        <v>284</v>
      </c>
      <c r="H588" s="29">
        <f>W888</f>
        <v>240</v>
      </c>
      <c r="I588" s="135">
        <f t="shared" si="132"/>
        <v>1.0256410256410255</v>
      </c>
      <c r="J588" s="194">
        <f>X887</f>
        <v>260</v>
      </c>
      <c r="K588" s="29">
        <f>X888</f>
        <v>264</v>
      </c>
      <c r="L588" s="135">
        <f t="shared" si="133"/>
        <v>1.0076335877862594</v>
      </c>
      <c r="M588" s="194">
        <f>Y888</f>
        <v>255</v>
      </c>
      <c r="N588" s="29">
        <f>L227</f>
        <v>240</v>
      </c>
      <c r="O588" s="135">
        <f t="shared" si="134"/>
        <v>0.95238095238095233</v>
      </c>
      <c r="P588" s="194">
        <f t="shared" si="130"/>
        <v>1023</v>
      </c>
      <c r="Q588" s="29">
        <f t="shared" si="135"/>
        <v>982</v>
      </c>
      <c r="R588" s="135">
        <f t="shared" si="136"/>
        <v>0.99898270600203454</v>
      </c>
    </row>
    <row r="589" spans="3:18">
      <c r="C589" s="222" t="str">
        <f>$A$403</f>
        <v>2018-19</v>
      </c>
      <c r="D589" s="194">
        <f>Z887</f>
        <v>217</v>
      </c>
      <c r="E589" s="29">
        <f>Z888</f>
        <v>224</v>
      </c>
      <c r="F589" s="135">
        <f t="shared" si="131"/>
        <v>1</v>
      </c>
      <c r="G589" s="194">
        <f>AA887</f>
        <v>234</v>
      </c>
      <c r="H589" s="29">
        <f>AA888</f>
        <v>294</v>
      </c>
      <c r="I589" s="135">
        <f t="shared" si="132"/>
        <v>1.0352112676056338</v>
      </c>
      <c r="J589" s="194">
        <f>AB887</f>
        <v>240</v>
      </c>
      <c r="K589" s="29">
        <f>AB888</f>
        <v>267</v>
      </c>
      <c r="L589" s="135">
        <f t="shared" si="133"/>
        <v>1.0269230769230768</v>
      </c>
      <c r="M589" s="194">
        <f>AC887</f>
        <v>253</v>
      </c>
      <c r="N589" s="29">
        <f>AC888</f>
        <v>255</v>
      </c>
      <c r="O589" s="135">
        <f t="shared" si="134"/>
        <v>1</v>
      </c>
      <c r="P589" s="194">
        <f t="shared" si="130"/>
        <v>944</v>
      </c>
      <c r="Q589" s="29">
        <f t="shared" si="135"/>
        <v>1040</v>
      </c>
      <c r="R589" s="135">
        <f t="shared" si="136"/>
        <v>1.0166177908113392</v>
      </c>
    </row>
    <row r="590" spans="3:18">
      <c r="C590" s="222" t="str">
        <f>$A$404</f>
        <v>2019-20</v>
      </c>
      <c r="D590" s="194">
        <f>B901</f>
        <v>223</v>
      </c>
      <c r="E590" s="29">
        <f>B902</f>
        <v>223</v>
      </c>
      <c r="F590" s="135">
        <f t="shared" si="131"/>
        <v>1.0276497695852536</v>
      </c>
      <c r="G590" s="194">
        <f>C901</f>
        <v>267</v>
      </c>
      <c r="H590" s="29">
        <f>C902</f>
        <v>246</v>
      </c>
      <c r="I590" s="135">
        <f t="shared" si="132"/>
        <v>1.0512820512820513</v>
      </c>
      <c r="J590" s="194">
        <f>D901</f>
        <v>264</v>
      </c>
      <c r="K590" s="29">
        <f>D902</f>
        <v>254</v>
      </c>
      <c r="L590" s="135">
        <f t="shared" si="133"/>
        <v>1.0583333333333333</v>
      </c>
      <c r="M590" s="194">
        <f>E901</f>
        <v>303</v>
      </c>
      <c r="N590" s="29">
        <f>E902</f>
        <v>256</v>
      </c>
      <c r="O590" s="135">
        <f t="shared" si="134"/>
        <v>1.0118577075098814</v>
      </c>
      <c r="P590" s="194">
        <f t="shared" si="130"/>
        <v>1057</v>
      </c>
      <c r="Q590" s="29">
        <f t="shared" si="135"/>
        <v>979</v>
      </c>
      <c r="R590" s="135">
        <f t="shared" si="136"/>
        <v>1.0370762711864407</v>
      </c>
    </row>
    <row r="591" spans="3:18">
      <c r="C591" s="222" t="str">
        <f>$A$405</f>
        <v>2020-21</v>
      </c>
      <c r="D591" s="194">
        <f>F901</f>
        <v>202</v>
      </c>
      <c r="E591" s="29">
        <f>F902</f>
        <v>219</v>
      </c>
      <c r="F591" s="135">
        <f t="shared" si="131"/>
        <v>0.98206278026905824</v>
      </c>
      <c r="G591" s="194">
        <f>G901</f>
        <v>253</v>
      </c>
      <c r="H591" s="29">
        <f>G902</f>
        <v>260</v>
      </c>
      <c r="I591" s="135">
        <f t="shared" si="132"/>
        <v>0.97378277153558057</v>
      </c>
      <c r="J591" s="194">
        <f>H901</f>
        <v>257</v>
      </c>
      <c r="K591" s="29">
        <f>H902</f>
        <v>273</v>
      </c>
      <c r="L591" s="135">
        <f t="shared" si="133"/>
        <v>1.0340909090909092</v>
      </c>
      <c r="M591" s="194">
        <f>I901</f>
        <v>257</v>
      </c>
      <c r="N591" s="29">
        <f>I902</f>
        <v>299</v>
      </c>
      <c r="O591" s="135">
        <f t="shared" si="134"/>
        <v>0.98679867986798675</v>
      </c>
      <c r="P591" s="194">
        <f t="shared" si="130"/>
        <v>969</v>
      </c>
      <c r="Q591" s="29">
        <f t="shared" si="135"/>
        <v>1051</v>
      </c>
      <c r="R591" s="135">
        <f t="shared" si="136"/>
        <v>0.99432355723746457</v>
      </c>
    </row>
    <row r="592" spans="3:18">
      <c r="C592" s="222" t="str">
        <f>$A$406</f>
        <v>2021-22</v>
      </c>
      <c r="D592" s="194">
        <f>J901</f>
        <v>208</v>
      </c>
      <c r="E592" s="29">
        <f>J902</f>
        <v>209</v>
      </c>
      <c r="F592" s="135">
        <f t="shared" si="131"/>
        <v>1.0346534653465347</v>
      </c>
      <c r="G592" s="194">
        <f>K901</f>
        <v>263</v>
      </c>
      <c r="H592" s="29">
        <f>K902</f>
        <v>263</v>
      </c>
      <c r="I592" s="135">
        <f t="shared" si="132"/>
        <v>1.0395256916996047</v>
      </c>
      <c r="J592" s="194">
        <f>L901</f>
        <v>212</v>
      </c>
      <c r="K592" s="29">
        <f>L902</f>
        <v>249</v>
      </c>
      <c r="L592" s="135">
        <f t="shared" si="133"/>
        <v>0.9688715953307393</v>
      </c>
      <c r="M592" s="194">
        <f>M901</f>
        <v>275</v>
      </c>
      <c r="N592" s="29">
        <f>M902</f>
        <v>252</v>
      </c>
      <c r="O592" s="135">
        <f t="shared" si="134"/>
        <v>0.98054474708171202</v>
      </c>
      <c r="P592" s="194">
        <f t="shared" si="130"/>
        <v>958</v>
      </c>
      <c r="Q592" s="29">
        <f t="shared" si="135"/>
        <v>973</v>
      </c>
      <c r="R592" s="135">
        <f t="shared" si="136"/>
        <v>1.0041279669762642</v>
      </c>
    </row>
    <row r="593" spans="3:18">
      <c r="C593" s="222" t="str">
        <f>$A$407</f>
        <v>2022-23</v>
      </c>
      <c r="D593" s="194">
        <f>N901</f>
        <v>211</v>
      </c>
      <c r="E593" s="29">
        <f>N902</f>
        <v>201</v>
      </c>
      <c r="F593" s="135">
        <f t="shared" si="131"/>
        <v>0.96634615384615385</v>
      </c>
      <c r="G593" s="194">
        <f>O901</f>
        <v>254</v>
      </c>
      <c r="H593" s="29">
        <f>O902</f>
        <v>268</v>
      </c>
      <c r="I593" s="135">
        <f t="shared" si="132"/>
        <v>1.0190114068441065</v>
      </c>
      <c r="J593" s="194">
        <f>P901</f>
        <v>254</v>
      </c>
      <c r="K593" s="29">
        <f>P902</f>
        <v>214</v>
      </c>
      <c r="L593" s="135">
        <f t="shared" si="133"/>
        <v>1.0094339622641511</v>
      </c>
      <c r="M593" s="194">
        <f>Q901</f>
        <v>294</v>
      </c>
      <c r="N593" s="29">
        <f>Q902</f>
        <v>290</v>
      </c>
      <c r="O593" s="135">
        <f t="shared" si="134"/>
        <v>1.0545454545454545</v>
      </c>
      <c r="P593" s="194">
        <f t="shared" si="130"/>
        <v>1013</v>
      </c>
      <c r="Q593" s="29">
        <f t="shared" si="135"/>
        <v>973</v>
      </c>
      <c r="R593" s="135">
        <f t="shared" si="136"/>
        <v>1.0156576200417538</v>
      </c>
    </row>
    <row r="594" spans="3:18">
      <c r="C594" s="222" t="str">
        <f>$A$408</f>
        <v>2023-24</v>
      </c>
      <c r="D594" s="194">
        <f>R901</f>
        <v>195</v>
      </c>
      <c r="E594" s="29">
        <f>R902</f>
        <v>205</v>
      </c>
      <c r="F594" s="135">
        <f t="shared" si="131"/>
        <v>0.97156398104265407</v>
      </c>
      <c r="G594" s="194">
        <f>S901</f>
        <v>237</v>
      </c>
      <c r="H594" s="29">
        <f>S902</f>
        <v>259</v>
      </c>
      <c r="I594" s="135">
        <f t="shared" si="132"/>
        <v>1.0196850393700787</v>
      </c>
      <c r="J594" s="194">
        <f>T901</f>
        <v>231</v>
      </c>
      <c r="K594" s="29">
        <f>T902</f>
        <v>258</v>
      </c>
      <c r="L594" s="135">
        <f t="shared" si="133"/>
        <v>1.015748031496063</v>
      </c>
      <c r="M594" s="194">
        <f>U901</f>
        <v>250</v>
      </c>
      <c r="N594" s="29">
        <f>U902</f>
        <v>289</v>
      </c>
      <c r="O594" s="135">
        <f t="shared" si="134"/>
        <v>0.98299319727891155</v>
      </c>
      <c r="P594" s="194">
        <f t="shared" si="130"/>
        <v>913</v>
      </c>
      <c r="Q594" s="29">
        <f t="shared" si="135"/>
        <v>1011</v>
      </c>
      <c r="R594" s="135">
        <f t="shared" si="136"/>
        <v>0.99802566633761103</v>
      </c>
    </row>
    <row r="595" spans="3:18">
      <c r="C595" s="222" t="str">
        <f>$A$409</f>
        <v>2024-25</v>
      </c>
      <c r="D595" s="194">
        <f>V901</f>
        <v>189</v>
      </c>
      <c r="E595" s="29">
        <f>V902</f>
        <v>187</v>
      </c>
      <c r="F595" s="135">
        <f t="shared" si="131"/>
        <v>0.95897435897435901</v>
      </c>
      <c r="G595" s="194">
        <f>W901</f>
        <v>229</v>
      </c>
      <c r="H595" s="29">
        <f>W902</f>
        <v>236</v>
      </c>
      <c r="I595" s="135">
        <f t="shared" si="132"/>
        <v>0.99578059071729963</v>
      </c>
      <c r="J595" s="194">
        <f>X901</f>
        <v>266</v>
      </c>
      <c r="K595" s="29">
        <f>X902</f>
        <v>241</v>
      </c>
      <c r="L595" s="135">
        <f t="shared" si="133"/>
        <v>1.0432900432900434</v>
      </c>
      <c r="M595" s="194">
        <f>Y901</f>
        <v>291</v>
      </c>
      <c r="N595" s="29">
        <f>Y902</f>
        <v>266</v>
      </c>
      <c r="O595" s="135">
        <f t="shared" si="134"/>
        <v>1.0640000000000001</v>
      </c>
      <c r="P595" s="194">
        <f t="shared" si="130"/>
        <v>975</v>
      </c>
      <c r="Q595" s="29">
        <f t="shared" si="135"/>
        <v>930</v>
      </c>
      <c r="R595" s="135">
        <f t="shared" si="136"/>
        <v>1.0186199342825848</v>
      </c>
    </row>
    <row r="596" spans="3:18" ht="13.8" thickBot="1">
      <c r="C596" s="418" t="str">
        <f>$A$410</f>
        <v>2025-26</v>
      </c>
      <c r="D596" s="159">
        <f>Z901</f>
        <v>176</v>
      </c>
      <c r="E596" s="136">
        <f>Z902</f>
        <v>193</v>
      </c>
      <c r="F596" s="195">
        <f>E596/D595</f>
        <v>1.0211640211640212</v>
      </c>
      <c r="G596" s="159">
        <f>AA901</f>
        <v>246</v>
      </c>
      <c r="H596" s="136">
        <f>AA902</f>
        <v>236</v>
      </c>
      <c r="I596" s="195">
        <f>H596/G595</f>
        <v>1.0305676855895196</v>
      </c>
      <c r="J596" s="159">
        <f>AB901</f>
        <v>232</v>
      </c>
      <c r="K596" s="136">
        <f>AB902</f>
        <v>269</v>
      </c>
      <c r="L596" s="195">
        <f>K596/J595</f>
        <v>1.0112781954887218</v>
      </c>
      <c r="M596" s="159">
        <f>AC901</f>
        <v>297</v>
      </c>
      <c r="N596" s="136">
        <f>AC902</f>
        <v>296</v>
      </c>
      <c r="O596" s="195">
        <f>N596/M595</f>
        <v>1.0171821305841924</v>
      </c>
      <c r="P596" s="159">
        <f t="shared" si="130"/>
        <v>951</v>
      </c>
      <c r="Q596" s="136">
        <f t="shared" si="135"/>
        <v>994</v>
      </c>
      <c r="R596" s="195">
        <f>Q596/P595</f>
        <v>1.0194871794871796</v>
      </c>
    </row>
    <row r="597" spans="3:18" ht="13.8" thickTop="1">
      <c r="C597" s="222"/>
      <c r="D597" s="194"/>
      <c r="E597" s="29"/>
      <c r="F597" s="226"/>
      <c r="G597" s="194"/>
      <c r="H597" s="29"/>
      <c r="I597" s="226"/>
      <c r="J597" s="194"/>
      <c r="K597" s="29"/>
      <c r="L597" s="226"/>
      <c r="M597" s="194"/>
      <c r="N597" s="29"/>
      <c r="O597" s="226"/>
      <c r="P597" s="194"/>
      <c r="Q597" s="29"/>
      <c r="R597" s="226"/>
    </row>
    <row r="598" spans="3:18">
      <c r="C598" s="357" t="s">
        <v>72</v>
      </c>
      <c r="D598" s="362">
        <f>SUM(D593:D595)</f>
        <v>595</v>
      </c>
      <c r="E598" s="114">
        <f>SUM(E594:E596)</f>
        <v>585</v>
      </c>
      <c r="F598" s="135">
        <f>E598/D598</f>
        <v>0.98319327731092432</v>
      </c>
      <c r="G598" s="362">
        <f>SUM(G593:G595)</f>
        <v>720</v>
      </c>
      <c r="H598" s="114">
        <f>SUM(H594:H596)</f>
        <v>731</v>
      </c>
      <c r="I598" s="135">
        <f>H598/G598</f>
        <v>1.0152777777777777</v>
      </c>
      <c r="J598" s="362">
        <f>SUM(J593:J595)</f>
        <v>751</v>
      </c>
      <c r="K598" s="114">
        <f>SUM(K594:K596)</f>
        <v>768</v>
      </c>
      <c r="L598" s="135">
        <f>K598/J598</f>
        <v>1.0226364846870839</v>
      </c>
      <c r="M598" s="362">
        <f>SUM(M593:M595)</f>
        <v>835</v>
      </c>
      <c r="N598" s="114">
        <f>SUM(N594:N596)</f>
        <v>851</v>
      </c>
      <c r="O598" s="135">
        <f>N598/M598</f>
        <v>1.0191616766467066</v>
      </c>
      <c r="P598" s="362">
        <f>SUM(P593:P595)</f>
        <v>2901</v>
      </c>
      <c r="Q598" s="114">
        <f>SUM(Q594:Q596)</f>
        <v>2935</v>
      </c>
      <c r="R598" s="135">
        <f>Q598/P598</f>
        <v>1.0117200965184419</v>
      </c>
    </row>
    <row r="599" spans="3:18">
      <c r="C599" s="357" t="s">
        <v>73</v>
      </c>
      <c r="D599" s="362">
        <f>SUM(D591:D595)</f>
        <v>1005</v>
      </c>
      <c r="E599" s="114">
        <f>SUM(E592:E596)</f>
        <v>995</v>
      </c>
      <c r="F599" s="135">
        <f>E599/D599</f>
        <v>0.99004975124378114</v>
      </c>
      <c r="G599" s="362">
        <f>SUM(G591:G595)</f>
        <v>1236</v>
      </c>
      <c r="H599" s="114">
        <f>SUM(H592:H596)</f>
        <v>1262</v>
      </c>
      <c r="I599" s="135">
        <f>H599/G599</f>
        <v>1.0210355987055015</v>
      </c>
      <c r="J599" s="362">
        <f>SUM(J591:J595)</f>
        <v>1220</v>
      </c>
      <c r="K599" s="114">
        <f>SUM(K592:K596)</f>
        <v>1231</v>
      </c>
      <c r="L599" s="135">
        <f>K599/J599</f>
        <v>1.0090163934426231</v>
      </c>
      <c r="M599" s="362">
        <f>SUM(M591:M595)</f>
        <v>1367</v>
      </c>
      <c r="N599" s="114">
        <f>SUM(N592:N596)</f>
        <v>1393</v>
      </c>
      <c r="O599" s="135">
        <f>N599/M599</f>
        <v>1.0190197512801755</v>
      </c>
      <c r="P599" s="362">
        <f>SUM(P591:P595)</f>
        <v>4828</v>
      </c>
      <c r="Q599" s="114">
        <f>SUM(Q592:Q596)</f>
        <v>4881</v>
      </c>
      <c r="R599" s="135">
        <f>Q599/P599</f>
        <v>1.0109776304888152</v>
      </c>
    </row>
    <row r="600" spans="3:18">
      <c r="C600" s="224" t="s">
        <v>74</v>
      </c>
      <c r="D600" s="363">
        <f>SUM(D586:D595)</f>
        <v>2098</v>
      </c>
      <c r="E600" s="364">
        <f>SUM(E587:E596)</f>
        <v>2107</v>
      </c>
      <c r="F600" s="361">
        <f>E600/D600</f>
        <v>1.0042897998093423</v>
      </c>
      <c r="G600" s="363">
        <f>SUM(G586:G595)</f>
        <v>2534</v>
      </c>
      <c r="H600" s="364">
        <f>SUM(H587:H596)</f>
        <v>2598</v>
      </c>
      <c r="I600" s="361">
        <f>H600/G600</f>
        <v>1.0252565114443568</v>
      </c>
      <c r="J600" s="363">
        <f>SUM(J586:J595)</f>
        <v>2514</v>
      </c>
      <c r="K600" s="364">
        <f>SUM(K587:K596)</f>
        <v>2555</v>
      </c>
      <c r="L600" s="361">
        <f>K600/J600</f>
        <v>1.0163086714399363</v>
      </c>
      <c r="M600" s="363">
        <f>SUM(M586:M595)</f>
        <v>2686</v>
      </c>
      <c r="N600" s="364">
        <f>SUM(N587:N596)</f>
        <v>2711</v>
      </c>
      <c r="O600" s="361">
        <f>N600/M600</f>
        <v>1.0093075204765452</v>
      </c>
      <c r="P600" s="363">
        <f>SUM(P586:P595)</f>
        <v>9832</v>
      </c>
      <c r="Q600" s="364">
        <f>SUM(Q587:Q596)</f>
        <v>9971</v>
      </c>
      <c r="R600" s="361">
        <f>Q600/P600</f>
        <v>1.0141375101708707</v>
      </c>
    </row>
    <row r="601" spans="3:18">
      <c r="L601" s="94"/>
      <c r="M601" s="94"/>
    </row>
    <row r="602" spans="3:18" ht="17.399999999999999">
      <c r="C602" s="130" t="s">
        <v>276</v>
      </c>
      <c r="D602" s="130"/>
      <c r="E602" s="130"/>
      <c r="F602" s="130"/>
      <c r="G602" s="131"/>
      <c r="H602" s="131"/>
      <c r="I602" s="131"/>
      <c r="J602" s="131"/>
      <c r="K602" s="131"/>
      <c r="L602" s="131"/>
      <c r="M602" s="131"/>
      <c r="N602" s="131"/>
      <c r="O602" s="131"/>
      <c r="P602" s="131"/>
      <c r="Q602" s="131"/>
      <c r="R602" s="131"/>
    </row>
    <row r="603" spans="3:18" ht="17.399999999999999">
      <c r="C603" s="130" t="s">
        <v>65</v>
      </c>
      <c r="D603" s="130"/>
      <c r="E603" s="130"/>
      <c r="F603" s="130"/>
      <c r="G603" s="131"/>
      <c r="H603" s="131"/>
      <c r="I603" s="131"/>
      <c r="J603" s="130"/>
      <c r="K603" s="131"/>
      <c r="L603" s="131"/>
      <c r="M603" s="131"/>
      <c r="N603" s="131"/>
      <c r="O603" s="131"/>
      <c r="P603" s="131"/>
      <c r="Q603" s="131"/>
      <c r="R603" s="131"/>
    </row>
    <row r="605" spans="3:18">
      <c r="C605" s="353" t="s">
        <v>66</v>
      </c>
      <c r="D605" s="787" t="s">
        <v>363</v>
      </c>
      <c r="E605" s="788"/>
      <c r="F605" s="789"/>
      <c r="G605" s="787" t="s">
        <v>36</v>
      </c>
      <c r="H605" s="788"/>
      <c r="I605" s="789"/>
      <c r="J605" s="787" t="s">
        <v>86</v>
      </c>
      <c r="K605" s="788"/>
      <c r="L605" s="789"/>
      <c r="M605" s="787" t="s">
        <v>99</v>
      </c>
      <c r="N605" s="788"/>
      <c r="O605" s="789"/>
      <c r="P605" s="788" t="s">
        <v>52</v>
      </c>
      <c r="Q605" s="788"/>
      <c r="R605" s="789"/>
    </row>
    <row r="606" spans="3:18" ht="13.8" thickBot="1">
      <c r="C606" s="449"/>
      <c r="D606" s="450" t="s">
        <v>88</v>
      </c>
      <c r="E606" s="343" t="s">
        <v>89</v>
      </c>
      <c r="F606" s="398" t="s">
        <v>71</v>
      </c>
      <c r="G606" s="450" t="s">
        <v>88</v>
      </c>
      <c r="H606" s="343" t="s">
        <v>89</v>
      </c>
      <c r="I606" s="398" t="s">
        <v>71</v>
      </c>
      <c r="J606" s="450" t="s">
        <v>88</v>
      </c>
      <c r="K606" s="343" t="s">
        <v>89</v>
      </c>
      <c r="L606" s="398" t="s">
        <v>71</v>
      </c>
      <c r="M606" s="450" t="s">
        <v>88</v>
      </c>
      <c r="N606" s="343" t="s">
        <v>89</v>
      </c>
      <c r="O606" s="398" t="s">
        <v>79</v>
      </c>
      <c r="P606" s="343" t="s">
        <v>88</v>
      </c>
      <c r="Q606" s="343" t="s">
        <v>89</v>
      </c>
      <c r="R606" s="398" t="s">
        <v>71</v>
      </c>
    </row>
    <row r="607" spans="3:18" ht="13.8" thickTop="1">
      <c r="C607" s="222"/>
      <c r="D607" s="194"/>
      <c r="E607" s="29"/>
      <c r="F607" s="226"/>
      <c r="G607" s="194"/>
      <c r="H607" s="29"/>
      <c r="I607" s="226"/>
      <c r="J607" s="194"/>
      <c r="K607" s="29"/>
      <c r="L607" s="226"/>
      <c r="M607" s="194"/>
      <c r="N607" s="29"/>
      <c r="O607" s="226"/>
      <c r="P607" s="29"/>
      <c r="Q607" s="29"/>
      <c r="R607" s="226"/>
    </row>
    <row r="608" spans="3:18">
      <c r="C608" s="222" t="str">
        <f>$A$397</f>
        <v>2012-13</v>
      </c>
      <c r="D608" s="194">
        <f>B888</f>
        <v>243</v>
      </c>
      <c r="E608" s="29"/>
      <c r="F608" s="226"/>
      <c r="G608" s="194">
        <f>C888</f>
        <v>231</v>
      </c>
      <c r="H608" s="29"/>
      <c r="I608" s="135"/>
      <c r="J608" s="194">
        <f>D888</f>
        <v>287</v>
      </c>
      <c r="K608" s="29"/>
      <c r="L608" s="135"/>
      <c r="M608" s="194">
        <f>E888</f>
        <v>236</v>
      </c>
      <c r="N608" s="29"/>
      <c r="O608" s="135"/>
      <c r="P608" s="29">
        <f>J608+G608+M608</f>
        <v>754</v>
      </c>
      <c r="Q608" s="29"/>
      <c r="R608" s="135"/>
    </row>
    <row r="609" spans="3:18">
      <c r="C609" s="222" t="str">
        <f>$A$398</f>
        <v>2013-14</v>
      </c>
      <c r="D609" s="194">
        <f>E584</f>
        <v>242</v>
      </c>
      <c r="E609" s="29">
        <f>F889</f>
        <v>205</v>
      </c>
      <c r="F609" s="135">
        <f t="shared" ref="F609:F619" si="137">E609/D608</f>
        <v>0.84362139917695478</v>
      </c>
      <c r="G609" s="194">
        <f>H584</f>
        <v>230</v>
      </c>
      <c r="H609" s="29">
        <f>G889</f>
        <v>273</v>
      </c>
      <c r="I609" s="135">
        <f t="shared" ref="I609:I620" si="138">H609/G608</f>
        <v>1.1818181818181819</v>
      </c>
      <c r="J609" s="194">
        <f>K584</f>
        <v>285</v>
      </c>
      <c r="K609" s="29">
        <f>H889</f>
        <v>299</v>
      </c>
      <c r="L609" s="135">
        <f t="shared" ref="L609:L620" si="139">K609/J608</f>
        <v>1.0418118466898956</v>
      </c>
      <c r="M609" s="194">
        <f>N584</f>
        <v>235</v>
      </c>
      <c r="N609" s="29">
        <f>I889</f>
        <v>236</v>
      </c>
      <c r="O609" s="135">
        <f t="shared" ref="O609:O620" si="140">N609/M608</f>
        <v>1</v>
      </c>
      <c r="P609" s="29">
        <f t="shared" ref="P609:P621" si="141">J609+G609+M609</f>
        <v>750</v>
      </c>
      <c r="Q609" s="29">
        <f t="shared" ref="Q609:Q621" si="142">K609+H609+N609</f>
        <v>808</v>
      </c>
      <c r="R609" s="135">
        <f t="shared" ref="R609:R620" si="143">Q609/P608</f>
        <v>1.0716180371352786</v>
      </c>
    </row>
    <row r="610" spans="3:18">
      <c r="C610" s="222" t="str">
        <f>$A$399</f>
        <v>2014-15</v>
      </c>
      <c r="D610" s="194">
        <f t="shared" ref="D610:D621" si="144">E585</f>
        <v>210</v>
      </c>
      <c r="E610" s="29">
        <f>J889</f>
        <v>229</v>
      </c>
      <c r="F610" s="135">
        <f t="shared" si="137"/>
        <v>0.94628099173553715</v>
      </c>
      <c r="G610" s="194">
        <f t="shared" ref="G610:G621" si="145">H585</f>
        <v>265</v>
      </c>
      <c r="H610" s="29">
        <f>K889</f>
        <v>263</v>
      </c>
      <c r="I610" s="135">
        <f t="shared" si="138"/>
        <v>1.1434782608695653</v>
      </c>
      <c r="J610" s="194">
        <f t="shared" ref="J610:J621" si="146">K585</f>
        <v>254</v>
      </c>
      <c r="K610" s="29">
        <f>L889</f>
        <v>287</v>
      </c>
      <c r="L610" s="135">
        <f t="shared" si="139"/>
        <v>1.0070175438596491</v>
      </c>
      <c r="M610" s="194">
        <f t="shared" ref="M610:M621" si="147">N585</f>
        <v>230</v>
      </c>
      <c r="N610" s="29">
        <f>M889</f>
        <v>244</v>
      </c>
      <c r="O610" s="135">
        <f t="shared" si="140"/>
        <v>1.0382978723404255</v>
      </c>
      <c r="P610" s="29">
        <f t="shared" si="141"/>
        <v>749</v>
      </c>
      <c r="Q610" s="29">
        <f t="shared" si="142"/>
        <v>794</v>
      </c>
      <c r="R610" s="135">
        <f t="shared" si="143"/>
        <v>1.0586666666666666</v>
      </c>
    </row>
    <row r="611" spans="3:18">
      <c r="C611" s="222" t="str">
        <f>$A$400</f>
        <v>2015-16</v>
      </c>
      <c r="D611" s="194">
        <f t="shared" si="144"/>
        <v>217</v>
      </c>
      <c r="E611" s="29">
        <f>N889</f>
        <v>215</v>
      </c>
      <c r="F611" s="135">
        <f t="shared" si="137"/>
        <v>1.0238095238095237</v>
      </c>
      <c r="G611" s="194">
        <f t="shared" si="145"/>
        <v>262</v>
      </c>
      <c r="H611" s="29">
        <f>O889</f>
        <v>268</v>
      </c>
      <c r="I611" s="135">
        <f t="shared" si="138"/>
        <v>1.0113207547169811</v>
      </c>
      <c r="J611" s="194">
        <f t="shared" si="146"/>
        <v>246</v>
      </c>
      <c r="K611" s="29">
        <f>P889</f>
        <v>258</v>
      </c>
      <c r="L611" s="135">
        <f t="shared" si="139"/>
        <v>1.015748031496063</v>
      </c>
      <c r="M611" s="194">
        <f t="shared" si="147"/>
        <v>242</v>
      </c>
      <c r="N611" s="29">
        <f>Q889</f>
        <v>237</v>
      </c>
      <c r="O611" s="135">
        <f t="shared" si="140"/>
        <v>1.0304347826086957</v>
      </c>
      <c r="P611" s="29">
        <f t="shared" si="141"/>
        <v>750</v>
      </c>
      <c r="Q611" s="29">
        <f t="shared" si="142"/>
        <v>763</v>
      </c>
      <c r="R611" s="135">
        <f t="shared" si="143"/>
        <v>1.0186915887850467</v>
      </c>
    </row>
    <row r="612" spans="3:18">
      <c r="C612" s="222" t="str">
        <f>$A$401</f>
        <v>2016-17</v>
      </c>
      <c r="D612" s="194">
        <f t="shared" si="144"/>
        <v>208</v>
      </c>
      <c r="E612" s="29">
        <f>R889</f>
        <v>213</v>
      </c>
      <c r="F612" s="135">
        <f t="shared" si="137"/>
        <v>0.98156682027649766</v>
      </c>
      <c r="G612" s="194">
        <f t="shared" si="145"/>
        <v>296</v>
      </c>
      <c r="H612" s="29">
        <f>S889</f>
        <v>268</v>
      </c>
      <c r="I612" s="135">
        <f t="shared" si="138"/>
        <v>1.0229007633587786</v>
      </c>
      <c r="J612" s="194">
        <f t="shared" si="146"/>
        <v>266</v>
      </c>
      <c r="K612" s="29">
        <f>T889</f>
        <v>258</v>
      </c>
      <c r="L612" s="135">
        <f t="shared" si="139"/>
        <v>1.0487804878048781</v>
      </c>
      <c r="M612" s="194">
        <f t="shared" si="147"/>
        <v>268</v>
      </c>
      <c r="N612" s="29">
        <f>U889</f>
        <v>241</v>
      </c>
      <c r="O612" s="135">
        <f t="shared" si="140"/>
        <v>0.99586776859504134</v>
      </c>
      <c r="P612" s="29">
        <f t="shared" si="141"/>
        <v>830</v>
      </c>
      <c r="Q612" s="29">
        <f t="shared" si="142"/>
        <v>767</v>
      </c>
      <c r="R612" s="135">
        <f t="shared" si="143"/>
        <v>1.0226666666666666</v>
      </c>
    </row>
    <row r="613" spans="3:18">
      <c r="C613" s="222" t="str">
        <f>$A$402</f>
        <v>2017-18</v>
      </c>
      <c r="D613" s="194">
        <f t="shared" si="144"/>
        <v>238</v>
      </c>
      <c r="E613" s="29">
        <f>V889</f>
        <v>212</v>
      </c>
      <c r="F613" s="135">
        <f t="shared" si="137"/>
        <v>1.0192307692307692</v>
      </c>
      <c r="G613" s="194">
        <f t="shared" si="145"/>
        <v>240</v>
      </c>
      <c r="H613" s="29">
        <f>W889</f>
        <v>308</v>
      </c>
      <c r="I613" s="135">
        <f t="shared" si="138"/>
        <v>1.0405405405405406</v>
      </c>
      <c r="J613" s="194">
        <f t="shared" si="146"/>
        <v>264</v>
      </c>
      <c r="K613" s="29">
        <f>X889</f>
        <v>264</v>
      </c>
      <c r="L613" s="135">
        <f t="shared" si="139"/>
        <v>0.99248120300751874</v>
      </c>
      <c r="M613" s="194">
        <f t="shared" si="147"/>
        <v>240</v>
      </c>
      <c r="N613" s="29">
        <f>Y889</f>
        <v>280</v>
      </c>
      <c r="O613" s="135">
        <f t="shared" si="140"/>
        <v>1.044776119402985</v>
      </c>
      <c r="P613" s="29">
        <f t="shared" si="141"/>
        <v>744</v>
      </c>
      <c r="Q613" s="29">
        <f t="shared" si="142"/>
        <v>852</v>
      </c>
      <c r="R613" s="135">
        <f t="shared" si="143"/>
        <v>1.0265060240963855</v>
      </c>
    </row>
    <row r="614" spans="3:18">
      <c r="C614" s="222" t="str">
        <f>$A$403</f>
        <v>2018-19</v>
      </c>
      <c r="D614" s="194">
        <f t="shared" si="144"/>
        <v>224</v>
      </c>
      <c r="E614" s="29">
        <f>Z889</f>
        <v>249</v>
      </c>
      <c r="F614" s="135">
        <f t="shared" si="137"/>
        <v>1.046218487394958</v>
      </c>
      <c r="G614" s="194">
        <f t="shared" si="145"/>
        <v>294</v>
      </c>
      <c r="H614" s="29">
        <f>AA889</f>
        <v>245</v>
      </c>
      <c r="I614" s="135">
        <f t="shared" si="138"/>
        <v>1.0208333333333333</v>
      </c>
      <c r="J614" s="194">
        <f t="shared" si="146"/>
        <v>267</v>
      </c>
      <c r="K614" s="29">
        <f>AB889</f>
        <v>274</v>
      </c>
      <c r="L614" s="135">
        <f t="shared" si="139"/>
        <v>1.0378787878787878</v>
      </c>
      <c r="M614" s="194">
        <f t="shared" si="147"/>
        <v>255</v>
      </c>
      <c r="N614" s="29">
        <f>AC889</f>
        <v>270</v>
      </c>
      <c r="O614" s="135">
        <f t="shared" si="140"/>
        <v>1.125</v>
      </c>
      <c r="P614" s="29">
        <f t="shared" si="141"/>
        <v>816</v>
      </c>
      <c r="Q614" s="29">
        <f t="shared" si="142"/>
        <v>789</v>
      </c>
      <c r="R614" s="135">
        <f t="shared" si="143"/>
        <v>1.060483870967742</v>
      </c>
    </row>
    <row r="615" spans="3:18">
      <c r="C615" s="222" t="str">
        <f>$A$404</f>
        <v>2019-20</v>
      </c>
      <c r="D615" s="194">
        <f t="shared" si="144"/>
        <v>223</v>
      </c>
      <c r="E615" s="29">
        <f>B903</f>
        <v>220</v>
      </c>
      <c r="F615" s="135">
        <f t="shared" si="137"/>
        <v>0.9821428571428571</v>
      </c>
      <c r="G615" s="194">
        <f t="shared" si="145"/>
        <v>246</v>
      </c>
      <c r="H615" s="29">
        <f>C903</f>
        <v>294</v>
      </c>
      <c r="I615" s="135">
        <f t="shared" si="138"/>
        <v>1</v>
      </c>
      <c r="J615" s="194">
        <f t="shared" si="146"/>
        <v>254</v>
      </c>
      <c r="K615" s="29">
        <f>D903</f>
        <v>265</v>
      </c>
      <c r="L615" s="135">
        <f t="shared" si="139"/>
        <v>0.99250936329588013</v>
      </c>
      <c r="M615" s="194">
        <f t="shared" si="147"/>
        <v>256</v>
      </c>
      <c r="N615" s="29">
        <f>E903</f>
        <v>259</v>
      </c>
      <c r="O615" s="135">
        <f t="shared" si="140"/>
        <v>1.0156862745098039</v>
      </c>
      <c r="P615" s="29">
        <f t="shared" si="141"/>
        <v>756</v>
      </c>
      <c r="Q615" s="29">
        <f t="shared" si="142"/>
        <v>818</v>
      </c>
      <c r="R615" s="135">
        <f t="shared" si="143"/>
        <v>1.0024509803921569</v>
      </c>
    </row>
    <row r="616" spans="3:18">
      <c r="C616" s="222" t="str">
        <f>$A$405</f>
        <v>2020-21</v>
      </c>
      <c r="D616" s="194">
        <f t="shared" si="144"/>
        <v>219</v>
      </c>
      <c r="E616" s="29">
        <f>F903</f>
        <v>214</v>
      </c>
      <c r="F616" s="135">
        <f t="shared" si="137"/>
        <v>0.95964125560538116</v>
      </c>
      <c r="G616" s="194">
        <f t="shared" si="145"/>
        <v>260</v>
      </c>
      <c r="H616" s="29">
        <f>G903</f>
        <v>251</v>
      </c>
      <c r="I616" s="135">
        <f t="shared" si="138"/>
        <v>1.0203252032520325</v>
      </c>
      <c r="J616" s="194">
        <f t="shared" si="146"/>
        <v>273</v>
      </c>
      <c r="K616" s="29">
        <f>H903</f>
        <v>262</v>
      </c>
      <c r="L616" s="135">
        <f t="shared" si="139"/>
        <v>1.0314960629921259</v>
      </c>
      <c r="M616" s="194">
        <f t="shared" si="147"/>
        <v>299</v>
      </c>
      <c r="N616" s="29">
        <f>I903</f>
        <v>259</v>
      </c>
      <c r="O616" s="135">
        <f t="shared" si="140"/>
        <v>1.01171875</v>
      </c>
      <c r="P616" s="29">
        <f t="shared" si="141"/>
        <v>832</v>
      </c>
      <c r="Q616" s="29">
        <f t="shared" si="142"/>
        <v>772</v>
      </c>
      <c r="R616" s="135">
        <f t="shared" si="143"/>
        <v>1.0211640211640212</v>
      </c>
    </row>
    <row r="617" spans="3:18">
      <c r="C617" s="222" t="str">
        <f>$A$406</f>
        <v>2021-22</v>
      </c>
      <c r="D617" s="194">
        <f t="shared" si="144"/>
        <v>209</v>
      </c>
      <c r="E617" s="29">
        <f>J903</f>
        <v>231</v>
      </c>
      <c r="F617" s="135">
        <f t="shared" si="137"/>
        <v>1.0547945205479452</v>
      </c>
      <c r="G617" s="194">
        <f t="shared" si="145"/>
        <v>263</v>
      </c>
      <c r="H617" s="29">
        <f>K903</f>
        <v>264</v>
      </c>
      <c r="I617" s="135">
        <f t="shared" si="138"/>
        <v>1.0153846153846153</v>
      </c>
      <c r="J617" s="194">
        <f t="shared" si="146"/>
        <v>249</v>
      </c>
      <c r="K617" s="29">
        <f>L903</f>
        <v>268</v>
      </c>
      <c r="L617" s="135">
        <f t="shared" si="139"/>
        <v>0.98168498168498164</v>
      </c>
      <c r="M617" s="194">
        <f t="shared" si="147"/>
        <v>252</v>
      </c>
      <c r="N617" s="29">
        <f>M903</f>
        <v>289</v>
      </c>
      <c r="O617" s="135">
        <f t="shared" si="140"/>
        <v>0.96655518394648832</v>
      </c>
      <c r="P617" s="29">
        <f t="shared" si="141"/>
        <v>764</v>
      </c>
      <c r="Q617" s="29">
        <f t="shared" si="142"/>
        <v>821</v>
      </c>
      <c r="R617" s="135">
        <f t="shared" si="143"/>
        <v>0.98677884615384615</v>
      </c>
    </row>
    <row r="618" spans="3:18">
      <c r="C618" s="222" t="str">
        <f>$A$407</f>
        <v>2022-23</v>
      </c>
      <c r="D618" s="194">
        <f t="shared" si="144"/>
        <v>201</v>
      </c>
      <c r="E618" s="29">
        <f>N903</f>
        <v>209</v>
      </c>
      <c r="F618" s="135">
        <f t="shared" si="137"/>
        <v>1</v>
      </c>
      <c r="G618" s="194">
        <f t="shared" si="145"/>
        <v>268</v>
      </c>
      <c r="H618" s="29">
        <f>O903</f>
        <v>264</v>
      </c>
      <c r="I618" s="135">
        <f t="shared" si="138"/>
        <v>1.0038022813688212</v>
      </c>
      <c r="J618" s="194">
        <f t="shared" si="146"/>
        <v>214</v>
      </c>
      <c r="K618" s="29">
        <f>P903</f>
        <v>253</v>
      </c>
      <c r="L618" s="135">
        <f t="shared" si="139"/>
        <v>1.0160642570281124</v>
      </c>
      <c r="M618" s="194">
        <f t="shared" si="147"/>
        <v>290</v>
      </c>
      <c r="N618" s="29">
        <f>Q903</f>
        <v>261</v>
      </c>
      <c r="O618" s="135">
        <f t="shared" si="140"/>
        <v>1.0357142857142858</v>
      </c>
      <c r="P618" s="29">
        <f t="shared" si="141"/>
        <v>772</v>
      </c>
      <c r="Q618" s="29">
        <f t="shared" si="142"/>
        <v>778</v>
      </c>
      <c r="R618" s="135">
        <f t="shared" si="143"/>
        <v>1.0183246073298429</v>
      </c>
    </row>
    <row r="619" spans="3:18">
      <c r="C619" s="222" t="str">
        <f>$A$408</f>
        <v>2023-24</v>
      </c>
      <c r="D619" s="194">
        <f t="shared" si="144"/>
        <v>205</v>
      </c>
      <c r="E619" s="29">
        <f>R903</f>
        <v>201</v>
      </c>
      <c r="F619" s="135">
        <f t="shared" si="137"/>
        <v>1</v>
      </c>
      <c r="G619" s="194">
        <f t="shared" si="145"/>
        <v>259</v>
      </c>
      <c r="H619" s="29">
        <f>S903</f>
        <v>257</v>
      </c>
      <c r="I619" s="135">
        <f t="shared" si="138"/>
        <v>0.95895522388059706</v>
      </c>
      <c r="J619" s="194">
        <f t="shared" si="146"/>
        <v>258</v>
      </c>
      <c r="K619" s="29">
        <f>T903</f>
        <v>209</v>
      </c>
      <c r="L619" s="135">
        <f t="shared" si="139"/>
        <v>0.97663551401869164</v>
      </c>
      <c r="M619" s="194">
        <f t="shared" si="147"/>
        <v>289</v>
      </c>
      <c r="N619" s="29">
        <f>U903</f>
        <v>285</v>
      </c>
      <c r="O619" s="135">
        <f t="shared" si="140"/>
        <v>0.98275862068965514</v>
      </c>
      <c r="P619" s="29">
        <f t="shared" si="141"/>
        <v>806</v>
      </c>
      <c r="Q619" s="29">
        <f t="shared" si="142"/>
        <v>751</v>
      </c>
      <c r="R619" s="135">
        <f t="shared" si="143"/>
        <v>0.97279792746113991</v>
      </c>
    </row>
    <row r="620" spans="3:18">
      <c r="C620" s="222" t="str">
        <f>$A$409</f>
        <v>2024-25</v>
      </c>
      <c r="D620" s="194">
        <f t="shared" si="144"/>
        <v>187</v>
      </c>
      <c r="E620" s="29">
        <f>V903</f>
        <v>199</v>
      </c>
      <c r="F620" s="135">
        <f>E620/D619</f>
        <v>0.97073170731707314</v>
      </c>
      <c r="G620" s="194">
        <f t="shared" si="145"/>
        <v>236</v>
      </c>
      <c r="H620" s="29">
        <f>W903</f>
        <v>257</v>
      </c>
      <c r="I620" s="135">
        <f t="shared" si="138"/>
        <v>0.99227799227799229</v>
      </c>
      <c r="J620" s="194">
        <f t="shared" si="146"/>
        <v>241</v>
      </c>
      <c r="K620" s="29">
        <f>X903</f>
        <v>258</v>
      </c>
      <c r="L620" s="135">
        <f t="shared" si="139"/>
        <v>1</v>
      </c>
      <c r="M620" s="194">
        <f t="shared" si="147"/>
        <v>266</v>
      </c>
      <c r="N620" s="29">
        <f>Y903</f>
        <v>292</v>
      </c>
      <c r="O620" s="135">
        <f t="shared" si="140"/>
        <v>1.0103806228373702</v>
      </c>
      <c r="P620" s="29">
        <f t="shared" si="141"/>
        <v>743</v>
      </c>
      <c r="Q620" s="29">
        <f t="shared" si="142"/>
        <v>807</v>
      </c>
      <c r="R620" s="135">
        <f t="shared" si="143"/>
        <v>1.001240694789082</v>
      </c>
    </row>
    <row r="621" spans="3:18" ht="13.8" thickBot="1">
      <c r="C621" s="418" t="str">
        <f>$A$410</f>
        <v>2025-26</v>
      </c>
      <c r="D621" s="159">
        <f t="shared" si="144"/>
        <v>193</v>
      </c>
      <c r="E621" s="136">
        <f>Z903</f>
        <v>189</v>
      </c>
      <c r="F621" s="195">
        <f>E621/D620</f>
        <v>1.0106951871657754</v>
      </c>
      <c r="G621" s="159">
        <f t="shared" si="145"/>
        <v>236</v>
      </c>
      <c r="H621" s="136">
        <f>AA903</f>
        <v>238</v>
      </c>
      <c r="I621" s="195">
        <f>H621/G620</f>
        <v>1.0084745762711864</v>
      </c>
      <c r="J621" s="159">
        <f t="shared" si="146"/>
        <v>269</v>
      </c>
      <c r="K621" s="136">
        <f>AB903</f>
        <v>247</v>
      </c>
      <c r="L621" s="195">
        <f>K621/J620</f>
        <v>1.0248962655601659</v>
      </c>
      <c r="M621" s="159">
        <f t="shared" si="147"/>
        <v>296</v>
      </c>
      <c r="N621" s="136">
        <f>AC903</f>
        <v>272</v>
      </c>
      <c r="O621" s="195">
        <f>N621/M620</f>
        <v>1.0225563909774436</v>
      </c>
      <c r="P621" s="136">
        <f t="shared" si="141"/>
        <v>801</v>
      </c>
      <c r="Q621" s="136">
        <f t="shared" si="142"/>
        <v>757</v>
      </c>
      <c r="R621" s="195">
        <f>Q621/P620</f>
        <v>1.018842530282638</v>
      </c>
    </row>
    <row r="622" spans="3:18" ht="13.8" thickTop="1">
      <c r="C622" s="222"/>
      <c r="D622" s="194"/>
      <c r="E622" s="29"/>
      <c r="F622" s="226"/>
      <c r="G622" s="194"/>
      <c r="H622" s="29"/>
      <c r="I622" s="226"/>
      <c r="J622" s="194"/>
      <c r="K622" s="29"/>
      <c r="L622" s="226"/>
      <c r="M622" s="194"/>
      <c r="N622" s="29"/>
      <c r="O622" s="226"/>
      <c r="P622" s="29"/>
      <c r="Q622" s="29"/>
      <c r="R622" s="226"/>
    </row>
    <row r="623" spans="3:18">
      <c r="C623" s="357" t="s">
        <v>72</v>
      </c>
      <c r="D623" s="362">
        <f>SUM(D618:D620)</f>
        <v>593</v>
      </c>
      <c r="E623" s="114">
        <f>SUM(E619:E621)</f>
        <v>589</v>
      </c>
      <c r="F623" s="135">
        <f>E623/D623</f>
        <v>0.99325463743676223</v>
      </c>
      <c r="G623" s="362">
        <f>SUM(G618:G620)</f>
        <v>763</v>
      </c>
      <c r="H623" s="114">
        <f>SUM(H619:H621)</f>
        <v>752</v>
      </c>
      <c r="I623" s="135">
        <f>H623/G623</f>
        <v>0.98558322411533417</v>
      </c>
      <c r="J623" s="362">
        <f>SUM(J618:J620)</f>
        <v>713</v>
      </c>
      <c r="K623" s="114">
        <f>SUM(K619:K621)</f>
        <v>714</v>
      </c>
      <c r="L623" s="135">
        <f>K623/J623</f>
        <v>1.0014025245441796</v>
      </c>
      <c r="M623" s="362">
        <f>SUM(M618:M620)</f>
        <v>845</v>
      </c>
      <c r="N623" s="114">
        <f>SUM(N619:N621)</f>
        <v>849</v>
      </c>
      <c r="O623" s="135">
        <f>N623/M623</f>
        <v>1.004733727810651</v>
      </c>
      <c r="P623" s="114">
        <f>SUM(P618:P620)</f>
        <v>2321</v>
      </c>
      <c r="Q623" s="114">
        <f>SUM(Q619:Q621)</f>
        <v>2315</v>
      </c>
      <c r="R623" s="135">
        <f>Q623/P623</f>
        <v>0.99741490736751404</v>
      </c>
    </row>
    <row r="624" spans="3:18">
      <c r="C624" s="357" t="s">
        <v>73</v>
      </c>
      <c r="D624" s="362">
        <f>SUM(D616:D620)</f>
        <v>1021</v>
      </c>
      <c r="E624" s="114">
        <f>SUM(E617:E621)</f>
        <v>1029</v>
      </c>
      <c r="F624" s="135">
        <f>E624/D624</f>
        <v>1.0078354554358473</v>
      </c>
      <c r="G624" s="362">
        <f>SUM(G616:G620)</f>
        <v>1286</v>
      </c>
      <c r="H624" s="114">
        <f>SUM(H617:H621)</f>
        <v>1280</v>
      </c>
      <c r="I624" s="135">
        <f>H624/G624</f>
        <v>0.99533437013996895</v>
      </c>
      <c r="J624" s="362">
        <f>SUM(J616:J620)</f>
        <v>1235</v>
      </c>
      <c r="K624" s="114">
        <f>SUM(K617:K621)</f>
        <v>1235</v>
      </c>
      <c r="L624" s="135">
        <f>K624/J624</f>
        <v>1</v>
      </c>
      <c r="M624" s="362">
        <f>SUM(M616:M620)</f>
        <v>1396</v>
      </c>
      <c r="N624" s="114">
        <f>SUM(N617:N621)</f>
        <v>1399</v>
      </c>
      <c r="O624" s="135">
        <f>N624/M624</f>
        <v>1.0021489971346704</v>
      </c>
      <c r="P624" s="114">
        <f>SUM(P616:P620)</f>
        <v>3917</v>
      </c>
      <c r="Q624" s="114">
        <f>SUM(Q617:Q621)</f>
        <v>3914</v>
      </c>
      <c r="R624" s="135">
        <f>Q624/P624</f>
        <v>0.99923410773551191</v>
      </c>
    </row>
    <row r="625" spans="2:19">
      <c r="C625" s="224" t="s">
        <v>74</v>
      </c>
      <c r="D625" s="363">
        <f>SUM(D611:D620)</f>
        <v>2131</v>
      </c>
      <c r="E625" s="364">
        <f>SUM(E612:E621)</f>
        <v>2137</v>
      </c>
      <c r="F625" s="361">
        <f>E625/D625</f>
        <v>1.0028155795401219</v>
      </c>
      <c r="G625" s="363">
        <f>SUM(G611:G620)</f>
        <v>2624</v>
      </c>
      <c r="H625" s="364">
        <f>SUM(H612:H621)</f>
        <v>2646</v>
      </c>
      <c r="I625" s="361">
        <f>H625/G625</f>
        <v>1.0083841463414633</v>
      </c>
      <c r="J625" s="363">
        <f>SUM(J611:J620)</f>
        <v>2532</v>
      </c>
      <c r="K625" s="364">
        <f>SUM(K612:K621)</f>
        <v>2558</v>
      </c>
      <c r="L625" s="361">
        <f>K625/J625</f>
        <v>1.0102685624012637</v>
      </c>
      <c r="M625" s="363">
        <f>SUM(M611:M620)</f>
        <v>2657</v>
      </c>
      <c r="N625" s="364">
        <f>SUM(N612:N621)</f>
        <v>2708</v>
      </c>
      <c r="O625" s="361">
        <f>N625/M625</f>
        <v>1.0191945803537825</v>
      </c>
      <c r="P625" s="364">
        <f>SUM(P611:P620)</f>
        <v>7813</v>
      </c>
      <c r="Q625" s="364">
        <f>SUM(Q612:Q621)</f>
        <v>7912</v>
      </c>
      <c r="R625" s="361">
        <f>Q625/P625</f>
        <v>1.0126711890439013</v>
      </c>
    </row>
    <row r="627" spans="2:19" ht="13.8" thickBot="1">
      <c r="C627" s="94"/>
      <c r="D627" s="94"/>
      <c r="E627" s="94"/>
      <c r="F627" s="94"/>
      <c r="G627" s="94"/>
      <c r="H627" s="94"/>
      <c r="I627" s="94"/>
      <c r="J627" s="94"/>
      <c r="K627" s="94"/>
      <c r="L627" s="94"/>
      <c r="M627" s="94"/>
      <c r="N627" s="94"/>
      <c r="O627" s="94"/>
      <c r="P627" s="94"/>
    </row>
    <row r="628" spans="2:19">
      <c r="C628" s="187" t="s">
        <v>84</v>
      </c>
      <c r="D628" s="427"/>
      <c r="E628" s="427"/>
      <c r="F628" s="427"/>
      <c r="G628" s="188"/>
      <c r="H628" s="188"/>
      <c r="I628" s="188"/>
      <c r="J628" s="188"/>
      <c r="K628" s="188"/>
      <c r="L628" s="188"/>
      <c r="M628" s="188"/>
      <c r="N628" s="188"/>
      <c r="O628" s="188"/>
      <c r="P628" s="188"/>
      <c r="Q628" s="188"/>
      <c r="R628" s="189"/>
    </row>
    <row r="629" spans="2:19" ht="13.8" thickBot="1">
      <c r="C629" s="191"/>
      <c r="D629" s="29"/>
      <c r="E629" s="29"/>
      <c r="F629" s="29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469"/>
      <c r="S629" s="128"/>
    </row>
    <row r="630" spans="2:19">
      <c r="C630" s="474" t="s">
        <v>72</v>
      </c>
      <c r="D630" s="475">
        <f t="shared" ref="D630:E632" si="148">D623+D598+D573</f>
        <v>1779</v>
      </c>
      <c r="E630" s="470">
        <f t="shared" si="148"/>
        <v>1734</v>
      </c>
      <c r="F630" s="476">
        <f>E630/D630</f>
        <v>0.97470489038785835</v>
      </c>
      <c r="G630" s="475">
        <f t="shared" ref="G630:H632" si="149">G623+G598+G573</f>
        <v>2207</v>
      </c>
      <c r="H630" s="470">
        <f t="shared" si="149"/>
        <v>2195</v>
      </c>
      <c r="I630" s="476">
        <f>H630/G630</f>
        <v>0.99456275487086543</v>
      </c>
      <c r="J630" s="475">
        <f t="shared" ref="J630:K632" si="150">J623+J598+J573</f>
        <v>2193</v>
      </c>
      <c r="K630" s="470">
        <f t="shared" si="150"/>
        <v>2211</v>
      </c>
      <c r="L630" s="476">
        <f>K630/J630</f>
        <v>1.0082079343365253</v>
      </c>
      <c r="M630" s="475">
        <f t="shared" ref="M630:N632" si="151">M623+M598+M573</f>
        <v>2352</v>
      </c>
      <c r="N630" s="470">
        <f t="shared" si="151"/>
        <v>2538</v>
      </c>
      <c r="O630" s="476">
        <f>N630/M630</f>
        <v>1.0790816326530612</v>
      </c>
      <c r="P630" s="470">
        <f t="shared" ref="P630:Q632" si="152">P623+P598+P573</f>
        <v>7938</v>
      </c>
      <c r="Q630" s="470">
        <f t="shared" si="152"/>
        <v>8131</v>
      </c>
      <c r="R630" s="472">
        <f>Q630/P630</f>
        <v>1.0243134290753337</v>
      </c>
    </row>
    <row r="631" spans="2:19">
      <c r="C631" s="477" t="s">
        <v>73</v>
      </c>
      <c r="D631" s="362">
        <f t="shared" si="148"/>
        <v>3025</v>
      </c>
      <c r="E631" s="114">
        <f t="shared" si="148"/>
        <v>3003</v>
      </c>
      <c r="F631" s="135">
        <f>E631/D631</f>
        <v>0.99272727272727268</v>
      </c>
      <c r="G631" s="362">
        <f t="shared" si="149"/>
        <v>3743</v>
      </c>
      <c r="H631" s="114">
        <f t="shared" si="149"/>
        <v>3771</v>
      </c>
      <c r="I631" s="135">
        <f>H631/G631</f>
        <v>1.0074806305102859</v>
      </c>
      <c r="J631" s="362">
        <f t="shared" si="150"/>
        <v>3691</v>
      </c>
      <c r="K631" s="114">
        <f t="shared" si="150"/>
        <v>3661</v>
      </c>
      <c r="L631" s="135">
        <f>K631/J631</f>
        <v>0.99187212137632075</v>
      </c>
      <c r="M631" s="362">
        <f t="shared" si="151"/>
        <v>3899</v>
      </c>
      <c r="N631" s="114">
        <f t="shared" si="151"/>
        <v>4199</v>
      </c>
      <c r="O631" s="135">
        <f>N631/M631</f>
        <v>1.0769428058476533</v>
      </c>
      <c r="P631" s="114">
        <f t="shared" si="152"/>
        <v>13337</v>
      </c>
      <c r="Q631" s="114">
        <f t="shared" si="152"/>
        <v>13627</v>
      </c>
      <c r="R631" s="386">
        <f>Q631/P631</f>
        <v>1.0217440203943915</v>
      </c>
    </row>
    <row r="632" spans="2:19" ht="13.8" thickBot="1">
      <c r="C632" s="478" t="s">
        <v>74</v>
      </c>
      <c r="D632" s="479">
        <f t="shared" si="148"/>
        <v>6266</v>
      </c>
      <c r="E632" s="473">
        <f t="shared" si="148"/>
        <v>6324</v>
      </c>
      <c r="F632" s="480">
        <f>E632/D632</f>
        <v>1.009256303862113</v>
      </c>
      <c r="G632" s="479">
        <f t="shared" si="149"/>
        <v>7644</v>
      </c>
      <c r="H632" s="473">
        <f t="shared" si="149"/>
        <v>7745</v>
      </c>
      <c r="I632" s="480">
        <f>H632/G632</f>
        <v>1.0132129774986918</v>
      </c>
      <c r="J632" s="479">
        <f t="shared" si="150"/>
        <v>7570</v>
      </c>
      <c r="K632" s="473">
        <f t="shared" si="150"/>
        <v>7591</v>
      </c>
      <c r="L632" s="480">
        <f>K632/J632</f>
        <v>1.0027741083223249</v>
      </c>
      <c r="M632" s="479">
        <f t="shared" si="151"/>
        <v>7660</v>
      </c>
      <c r="N632" s="473">
        <f t="shared" si="151"/>
        <v>8144</v>
      </c>
      <c r="O632" s="480">
        <f>N632/M632</f>
        <v>1.0631853785900782</v>
      </c>
      <c r="P632" s="473">
        <f t="shared" si="152"/>
        <v>27009</v>
      </c>
      <c r="Q632" s="473">
        <f t="shared" si="152"/>
        <v>27623</v>
      </c>
      <c r="R632" s="390">
        <f>Q632/P632</f>
        <v>1.0227331630197343</v>
      </c>
    </row>
    <row r="633" spans="2:19">
      <c r="C633" s="191"/>
      <c r="D633" s="29"/>
      <c r="E633" s="29"/>
      <c r="F633" s="29"/>
      <c r="O633" s="192"/>
      <c r="P633" s="174"/>
      <c r="Q633" s="29"/>
      <c r="R633" s="175"/>
    </row>
    <row r="634" spans="2:19">
      <c r="C634" s="190" t="s">
        <v>85</v>
      </c>
      <c r="D634" s="149"/>
      <c r="E634" s="149"/>
      <c r="F634" s="149"/>
      <c r="O634" s="192"/>
      <c r="P634" s="174"/>
      <c r="Q634" s="29"/>
      <c r="R634" s="175"/>
    </row>
    <row r="635" spans="2:19" ht="13.8" thickBot="1">
      <c r="C635" s="191"/>
      <c r="D635" s="29"/>
      <c r="E635" s="29"/>
      <c r="F635" s="29"/>
      <c r="G635" s="29"/>
      <c r="O635" s="192"/>
      <c r="P635" s="174"/>
      <c r="Q635" s="29"/>
      <c r="R635" s="175"/>
    </row>
    <row r="636" spans="2:19">
      <c r="C636" s="171" t="s">
        <v>72</v>
      </c>
      <c r="D636" s="482"/>
      <c r="E636" s="481"/>
      <c r="F636" s="476">
        <f>F630-$R$630</f>
        <v>-4.960853868747539E-2</v>
      </c>
      <c r="G636" s="172"/>
      <c r="H636" s="172"/>
      <c r="I636" s="471">
        <f>I630-$R$630</f>
        <v>-2.9750674204468308E-2</v>
      </c>
      <c r="J636" s="483"/>
      <c r="K636" s="172"/>
      <c r="L636" s="476">
        <f>L630-$R$630</f>
        <v>-1.6105494738808401E-2</v>
      </c>
      <c r="M636" s="471"/>
      <c r="N636" s="471"/>
      <c r="O636" s="472">
        <f>O630-$R$630</f>
        <v>5.4768203577727492E-2</v>
      </c>
      <c r="P636" s="29"/>
      <c r="Q636" s="29"/>
      <c r="R636" s="175"/>
    </row>
    <row r="637" spans="2:19">
      <c r="C637" s="176" t="s">
        <v>73</v>
      </c>
      <c r="D637" s="415"/>
      <c r="E637" s="149"/>
      <c r="F637" s="135">
        <f>F631-$R$631</f>
        <v>-2.9016747667118814E-2</v>
      </c>
      <c r="G637" s="29"/>
      <c r="H637" s="29"/>
      <c r="I637" s="134">
        <f>I631-$R$631</f>
        <v>-1.4263389884105582E-2</v>
      </c>
      <c r="J637" s="194"/>
      <c r="K637" s="29"/>
      <c r="L637" s="135">
        <f>L631-$R$631</f>
        <v>-2.9871899018070747E-2</v>
      </c>
      <c r="M637" s="134"/>
      <c r="N637" s="134"/>
      <c r="O637" s="386">
        <f>O631-$R$631</f>
        <v>5.5198785453261845E-2</v>
      </c>
      <c r="P637" s="29"/>
      <c r="Q637" s="29"/>
      <c r="R637" s="175"/>
    </row>
    <row r="638" spans="2:19" ht="13.8" thickBot="1">
      <c r="C638" s="177" t="s">
        <v>74</v>
      </c>
      <c r="D638" s="424"/>
      <c r="E638" s="178"/>
      <c r="F638" s="480">
        <f>F632-$R$632</f>
        <v>-1.3476859157621313E-2</v>
      </c>
      <c r="G638" s="32"/>
      <c r="H638" s="32"/>
      <c r="I638" s="179">
        <f>I632-$R$632</f>
        <v>-9.5201855210425013E-3</v>
      </c>
      <c r="J638" s="421"/>
      <c r="K638" s="32"/>
      <c r="L638" s="480">
        <f>L632-$R$632</f>
        <v>-1.9959054697409329E-2</v>
      </c>
      <c r="M638" s="179"/>
      <c r="N638" s="179"/>
      <c r="O638" s="390">
        <f>O632-$R$632</f>
        <v>4.0452215570343952E-2</v>
      </c>
      <c r="P638" s="32"/>
      <c r="Q638" s="32"/>
      <c r="R638" s="181"/>
    </row>
    <row r="640" spans="2:19" ht="17.399999999999999">
      <c r="B640" s="121"/>
      <c r="C640" s="130" t="s">
        <v>278</v>
      </c>
      <c r="D640" s="131"/>
      <c r="E640" s="131"/>
      <c r="F640" s="131"/>
      <c r="G640" s="131"/>
      <c r="H640" s="131"/>
      <c r="I640" s="131"/>
      <c r="J640" s="131"/>
      <c r="K640" s="131"/>
      <c r="L640" s="131"/>
    </row>
    <row r="641" spans="3:27" ht="17.399999999999999">
      <c r="C641" s="130" t="s">
        <v>65</v>
      </c>
      <c r="D641" s="131"/>
      <c r="E641" s="131"/>
      <c r="F641" s="131"/>
      <c r="G641" s="130"/>
      <c r="H641" s="131"/>
      <c r="I641" s="131"/>
      <c r="J641" s="162"/>
      <c r="K641" s="131"/>
      <c r="L641" s="131"/>
    </row>
    <row r="642" spans="3:27">
      <c r="C642" s="351" t="s">
        <v>66</v>
      </c>
      <c r="D642" s="787" t="s">
        <v>346</v>
      </c>
      <c r="E642" s="788"/>
      <c r="F642" s="789"/>
      <c r="G642" s="787" t="s">
        <v>90</v>
      </c>
      <c r="H642" s="788"/>
      <c r="I642" s="789"/>
      <c r="J642" s="787" t="s">
        <v>103</v>
      </c>
      <c r="K642" s="788"/>
      <c r="L642" s="789"/>
      <c r="M642" s="787" t="s">
        <v>52</v>
      </c>
      <c r="N642" s="788"/>
      <c r="O642" s="789"/>
    </row>
    <row r="643" spans="3:27" ht="13.8" thickBot="1">
      <c r="C643" s="447"/>
      <c r="D643" s="491" t="s">
        <v>89</v>
      </c>
      <c r="E643" s="492" t="s">
        <v>91</v>
      </c>
      <c r="F643" s="493" t="s">
        <v>71</v>
      </c>
      <c r="G643" s="491" t="s">
        <v>89</v>
      </c>
      <c r="H643" s="492" t="s">
        <v>91</v>
      </c>
      <c r="I643" s="493" t="s">
        <v>71</v>
      </c>
      <c r="J643" s="491" t="s">
        <v>89</v>
      </c>
      <c r="K643" s="492" t="s">
        <v>91</v>
      </c>
      <c r="L643" s="493" t="s">
        <v>71</v>
      </c>
      <c r="M643" s="491" t="s">
        <v>89</v>
      </c>
      <c r="N643" s="492" t="s">
        <v>91</v>
      </c>
      <c r="O643" s="493" t="s">
        <v>71</v>
      </c>
      <c r="AA643" s="193"/>
    </row>
    <row r="644" spans="3:27" ht="13.8" thickTop="1">
      <c r="C644" s="194" t="str">
        <f>$A$397</f>
        <v>2012-13</v>
      </c>
      <c r="D644" s="452">
        <f>B1030</f>
        <v>233</v>
      </c>
      <c r="E644" s="458"/>
      <c r="F644" s="484"/>
      <c r="G644" s="452">
        <f>C1030</f>
        <v>408</v>
      </c>
      <c r="H644" s="458"/>
      <c r="I644" s="484"/>
      <c r="J644" s="452">
        <f>D1030</f>
        <v>330</v>
      </c>
      <c r="K644" s="458"/>
      <c r="L644" s="484"/>
      <c r="M644" s="485">
        <f t="shared" ref="M644:M650" si="153">G644+D644+J644</f>
        <v>971</v>
      </c>
      <c r="N644" s="458"/>
      <c r="O644" s="484"/>
      <c r="AA644" s="193"/>
    </row>
    <row r="645" spans="3:27">
      <c r="C645" s="194" t="str">
        <f>$A$398</f>
        <v>2013-14</v>
      </c>
      <c r="D645" s="452">
        <f>F1030</f>
        <v>244</v>
      </c>
      <c r="E645" s="458">
        <f>O317</f>
        <v>272</v>
      </c>
      <c r="F645" s="135">
        <f>E645/D644</f>
        <v>1.1673819742489271</v>
      </c>
      <c r="G645" s="452">
        <f>G1030</f>
        <v>427</v>
      </c>
      <c r="H645" s="458">
        <f>P317</f>
        <v>387</v>
      </c>
      <c r="I645" s="135">
        <f>H645/G644</f>
        <v>0.94852941176470584</v>
      </c>
      <c r="J645" s="452">
        <f>H1030</f>
        <v>345</v>
      </c>
      <c r="K645" s="458">
        <f>Q317</f>
        <v>315</v>
      </c>
      <c r="L645" s="135">
        <f t="shared" ref="L645:L650" si="154">K645/J644</f>
        <v>0.95454545454545459</v>
      </c>
      <c r="M645" s="485">
        <f t="shared" si="153"/>
        <v>1016</v>
      </c>
      <c r="N645" s="329">
        <f t="shared" ref="N645:N650" si="155">H645+E645+K645</f>
        <v>974</v>
      </c>
      <c r="O645" s="135">
        <f>N645/M644</f>
        <v>1.0030895983522141</v>
      </c>
      <c r="AA645" s="193"/>
    </row>
    <row r="646" spans="3:27">
      <c r="C646" s="194" t="str">
        <f>$A$399</f>
        <v>2014-15</v>
      </c>
      <c r="D646" s="452">
        <f>J1030</f>
        <v>246</v>
      </c>
      <c r="E646" s="458">
        <f>O295</f>
        <v>271</v>
      </c>
      <c r="F646" s="135">
        <f>E646/D645</f>
        <v>1.110655737704918</v>
      </c>
      <c r="G646" s="452">
        <f>K1030</f>
        <v>430</v>
      </c>
      <c r="H646" s="458">
        <f>P295</f>
        <v>425</v>
      </c>
      <c r="I646" s="135">
        <f>H646/G645</f>
        <v>0.99531615925058547</v>
      </c>
      <c r="J646" s="452">
        <f>L1030</f>
        <v>348</v>
      </c>
      <c r="K646" s="458">
        <f>Q295</f>
        <v>319</v>
      </c>
      <c r="L646" s="135">
        <f t="shared" si="154"/>
        <v>0.92463768115942024</v>
      </c>
      <c r="M646" s="485">
        <f t="shared" si="153"/>
        <v>1024</v>
      </c>
      <c r="N646" s="329">
        <f t="shared" si="155"/>
        <v>1015</v>
      </c>
      <c r="O646" s="135">
        <f>N646/M645</f>
        <v>0.99901574803149606</v>
      </c>
      <c r="AA646" s="193"/>
    </row>
    <row r="647" spans="3:27">
      <c r="C647" s="194" t="str">
        <f>$A$400</f>
        <v>2015-16</v>
      </c>
      <c r="D647" s="452">
        <f>N1030</f>
        <v>235</v>
      </c>
      <c r="E647" s="458">
        <f>O273</f>
        <v>262</v>
      </c>
      <c r="F647" s="135">
        <f>E647/D646</f>
        <v>1.065040650406504</v>
      </c>
      <c r="G647" s="452">
        <f>O1030</f>
        <v>411</v>
      </c>
      <c r="H647" s="458">
        <f>P273</f>
        <v>433</v>
      </c>
      <c r="I647" s="135">
        <f>H647/G646</f>
        <v>1.0069767441860464</v>
      </c>
      <c r="J647" s="452">
        <f>P1030</f>
        <v>333</v>
      </c>
      <c r="K647" s="458">
        <f>Q273</f>
        <v>352</v>
      </c>
      <c r="L647" s="135">
        <f t="shared" si="154"/>
        <v>1.0114942528735633</v>
      </c>
      <c r="M647" s="485">
        <f t="shared" si="153"/>
        <v>979</v>
      </c>
      <c r="N647" s="329">
        <f t="shared" si="155"/>
        <v>1047</v>
      </c>
      <c r="O647" s="135">
        <f>N647/M646</f>
        <v>1.0224609375</v>
      </c>
      <c r="AA647" s="193"/>
    </row>
    <row r="648" spans="3:27">
      <c r="C648" s="194" t="str">
        <f>$A$401</f>
        <v>2016-17</v>
      </c>
      <c r="D648" s="452">
        <f>R1030</f>
        <v>235</v>
      </c>
      <c r="E648" s="458">
        <f>O251</f>
        <v>265</v>
      </c>
      <c r="F648" s="135">
        <f>E648/D647</f>
        <v>1.1276595744680851</v>
      </c>
      <c r="G648" s="452">
        <f>S1030</f>
        <v>412</v>
      </c>
      <c r="H648" s="458">
        <f>P251</f>
        <v>412</v>
      </c>
      <c r="I648" s="135">
        <f>H648/G647</f>
        <v>1.002433090024331</v>
      </c>
      <c r="J648" s="452">
        <f>T1030</f>
        <v>334</v>
      </c>
      <c r="K648" s="458">
        <f>Q251</f>
        <v>339</v>
      </c>
      <c r="L648" s="135">
        <f t="shared" si="154"/>
        <v>1.0180180180180181</v>
      </c>
      <c r="M648" s="485">
        <f t="shared" si="153"/>
        <v>981</v>
      </c>
      <c r="N648" s="329">
        <f t="shared" si="155"/>
        <v>1016</v>
      </c>
      <c r="O648" s="135">
        <f>N648/M647</f>
        <v>1.0377936670071501</v>
      </c>
      <c r="AA648" s="193"/>
    </row>
    <row r="649" spans="3:27">
      <c r="C649" s="194" t="str">
        <f>$A$402</f>
        <v>2017-18</v>
      </c>
      <c r="D649" s="485">
        <f>V1030</f>
        <v>256</v>
      </c>
      <c r="E649" s="486">
        <f>O229</f>
        <v>281</v>
      </c>
      <c r="F649" s="135">
        <f>E649/D648</f>
        <v>1.1957446808510639</v>
      </c>
      <c r="G649" s="485">
        <f>W1030</f>
        <v>447</v>
      </c>
      <c r="H649" s="486">
        <f>P229</f>
        <v>414</v>
      </c>
      <c r="I649" s="135">
        <f>H649/G648</f>
        <v>1.0048543689320388</v>
      </c>
      <c r="J649" s="485">
        <f>X1030</f>
        <v>362</v>
      </c>
      <c r="K649" s="486">
        <f>Q229</f>
        <v>348</v>
      </c>
      <c r="L649" s="135">
        <f t="shared" si="154"/>
        <v>1.0419161676646707</v>
      </c>
      <c r="M649" s="485">
        <f t="shared" si="153"/>
        <v>1065</v>
      </c>
      <c r="N649" s="329">
        <f t="shared" si="155"/>
        <v>1043</v>
      </c>
      <c r="O649" s="135">
        <f>N649/M648</f>
        <v>1.0632008154943935</v>
      </c>
    </row>
    <row r="650" spans="3:27">
      <c r="C650" s="194" t="str">
        <f>$A$403</f>
        <v>2018-19</v>
      </c>
      <c r="D650" s="194">
        <f>Z1030</f>
        <v>249</v>
      </c>
      <c r="E650" s="29">
        <f>O207</f>
        <v>291</v>
      </c>
      <c r="F650" s="135">
        <f t="shared" ref="F650:F657" si="156">E650/D649</f>
        <v>1.13671875</v>
      </c>
      <c r="G650" s="194">
        <f>AA1030</f>
        <v>436</v>
      </c>
      <c r="H650" s="29">
        <f>P207</f>
        <v>401</v>
      </c>
      <c r="I650" s="135">
        <f t="shared" ref="I650:I657" si="157">H650/G649</f>
        <v>0.8970917225950783</v>
      </c>
      <c r="J650" s="333">
        <f>AB1030</f>
        <v>353</v>
      </c>
      <c r="K650" s="329">
        <f>Q207</f>
        <v>367</v>
      </c>
      <c r="L650" s="135">
        <f t="shared" si="154"/>
        <v>1.0138121546961325</v>
      </c>
      <c r="M650" s="333">
        <f t="shared" si="153"/>
        <v>1038</v>
      </c>
      <c r="N650" s="329">
        <f t="shared" si="155"/>
        <v>1059</v>
      </c>
      <c r="O650" s="135">
        <f t="shared" ref="O650:O657" si="158">N650/M649</f>
        <v>0.9943661971830986</v>
      </c>
    </row>
    <row r="651" spans="3:27">
      <c r="C651" s="194" t="str">
        <f>$A$404</f>
        <v>2019-20</v>
      </c>
      <c r="D651" s="194">
        <f>B1049</f>
        <v>250</v>
      </c>
      <c r="E651" s="29">
        <f>O185</f>
        <v>248</v>
      </c>
      <c r="F651" s="135">
        <f t="shared" si="156"/>
        <v>0.99598393574297184</v>
      </c>
      <c r="G651" s="194">
        <f>C1049</f>
        <v>438</v>
      </c>
      <c r="H651" s="29">
        <f>P185</f>
        <v>446</v>
      </c>
      <c r="I651" s="135">
        <f t="shared" si="157"/>
        <v>1.0229357798165137</v>
      </c>
      <c r="J651" s="333">
        <f>D1049</f>
        <v>354</v>
      </c>
      <c r="K651" s="329">
        <f>Q185</f>
        <v>372</v>
      </c>
      <c r="L651" s="135">
        <f t="shared" ref="L651:L657" si="159">K651/J650</f>
        <v>1.0538243626062322</v>
      </c>
      <c r="M651" s="333">
        <f t="shared" ref="M651:M656" si="160">G651+D651+J651</f>
        <v>1042</v>
      </c>
      <c r="N651" s="329">
        <f t="shared" ref="N651:N656" si="161">H651+E651+K651</f>
        <v>1066</v>
      </c>
      <c r="O651" s="135">
        <f t="shared" si="158"/>
        <v>1.0269749518304432</v>
      </c>
    </row>
    <row r="652" spans="3:27">
      <c r="C652" s="194" t="str">
        <f>$A$405</f>
        <v>2020-21</v>
      </c>
      <c r="D652" s="194">
        <f>F1049</f>
        <v>237</v>
      </c>
      <c r="E652" s="29">
        <f>O163</f>
        <v>272</v>
      </c>
      <c r="F652" s="135">
        <f t="shared" si="156"/>
        <v>1.0880000000000001</v>
      </c>
      <c r="G652" s="194">
        <f>G1049</f>
        <v>415</v>
      </c>
      <c r="H652" s="29">
        <f>P163</f>
        <v>453</v>
      </c>
      <c r="I652" s="135">
        <f t="shared" si="157"/>
        <v>1.0342465753424657</v>
      </c>
      <c r="J652" s="333">
        <f>H1049</f>
        <v>336</v>
      </c>
      <c r="K652" s="329">
        <f>Q$163</f>
        <v>321</v>
      </c>
      <c r="L652" s="135">
        <f t="shared" si="159"/>
        <v>0.90677966101694918</v>
      </c>
      <c r="M652" s="333">
        <f t="shared" si="160"/>
        <v>988</v>
      </c>
      <c r="N652" s="329">
        <f t="shared" si="161"/>
        <v>1046</v>
      </c>
      <c r="O652" s="135">
        <f t="shared" si="158"/>
        <v>1.0038387715930903</v>
      </c>
    </row>
    <row r="653" spans="3:27">
      <c r="C653" s="194" t="str">
        <f>$A$406</f>
        <v>2021-22</v>
      </c>
      <c r="D653" s="194">
        <f>J1049</f>
        <v>253</v>
      </c>
      <c r="E653" s="29">
        <f>O141</f>
        <v>253</v>
      </c>
      <c r="F653" s="135">
        <f t="shared" si="156"/>
        <v>1.0675105485232068</v>
      </c>
      <c r="G653" s="194">
        <f>K1049</f>
        <v>443</v>
      </c>
      <c r="H653" s="29">
        <f>P$141</f>
        <v>437</v>
      </c>
      <c r="I653" s="135">
        <f t="shared" si="157"/>
        <v>1.0530120481927712</v>
      </c>
      <c r="J653" s="333">
        <f>L1049</f>
        <v>358</v>
      </c>
      <c r="K653" s="329">
        <f>Q$141</f>
        <v>343</v>
      </c>
      <c r="L653" s="135">
        <f t="shared" si="159"/>
        <v>1.0208333333333333</v>
      </c>
      <c r="M653" s="333">
        <f t="shared" si="160"/>
        <v>1054</v>
      </c>
      <c r="N653" s="329">
        <f t="shared" si="161"/>
        <v>1033</v>
      </c>
      <c r="O653" s="135">
        <f t="shared" si="158"/>
        <v>1.0455465587044535</v>
      </c>
    </row>
    <row r="654" spans="3:27">
      <c r="C654" s="194" t="str">
        <f>$A$407</f>
        <v>2022-23</v>
      </c>
      <c r="D654" s="194">
        <f>N1049</f>
        <v>238</v>
      </c>
      <c r="E654" s="29">
        <f>O119</f>
        <v>241</v>
      </c>
      <c r="F654" s="135">
        <f t="shared" si="156"/>
        <v>0.95256916996047436</v>
      </c>
      <c r="G654" s="194">
        <f>O1049</f>
        <v>416</v>
      </c>
      <c r="H654" s="29">
        <f>P$119</f>
        <v>443</v>
      </c>
      <c r="I654" s="135">
        <f t="shared" si="157"/>
        <v>1</v>
      </c>
      <c r="J654" s="333">
        <f>P1049</f>
        <v>337</v>
      </c>
      <c r="K654" s="329">
        <f>Q$119</f>
        <v>386</v>
      </c>
      <c r="L654" s="135">
        <f t="shared" si="159"/>
        <v>1.0782122905027933</v>
      </c>
      <c r="M654" s="333">
        <f t="shared" si="160"/>
        <v>991</v>
      </c>
      <c r="N654" s="329">
        <f t="shared" si="161"/>
        <v>1070</v>
      </c>
      <c r="O654" s="135">
        <f t="shared" si="158"/>
        <v>1.0151802656546489</v>
      </c>
    </row>
    <row r="655" spans="3:27">
      <c r="C655" s="194" t="str">
        <f>$A$408</f>
        <v>2023-24</v>
      </c>
      <c r="D655" s="194">
        <f>R1049</f>
        <v>229</v>
      </c>
      <c r="E655" s="29">
        <f>O97</f>
        <v>249</v>
      </c>
      <c r="F655" s="135">
        <f t="shared" si="156"/>
        <v>1.046218487394958</v>
      </c>
      <c r="G655" s="194">
        <f>S1049</f>
        <v>401</v>
      </c>
      <c r="H655" s="29">
        <f>P97</f>
        <v>427</v>
      </c>
      <c r="I655" s="135">
        <f t="shared" si="157"/>
        <v>1.0264423076923077</v>
      </c>
      <c r="J655" s="333">
        <f>T1049</f>
        <v>325</v>
      </c>
      <c r="K655" s="329">
        <f>Q$97</f>
        <v>301</v>
      </c>
      <c r="L655" s="135">
        <f t="shared" si="159"/>
        <v>0.89317507418397624</v>
      </c>
      <c r="M655" s="333">
        <f t="shared" si="160"/>
        <v>955</v>
      </c>
      <c r="N655" s="329">
        <f t="shared" si="161"/>
        <v>977</v>
      </c>
      <c r="O655" s="135">
        <f t="shared" si="158"/>
        <v>0.98587285570131178</v>
      </c>
    </row>
    <row r="656" spans="3:27">
      <c r="C656" s="194" t="str">
        <f>$A$409</f>
        <v>2024-25</v>
      </c>
      <c r="D656" s="194">
        <f>V1049</f>
        <v>242</v>
      </c>
      <c r="E656" s="29">
        <f>O75</f>
        <v>232</v>
      </c>
      <c r="F656" s="135">
        <f t="shared" si="156"/>
        <v>1.0131004366812226</v>
      </c>
      <c r="G656" s="194">
        <f>W1049</f>
        <v>424</v>
      </c>
      <c r="H656" s="29">
        <f>P75</f>
        <v>384</v>
      </c>
      <c r="I656" s="135">
        <f t="shared" si="157"/>
        <v>0.95760598503740646</v>
      </c>
      <c r="J656" s="333">
        <f>X1049</f>
        <v>343</v>
      </c>
      <c r="K656" s="329">
        <f>Q$75</f>
        <v>359</v>
      </c>
      <c r="L656" s="135">
        <f t="shared" si="159"/>
        <v>1.1046153846153846</v>
      </c>
      <c r="M656" s="333">
        <f t="shared" si="160"/>
        <v>1009</v>
      </c>
      <c r="N656" s="329">
        <f t="shared" si="161"/>
        <v>975</v>
      </c>
      <c r="O656" s="135">
        <f t="shared" si="158"/>
        <v>1.0209424083769634</v>
      </c>
    </row>
    <row r="657" spans="2:15" ht="13.8" thickBot="1">
      <c r="C657" s="159" t="str">
        <f>$A$410</f>
        <v>2025-26</v>
      </c>
      <c r="D657" s="159">
        <f>Z1049</f>
        <v>247</v>
      </c>
      <c r="E657" s="136">
        <f>O23</f>
        <v>239</v>
      </c>
      <c r="F657" s="195">
        <f t="shared" si="156"/>
        <v>0.98760330578512401</v>
      </c>
      <c r="G657" s="159">
        <f>AA1049</f>
        <v>391</v>
      </c>
      <c r="H657" s="136">
        <f>P23</f>
        <v>412</v>
      </c>
      <c r="I657" s="195">
        <f t="shared" si="157"/>
        <v>0.97169811320754718</v>
      </c>
      <c r="J657" s="330">
        <f>AB1049</f>
        <v>297</v>
      </c>
      <c r="K657" s="332">
        <f>Q23</f>
        <v>370</v>
      </c>
      <c r="L657" s="195">
        <f t="shared" si="159"/>
        <v>1.0787172011661808</v>
      </c>
      <c r="M657" s="330">
        <f>G657+D657+J657</f>
        <v>935</v>
      </c>
      <c r="N657" s="332">
        <f>H657+E657+K657</f>
        <v>1021</v>
      </c>
      <c r="O657" s="195">
        <f t="shared" si="158"/>
        <v>1.0118929633300298</v>
      </c>
    </row>
    <row r="658" spans="2:15" ht="13.8" thickTop="1">
      <c r="C658" s="194"/>
      <c r="D658" s="194"/>
      <c r="E658" s="29"/>
      <c r="F658" s="226"/>
      <c r="G658" s="194"/>
      <c r="H658" s="29"/>
      <c r="I658" s="226"/>
      <c r="J658" s="333"/>
      <c r="K658" s="329"/>
      <c r="L658" s="226"/>
      <c r="M658" s="194"/>
      <c r="N658" s="29"/>
      <c r="O658" s="226"/>
    </row>
    <row r="659" spans="2:15">
      <c r="C659" s="415" t="s">
        <v>72</v>
      </c>
      <c r="D659" s="362">
        <f>SUM(D654:D656)</f>
        <v>709</v>
      </c>
      <c r="E659" s="114">
        <f>SUM(E655:E657)</f>
        <v>720</v>
      </c>
      <c r="F659" s="135">
        <f>E659/D659</f>
        <v>1.0155148095909732</v>
      </c>
      <c r="G659" s="362">
        <f>SUM(G654:G656)</f>
        <v>1241</v>
      </c>
      <c r="H659" s="114">
        <f>SUM(H655:H657)</f>
        <v>1223</v>
      </c>
      <c r="I659" s="135">
        <f>H659/G659</f>
        <v>0.98549556809024985</v>
      </c>
      <c r="J659" s="333">
        <f>SUM(J654:J656)</f>
        <v>1005</v>
      </c>
      <c r="K659" s="329">
        <f>SUM(K655:K657)</f>
        <v>1030</v>
      </c>
      <c r="L659" s="135">
        <f>K659/J659</f>
        <v>1.0248756218905473</v>
      </c>
      <c r="M659" s="362">
        <f>SUM(M654:M656)</f>
        <v>2955</v>
      </c>
      <c r="N659" s="114">
        <f>SUM(N655:N657)</f>
        <v>2973</v>
      </c>
      <c r="O659" s="135">
        <f>N659/M659</f>
        <v>1.0060913705583756</v>
      </c>
    </row>
    <row r="660" spans="2:15">
      <c r="C660" s="415" t="s">
        <v>73</v>
      </c>
      <c r="D660" s="362">
        <f>SUM(D652:D656)</f>
        <v>1199</v>
      </c>
      <c r="E660" s="114">
        <f>SUM(E653:E657)</f>
        <v>1214</v>
      </c>
      <c r="F660" s="135">
        <f>E660/D660</f>
        <v>1.0125104253544621</v>
      </c>
      <c r="G660" s="362">
        <f>SUM(G652:G656)</f>
        <v>2099</v>
      </c>
      <c r="H660" s="114">
        <f>SUM(H653:H657)</f>
        <v>2103</v>
      </c>
      <c r="I660" s="135">
        <f>H660/G660</f>
        <v>1.0019056693663648</v>
      </c>
      <c r="J660" s="333">
        <f>SUM(J652:J656)</f>
        <v>1699</v>
      </c>
      <c r="K660" s="329">
        <f>SUM(K653:K657)</f>
        <v>1759</v>
      </c>
      <c r="L660" s="135">
        <f>K660/J660</f>
        <v>1.035314891112419</v>
      </c>
      <c r="M660" s="362">
        <f>SUM(M652:M656)</f>
        <v>4997</v>
      </c>
      <c r="N660" s="114">
        <f>SUM(N653:N657)</f>
        <v>5076</v>
      </c>
      <c r="O660" s="135">
        <f>N660/M660</f>
        <v>1.0158094856914148</v>
      </c>
    </row>
    <row r="661" spans="2:15">
      <c r="C661" s="257" t="s">
        <v>74</v>
      </c>
      <c r="D661" s="363">
        <f>SUM(D647:D656)</f>
        <v>2424</v>
      </c>
      <c r="E661" s="364">
        <f>SUM(E648:E657)</f>
        <v>2571</v>
      </c>
      <c r="F661" s="361">
        <f>E661/D661</f>
        <v>1.0606435643564356</v>
      </c>
      <c r="G661" s="363">
        <f>SUM(G647:G656)</f>
        <v>4243</v>
      </c>
      <c r="H661" s="364">
        <f>SUM(H648:H657)</f>
        <v>4229</v>
      </c>
      <c r="I661" s="361">
        <f>H661/G661</f>
        <v>0.99670044779637046</v>
      </c>
      <c r="J661" s="363">
        <f>SUM(J647:J656)</f>
        <v>3435</v>
      </c>
      <c r="K661" s="364">
        <f>SUM(K648:K657)</f>
        <v>3506</v>
      </c>
      <c r="L661" s="361">
        <f>K661/J661</f>
        <v>1.020669577874818</v>
      </c>
      <c r="M661" s="363">
        <f>SUM(M647:M656)</f>
        <v>10102</v>
      </c>
      <c r="N661" s="364">
        <f>SUM(N648:N657)</f>
        <v>10306</v>
      </c>
      <c r="O661" s="361">
        <f>N661/M661</f>
        <v>1.0201940209859435</v>
      </c>
    </row>
    <row r="663" spans="2:15" ht="17.399999999999999">
      <c r="B663" s="121"/>
      <c r="C663" s="130" t="s">
        <v>279</v>
      </c>
      <c r="D663" s="131"/>
      <c r="E663" s="131"/>
      <c r="F663" s="131"/>
      <c r="G663" s="131"/>
      <c r="H663" s="131"/>
      <c r="I663" s="131"/>
      <c r="J663" s="131"/>
      <c r="K663" s="131"/>
      <c r="L663" s="131"/>
    </row>
    <row r="664" spans="2:15" ht="17.399999999999999">
      <c r="C664" s="130" t="s">
        <v>65</v>
      </c>
      <c r="D664" s="131"/>
      <c r="E664" s="131"/>
      <c r="F664" s="131"/>
      <c r="G664" s="130"/>
      <c r="H664" s="131"/>
      <c r="I664" s="131"/>
      <c r="J664" s="162"/>
      <c r="K664" s="162"/>
      <c r="L664" s="162"/>
    </row>
    <row r="665" spans="2:15">
      <c r="C665" s="353" t="s">
        <v>66</v>
      </c>
      <c r="D665" s="787" t="s">
        <v>346</v>
      </c>
      <c r="E665" s="788"/>
      <c r="F665" s="789"/>
      <c r="G665" s="787" t="s">
        <v>90</v>
      </c>
      <c r="H665" s="788"/>
      <c r="I665" s="789"/>
      <c r="J665" s="787" t="s">
        <v>103</v>
      </c>
      <c r="K665" s="788"/>
      <c r="L665" s="789"/>
      <c r="M665" s="787" t="s">
        <v>52</v>
      </c>
      <c r="N665" s="788"/>
      <c r="O665" s="789"/>
    </row>
    <row r="666" spans="2:15" ht="13.8" thickBot="1">
      <c r="C666" s="449"/>
      <c r="D666" s="491" t="s">
        <v>91</v>
      </c>
      <c r="E666" s="492" t="s">
        <v>296</v>
      </c>
      <c r="F666" s="493" t="s">
        <v>71</v>
      </c>
      <c r="G666" s="491" t="s">
        <v>91</v>
      </c>
      <c r="H666" s="492" t="s">
        <v>296</v>
      </c>
      <c r="I666" s="493" t="s">
        <v>71</v>
      </c>
      <c r="J666" s="491" t="s">
        <v>91</v>
      </c>
      <c r="K666" s="492" t="s">
        <v>296</v>
      </c>
      <c r="L666" s="493" t="s">
        <v>79</v>
      </c>
      <c r="M666" s="491" t="s">
        <v>91</v>
      </c>
      <c r="N666" s="492" t="s">
        <v>296</v>
      </c>
      <c r="O666" s="493" t="s">
        <v>71</v>
      </c>
    </row>
    <row r="667" spans="2:15" ht="13.8" thickTop="1">
      <c r="C667" s="222" t="str">
        <f>$A$397</f>
        <v>2012-13</v>
      </c>
      <c r="D667" s="194">
        <f>O339</f>
        <v>268</v>
      </c>
      <c r="E667" s="324"/>
      <c r="F667" s="391"/>
      <c r="G667" s="452">
        <f>P339</f>
        <v>384</v>
      </c>
      <c r="H667" s="458"/>
      <c r="I667" s="484"/>
      <c r="J667" s="452">
        <f>Q339</f>
        <v>312</v>
      </c>
      <c r="K667" s="458"/>
      <c r="L667" s="484"/>
      <c r="M667" s="333">
        <f t="shared" ref="M667:N672" si="162">G667+D667+J667</f>
        <v>964</v>
      </c>
      <c r="N667" s="324"/>
      <c r="O667" s="391"/>
    </row>
    <row r="668" spans="2:15">
      <c r="C668" s="222" t="str">
        <f>$A$398</f>
        <v>2013-14</v>
      </c>
      <c r="D668" s="194">
        <f>O317</f>
        <v>272</v>
      </c>
      <c r="E668" s="29">
        <f>O318</f>
        <v>227</v>
      </c>
      <c r="F668" s="135">
        <f>E668/D667</f>
        <v>0.84701492537313428</v>
      </c>
      <c r="G668" s="452">
        <f>P317</f>
        <v>387</v>
      </c>
      <c r="H668" s="458">
        <f>P318</f>
        <v>391</v>
      </c>
      <c r="I668" s="488">
        <f>H668/G667</f>
        <v>1.0182291666666667</v>
      </c>
      <c r="J668" s="452">
        <f>Q317</f>
        <v>315</v>
      </c>
      <c r="K668" s="458">
        <f>Q318</f>
        <v>331</v>
      </c>
      <c r="L668" s="488">
        <f>K668/J667</f>
        <v>1.0608974358974359</v>
      </c>
      <c r="M668" s="333">
        <f t="shared" si="162"/>
        <v>974</v>
      </c>
      <c r="N668" s="329">
        <f t="shared" si="162"/>
        <v>949</v>
      </c>
      <c r="O668" s="135">
        <f>N668/M667</f>
        <v>0.98443983402489632</v>
      </c>
    </row>
    <row r="669" spans="2:15">
      <c r="C669" s="222" t="str">
        <f>$A$399</f>
        <v>2014-15</v>
      </c>
      <c r="D669" s="194">
        <f>O295</f>
        <v>271</v>
      </c>
      <c r="E669" s="29">
        <f>O296</f>
        <v>267</v>
      </c>
      <c r="F669" s="135">
        <f>E669/D668</f>
        <v>0.98161764705882348</v>
      </c>
      <c r="G669" s="452">
        <f>P295</f>
        <v>425</v>
      </c>
      <c r="H669" s="458">
        <f>P296</f>
        <v>387</v>
      </c>
      <c r="I669" s="488">
        <f>H669/G668</f>
        <v>1</v>
      </c>
      <c r="J669" s="452">
        <f>Q295</f>
        <v>319</v>
      </c>
      <c r="K669" s="458">
        <f>Q296</f>
        <v>313</v>
      </c>
      <c r="L669" s="488">
        <f>K669/J668</f>
        <v>0.99365079365079367</v>
      </c>
      <c r="M669" s="333">
        <f t="shared" si="162"/>
        <v>1015</v>
      </c>
      <c r="N669" s="329">
        <f t="shared" si="162"/>
        <v>967</v>
      </c>
      <c r="O669" s="135">
        <f>N669/M668</f>
        <v>0.99281314168377821</v>
      </c>
    </row>
    <row r="670" spans="2:15">
      <c r="C670" s="222" t="str">
        <f>$A$400</f>
        <v>2015-16</v>
      </c>
      <c r="D670" s="194">
        <f>O273</f>
        <v>262</v>
      </c>
      <c r="E670" s="29">
        <f>O274</f>
        <v>266</v>
      </c>
      <c r="F670" s="135">
        <f>E670/D669</f>
        <v>0.98154981549815501</v>
      </c>
      <c r="G670" s="452">
        <f>P273</f>
        <v>433</v>
      </c>
      <c r="H670" s="458">
        <f>P274</f>
        <v>422</v>
      </c>
      <c r="I670" s="488">
        <f>H670/G669</f>
        <v>0.99294117647058822</v>
      </c>
      <c r="J670" s="452">
        <f>Q273</f>
        <v>352</v>
      </c>
      <c r="K670" s="458">
        <f>Q274</f>
        <v>316</v>
      </c>
      <c r="L670" s="488">
        <f>K670/J669</f>
        <v>0.99059561128526641</v>
      </c>
      <c r="M670" s="333">
        <f t="shared" si="162"/>
        <v>1047</v>
      </c>
      <c r="N670" s="329">
        <f t="shared" si="162"/>
        <v>1004</v>
      </c>
      <c r="O670" s="135">
        <f>N670/M669</f>
        <v>0.98916256157635463</v>
      </c>
    </row>
    <row r="671" spans="2:15">
      <c r="C671" s="222" t="str">
        <f>$A$401</f>
        <v>2016-17</v>
      </c>
      <c r="D671" s="194">
        <f>O251</f>
        <v>265</v>
      </c>
      <c r="E671" s="29">
        <f>O252</f>
        <v>258</v>
      </c>
      <c r="F671" s="135">
        <f>E671/D670</f>
        <v>0.98473282442748089</v>
      </c>
      <c r="G671" s="452">
        <f>P251</f>
        <v>412</v>
      </c>
      <c r="H671" s="458">
        <f>P252</f>
        <v>443</v>
      </c>
      <c r="I671" s="488">
        <f>H671/G670</f>
        <v>1.0230946882217089</v>
      </c>
      <c r="J671" s="452">
        <f>Q251</f>
        <v>339</v>
      </c>
      <c r="K671" s="458">
        <f>Q252</f>
        <v>351</v>
      </c>
      <c r="L671" s="488">
        <f>K671/J670</f>
        <v>0.99715909090909094</v>
      </c>
      <c r="M671" s="333">
        <f t="shared" si="162"/>
        <v>1016</v>
      </c>
      <c r="N671" s="329">
        <f t="shared" si="162"/>
        <v>1052</v>
      </c>
      <c r="O671" s="135">
        <f>N671/M670</f>
        <v>1.0047755491881567</v>
      </c>
    </row>
    <row r="672" spans="2:15">
      <c r="C672" s="222" t="str">
        <f>$A$402</f>
        <v>2017-18</v>
      </c>
      <c r="D672" s="194">
        <f>O229</f>
        <v>281</v>
      </c>
      <c r="E672" s="29">
        <f>O230</f>
        <v>253</v>
      </c>
      <c r="F672" s="135">
        <f>E672/D671</f>
        <v>0.95471698113207548</v>
      </c>
      <c r="G672" s="194">
        <f>P229</f>
        <v>414</v>
      </c>
      <c r="H672" s="486">
        <f>P230</f>
        <v>412</v>
      </c>
      <c r="I672" s="488">
        <f>H672/G671</f>
        <v>1</v>
      </c>
      <c r="J672" s="489">
        <f>Q229</f>
        <v>348</v>
      </c>
      <c r="K672" s="490">
        <f>Q230</f>
        <v>327</v>
      </c>
      <c r="L672" s="488">
        <f>K672/J671</f>
        <v>0.96460176991150437</v>
      </c>
      <c r="M672" s="333">
        <f>G672+D672+J672</f>
        <v>1043</v>
      </c>
      <c r="N672" s="329">
        <f t="shared" si="162"/>
        <v>992</v>
      </c>
      <c r="O672" s="135">
        <f>N672/M671</f>
        <v>0.97637795275590555</v>
      </c>
    </row>
    <row r="673" spans="2:28">
      <c r="C673" s="222" t="str">
        <f>$A$403</f>
        <v>2018-19</v>
      </c>
      <c r="D673" s="194">
        <f>O207</f>
        <v>291</v>
      </c>
      <c r="E673" s="29">
        <f>O208</f>
        <v>273</v>
      </c>
      <c r="F673" s="135">
        <f t="shared" ref="F673:F679" si="163">E673/D672</f>
        <v>0.97153024911032027</v>
      </c>
      <c r="G673" s="194">
        <f>P207</f>
        <v>401</v>
      </c>
      <c r="H673" s="486">
        <f>P208</f>
        <v>407</v>
      </c>
      <c r="I673" s="488">
        <f t="shared" ref="I673:I679" si="164">H673/G672</f>
        <v>0.98309178743961356</v>
      </c>
      <c r="J673" s="489">
        <f>Q207</f>
        <v>367</v>
      </c>
      <c r="K673" s="490">
        <f>Q208</f>
        <v>338</v>
      </c>
      <c r="L673" s="488">
        <f t="shared" ref="L673:L680" si="165">K673/J672</f>
        <v>0.97126436781609193</v>
      </c>
      <c r="M673" s="333">
        <f t="shared" ref="M673:M678" si="166">G673+D673+J673</f>
        <v>1059</v>
      </c>
      <c r="N673" s="329">
        <f t="shared" ref="N673:N678" si="167">H673+E673+K673</f>
        <v>1018</v>
      </c>
      <c r="O673" s="135">
        <f t="shared" ref="O673:O679" si="168">N673/M672</f>
        <v>0.97603068072866728</v>
      </c>
    </row>
    <row r="674" spans="2:28">
      <c r="C674" s="222" t="str">
        <f>$A$404</f>
        <v>2019-20</v>
      </c>
      <c r="D674" s="194">
        <f>O185</f>
        <v>248</v>
      </c>
      <c r="E674" s="29">
        <f>O186</f>
        <v>290</v>
      </c>
      <c r="F674" s="135">
        <f t="shared" si="163"/>
        <v>0.99656357388316152</v>
      </c>
      <c r="G674" s="194">
        <f>P185</f>
        <v>446</v>
      </c>
      <c r="H674" s="486">
        <f>P186</f>
        <v>406</v>
      </c>
      <c r="I674" s="488">
        <f t="shared" si="164"/>
        <v>1.0124688279301746</v>
      </c>
      <c r="J674" s="333">
        <f>Q185</f>
        <v>372</v>
      </c>
      <c r="K674" s="329">
        <f>Q186</f>
        <v>344</v>
      </c>
      <c r="L674" s="135">
        <f t="shared" si="165"/>
        <v>0.93732970027247953</v>
      </c>
      <c r="M674" s="333">
        <f t="shared" si="166"/>
        <v>1066</v>
      </c>
      <c r="N674" s="329">
        <f t="shared" si="167"/>
        <v>1040</v>
      </c>
      <c r="O674" s="135">
        <f t="shared" si="168"/>
        <v>0.98205854579792262</v>
      </c>
      <c r="Q674" s="29"/>
    </row>
    <row r="675" spans="2:28">
      <c r="C675" s="222" t="str">
        <f>$A$405</f>
        <v>2020-21</v>
      </c>
      <c r="D675" s="194">
        <f>O163</f>
        <v>272</v>
      </c>
      <c r="E675" s="29">
        <f>O163</f>
        <v>272</v>
      </c>
      <c r="F675" s="135">
        <f t="shared" si="163"/>
        <v>1.096774193548387</v>
      </c>
      <c r="G675" s="194">
        <f>P163</f>
        <v>453</v>
      </c>
      <c r="H675" s="29">
        <f>P164</f>
        <v>433</v>
      </c>
      <c r="I675" s="135">
        <f t="shared" si="164"/>
        <v>0.97085201793721976</v>
      </c>
      <c r="J675" s="333">
        <f>Q163</f>
        <v>321</v>
      </c>
      <c r="K675" s="329">
        <f>Q164</f>
        <v>359</v>
      </c>
      <c r="L675" s="135">
        <f t="shared" si="165"/>
        <v>0.96505376344086025</v>
      </c>
      <c r="M675" s="333">
        <f t="shared" si="166"/>
        <v>1046</v>
      </c>
      <c r="N675" s="329">
        <f t="shared" si="167"/>
        <v>1064</v>
      </c>
      <c r="O675" s="135">
        <f t="shared" si="168"/>
        <v>0.99812382739212002</v>
      </c>
      <c r="Q675" s="29"/>
    </row>
    <row r="676" spans="2:28">
      <c r="C676" s="222" t="str">
        <f>$A$406</f>
        <v>2021-22</v>
      </c>
      <c r="D676" s="194">
        <f>O$141</f>
        <v>253</v>
      </c>
      <c r="E676" s="29">
        <f>O$141</f>
        <v>253</v>
      </c>
      <c r="F676" s="135">
        <f t="shared" si="163"/>
        <v>0.93014705882352944</v>
      </c>
      <c r="G676" s="194">
        <f>P$141</f>
        <v>437</v>
      </c>
      <c r="H676" s="29">
        <f>P$142</f>
        <v>425</v>
      </c>
      <c r="I676" s="135">
        <f t="shared" si="164"/>
        <v>0.9381898454746137</v>
      </c>
      <c r="J676" s="333">
        <f>Q141</f>
        <v>343</v>
      </c>
      <c r="K676" s="329">
        <f>Q142</f>
        <v>315</v>
      </c>
      <c r="L676" s="135">
        <f t="shared" si="165"/>
        <v>0.98130841121495327</v>
      </c>
      <c r="M676" s="333">
        <f t="shared" si="166"/>
        <v>1033</v>
      </c>
      <c r="N676" s="329">
        <f t="shared" si="167"/>
        <v>993</v>
      </c>
      <c r="O676" s="135">
        <f t="shared" si="168"/>
        <v>0.94933078393881454</v>
      </c>
      <c r="Q676" s="29"/>
    </row>
    <row r="677" spans="2:28">
      <c r="C677" s="222" t="str">
        <f>$A$407</f>
        <v>2022-23</v>
      </c>
      <c r="D677" s="194">
        <f>O119</f>
        <v>241</v>
      </c>
      <c r="E677" s="29">
        <f>O$120</f>
        <v>253</v>
      </c>
      <c r="F677" s="135">
        <f t="shared" si="163"/>
        <v>1</v>
      </c>
      <c r="G677" s="194">
        <f>P119</f>
        <v>443</v>
      </c>
      <c r="H677" s="29">
        <f>P$120</f>
        <v>413</v>
      </c>
      <c r="I677" s="135">
        <f t="shared" si="164"/>
        <v>0.94508009153318073</v>
      </c>
      <c r="J677" s="333">
        <f>Q119</f>
        <v>386</v>
      </c>
      <c r="K677" s="329">
        <f>Q120</f>
        <v>317</v>
      </c>
      <c r="L677" s="135">
        <f t="shared" si="165"/>
        <v>0.92419825072886297</v>
      </c>
      <c r="M677" s="333">
        <f t="shared" si="166"/>
        <v>1070</v>
      </c>
      <c r="N677" s="329">
        <f t="shared" si="167"/>
        <v>983</v>
      </c>
      <c r="O677" s="135">
        <f t="shared" si="168"/>
        <v>0.95159728944820909</v>
      </c>
      <c r="Q677" s="29"/>
    </row>
    <row r="678" spans="2:28">
      <c r="C678" s="222" t="str">
        <f>$A$408</f>
        <v>2023-24</v>
      </c>
      <c r="D678" s="194">
        <f>O97</f>
        <v>249</v>
      </c>
      <c r="E678" s="29">
        <f>O98</f>
        <v>236</v>
      </c>
      <c r="F678" s="135">
        <f t="shared" si="163"/>
        <v>0.97925311203319498</v>
      </c>
      <c r="G678" s="194">
        <f>P97</f>
        <v>427</v>
      </c>
      <c r="H678" s="29">
        <f>P98</f>
        <v>418</v>
      </c>
      <c r="I678" s="135">
        <f t="shared" si="164"/>
        <v>0.94356659142212185</v>
      </c>
      <c r="J678" s="333">
        <f>Q97</f>
        <v>301</v>
      </c>
      <c r="K678" s="329">
        <f>Q98</f>
        <v>370</v>
      </c>
      <c r="L678" s="135">
        <f t="shared" si="165"/>
        <v>0.95854922279792742</v>
      </c>
      <c r="M678" s="333">
        <f t="shared" si="166"/>
        <v>977</v>
      </c>
      <c r="N678" s="329">
        <f t="shared" si="167"/>
        <v>1024</v>
      </c>
      <c r="O678" s="135">
        <f t="shared" si="168"/>
        <v>0.95700934579439256</v>
      </c>
      <c r="Q678" s="29"/>
    </row>
    <row r="679" spans="2:28">
      <c r="C679" s="222" t="str">
        <f>$A$409</f>
        <v>2024-25</v>
      </c>
      <c r="D679" s="194">
        <f>O75</f>
        <v>232</v>
      </c>
      <c r="E679" s="29">
        <f>O76</f>
        <v>242</v>
      </c>
      <c r="F679" s="135">
        <f t="shared" si="163"/>
        <v>0.9718875502008032</v>
      </c>
      <c r="G679" s="194">
        <f>P75</f>
        <v>384</v>
      </c>
      <c r="H679" s="29">
        <f>P76</f>
        <v>396</v>
      </c>
      <c r="I679" s="135">
        <f t="shared" si="164"/>
        <v>0.92740046838407497</v>
      </c>
      <c r="J679" s="333">
        <f>Q75</f>
        <v>359</v>
      </c>
      <c r="K679" s="329">
        <f>Q76</f>
        <v>292</v>
      </c>
      <c r="L679" s="135">
        <f t="shared" si="165"/>
        <v>0.9700996677740864</v>
      </c>
      <c r="M679" s="333">
        <f>G679+D679+J679</f>
        <v>975</v>
      </c>
      <c r="N679" s="329">
        <f>H679+E679+K679</f>
        <v>930</v>
      </c>
      <c r="O679" s="135">
        <f t="shared" si="168"/>
        <v>0.95189355168884338</v>
      </c>
      <c r="Q679" s="29"/>
    </row>
    <row r="680" spans="2:28" ht="13.8" thickBot="1">
      <c r="C680" s="418" t="str">
        <f>$A$410</f>
        <v>2025-26</v>
      </c>
      <c r="D680" s="159">
        <f>O23</f>
        <v>239</v>
      </c>
      <c r="E680" s="136">
        <f>O24</f>
        <v>234</v>
      </c>
      <c r="F680" s="195">
        <f>E680/D679</f>
        <v>1.0086206896551724</v>
      </c>
      <c r="G680" s="159">
        <f>P23</f>
        <v>412</v>
      </c>
      <c r="H680" s="136">
        <f>P24</f>
        <v>351</v>
      </c>
      <c r="I680" s="195">
        <f>H680/G679</f>
        <v>0.9140625</v>
      </c>
      <c r="J680" s="330">
        <f>Q23</f>
        <v>370</v>
      </c>
      <c r="K680" s="332">
        <f>Q24</f>
        <v>355</v>
      </c>
      <c r="L680" s="195">
        <f t="shared" si="165"/>
        <v>0.9888579387186629</v>
      </c>
      <c r="M680" s="330">
        <f>G680+D680+J680</f>
        <v>1021</v>
      </c>
      <c r="N680" s="332">
        <f>H680+E680+K680</f>
        <v>940</v>
      </c>
      <c r="O680" s="195">
        <f>N680/M679</f>
        <v>0.96410256410256412</v>
      </c>
      <c r="Q680" s="29"/>
    </row>
    <row r="681" spans="2:28" ht="13.8" thickTop="1">
      <c r="C681" s="222"/>
      <c r="D681" s="194"/>
      <c r="E681" s="29"/>
      <c r="F681" s="226"/>
      <c r="G681" s="194"/>
      <c r="H681" s="29"/>
      <c r="I681" s="226"/>
      <c r="J681" s="333"/>
      <c r="K681" s="329"/>
      <c r="L681" s="226"/>
      <c r="M681" s="194"/>
      <c r="N681" s="29"/>
      <c r="O681" s="226"/>
      <c r="Q681" s="29"/>
    </row>
    <row r="682" spans="2:28">
      <c r="C682" s="357" t="s">
        <v>72</v>
      </c>
      <c r="D682" s="362">
        <f>SUM(D677:D679)</f>
        <v>722</v>
      </c>
      <c r="E682" s="114">
        <f>SUM(E678:E680)</f>
        <v>712</v>
      </c>
      <c r="F682" s="135">
        <f>E682/D682</f>
        <v>0.98614958448753465</v>
      </c>
      <c r="G682" s="362">
        <f>SUM(G677:G679)</f>
        <v>1254</v>
      </c>
      <c r="H682" s="114">
        <f>SUM(H678:H680)</f>
        <v>1165</v>
      </c>
      <c r="I682" s="135">
        <f>H682/G682</f>
        <v>0.92902711323763953</v>
      </c>
      <c r="J682" s="333">
        <f>SUM(J677:J679)</f>
        <v>1046</v>
      </c>
      <c r="K682" s="329">
        <f>SUM(K678:K680)</f>
        <v>1017</v>
      </c>
      <c r="L682" s="135">
        <f>K682/J682</f>
        <v>0.97227533460803062</v>
      </c>
      <c r="M682" s="362">
        <f>SUM(M677:M679)</f>
        <v>3022</v>
      </c>
      <c r="N682" s="114">
        <f>SUM(N678:N680)</f>
        <v>2894</v>
      </c>
      <c r="O682" s="135">
        <f>N682/M682</f>
        <v>0.95764394440767708</v>
      </c>
      <c r="Q682" s="29"/>
    </row>
    <row r="683" spans="2:28">
      <c r="C683" s="357" t="s">
        <v>73</v>
      </c>
      <c r="D683" s="362">
        <f>SUM(D675:D679)</f>
        <v>1247</v>
      </c>
      <c r="E683" s="114">
        <f>SUM(E676:E680)</f>
        <v>1218</v>
      </c>
      <c r="F683" s="135">
        <f>E683/D683</f>
        <v>0.97674418604651159</v>
      </c>
      <c r="G683" s="362">
        <f>SUM(G675:G679)</f>
        <v>2144</v>
      </c>
      <c r="H683" s="114">
        <f>SUM(H676:H680)</f>
        <v>2003</v>
      </c>
      <c r="I683" s="135">
        <f>H683/G683</f>
        <v>0.93423507462686572</v>
      </c>
      <c r="J683" s="333">
        <f>SUM(J675:J679)</f>
        <v>1710</v>
      </c>
      <c r="K683" s="329">
        <f>SUM(K676:K680)</f>
        <v>1649</v>
      </c>
      <c r="L683" s="135">
        <f>K683/J683</f>
        <v>0.96432748538011692</v>
      </c>
      <c r="M683" s="362">
        <f>SUM(M675:M679)</f>
        <v>5101</v>
      </c>
      <c r="N683" s="114">
        <f>SUM(N676:N680)</f>
        <v>4870</v>
      </c>
      <c r="O683" s="135">
        <f>N683/M683</f>
        <v>0.95471476181140957</v>
      </c>
    </row>
    <row r="684" spans="2:28">
      <c r="C684" s="224" t="s">
        <v>74</v>
      </c>
      <c r="D684" s="363">
        <f>SUM(D670:D679)</f>
        <v>2594</v>
      </c>
      <c r="E684" s="364">
        <f>SUM(E671:E680)</f>
        <v>2564</v>
      </c>
      <c r="F684" s="361">
        <f>E684/D684</f>
        <v>0.98843484965304551</v>
      </c>
      <c r="G684" s="363">
        <f>SUM(G670:G679)</f>
        <v>4250</v>
      </c>
      <c r="H684" s="364">
        <f>SUM(H671:H680)</f>
        <v>4104</v>
      </c>
      <c r="I684" s="361">
        <f>H684/G684</f>
        <v>0.96564705882352941</v>
      </c>
      <c r="J684" s="363">
        <f>SUM(J670:J679)</f>
        <v>3488</v>
      </c>
      <c r="K684" s="364">
        <f>SUM(K671:K680)</f>
        <v>3368</v>
      </c>
      <c r="L684" s="361">
        <f>K684/J684</f>
        <v>0.9655963302752294</v>
      </c>
      <c r="M684" s="363">
        <f>SUM(M670:M679)</f>
        <v>10332</v>
      </c>
      <c r="N684" s="364">
        <f>SUM(N671:N680)</f>
        <v>10036</v>
      </c>
      <c r="O684" s="361">
        <f>N684/M684</f>
        <v>0.97135114208284945</v>
      </c>
    </row>
    <row r="685" spans="2:28">
      <c r="K685" s="94"/>
      <c r="L685" s="94"/>
    </row>
    <row r="686" spans="2:28" ht="17.399999999999999">
      <c r="B686" s="121"/>
      <c r="C686" s="130" t="s">
        <v>280</v>
      </c>
      <c r="D686" s="131"/>
      <c r="E686" s="131"/>
      <c r="F686" s="131"/>
      <c r="G686" s="131"/>
      <c r="H686" s="131"/>
      <c r="I686" s="131"/>
      <c r="J686" s="131"/>
      <c r="K686" s="131"/>
      <c r="L686" s="131"/>
    </row>
    <row r="687" spans="2:28" ht="17.399999999999999">
      <c r="C687" s="130" t="s">
        <v>65</v>
      </c>
      <c r="D687" s="131"/>
      <c r="E687" s="131"/>
      <c r="F687" s="131"/>
      <c r="G687" s="130"/>
      <c r="H687" s="131"/>
      <c r="I687" s="131"/>
      <c r="J687" s="131"/>
      <c r="K687" s="131"/>
      <c r="L687" s="131"/>
      <c r="Z687" s="128"/>
      <c r="AB687" s="128"/>
    </row>
    <row r="688" spans="2:28">
      <c r="C688" s="495" t="s">
        <v>66</v>
      </c>
      <c r="D688" s="791" t="s">
        <v>346</v>
      </c>
      <c r="E688" s="792"/>
      <c r="F688" s="793"/>
      <c r="G688" s="791" t="s">
        <v>90</v>
      </c>
      <c r="H688" s="792"/>
      <c r="I688" s="793"/>
      <c r="J688" s="791" t="s">
        <v>103</v>
      </c>
      <c r="K688" s="792"/>
      <c r="L688" s="793"/>
      <c r="M688" s="791" t="s">
        <v>52</v>
      </c>
      <c r="N688" s="792"/>
      <c r="O688" s="793"/>
      <c r="V688" s="128"/>
      <c r="W688" s="128"/>
      <c r="X688" s="128"/>
      <c r="Y688" s="128"/>
      <c r="Z688" s="128"/>
      <c r="AA688" s="128"/>
      <c r="AB688" s="128"/>
    </row>
    <row r="689" spans="3:15" ht="13.8" thickBot="1">
      <c r="C689" s="449"/>
      <c r="D689" s="491" t="s">
        <v>296</v>
      </c>
      <c r="E689" s="492" t="s">
        <v>297</v>
      </c>
      <c r="F689" s="493" t="s">
        <v>71</v>
      </c>
      <c r="G689" s="491" t="s">
        <v>296</v>
      </c>
      <c r="H689" s="492" t="s">
        <v>297</v>
      </c>
      <c r="I689" s="493" t="s">
        <v>71</v>
      </c>
      <c r="J689" s="491" t="s">
        <v>296</v>
      </c>
      <c r="K689" s="492" t="s">
        <v>297</v>
      </c>
      <c r="L689" s="493" t="s">
        <v>71</v>
      </c>
      <c r="M689" s="491" t="s">
        <v>296</v>
      </c>
      <c r="N689" s="492" t="s">
        <v>297</v>
      </c>
      <c r="O689" s="493" t="s">
        <v>71</v>
      </c>
    </row>
    <row r="690" spans="3:15" ht="13.8" thickTop="1">
      <c r="C690" s="222" t="str">
        <f>$A$397</f>
        <v>2012-13</v>
      </c>
      <c r="D690" s="452">
        <f>O340</f>
        <v>231</v>
      </c>
      <c r="E690" s="458"/>
      <c r="F690" s="484"/>
      <c r="G690" s="452">
        <f>P340</f>
        <v>403</v>
      </c>
      <c r="H690" s="458"/>
      <c r="I690" s="484"/>
      <c r="J690" s="452">
        <f>Q340</f>
        <v>341</v>
      </c>
      <c r="K690" s="458"/>
      <c r="L690" s="484"/>
      <c r="M690" s="485">
        <f t="shared" ref="M690:N695" si="169">G690+D690+J690</f>
        <v>975</v>
      </c>
      <c r="N690" s="458"/>
      <c r="O690" s="484"/>
    </row>
    <row r="691" spans="3:15">
      <c r="C691" s="222" t="str">
        <f>$A$398</f>
        <v>2013-14</v>
      </c>
      <c r="D691" s="452">
        <f>O318</f>
        <v>227</v>
      </c>
      <c r="E691" s="458">
        <f>O319</f>
        <v>289</v>
      </c>
      <c r="F691" s="488">
        <f>E691/D690</f>
        <v>1.251082251082251</v>
      </c>
      <c r="G691" s="452">
        <f>P318</f>
        <v>391</v>
      </c>
      <c r="H691" s="458">
        <f>P319</f>
        <v>389</v>
      </c>
      <c r="I691" s="488">
        <f>H691/G690</f>
        <v>0.9652605459057072</v>
      </c>
      <c r="J691" s="452">
        <f>Q318</f>
        <v>331</v>
      </c>
      <c r="K691" s="458">
        <f>Q319</f>
        <v>297</v>
      </c>
      <c r="L691" s="488">
        <f t="shared" ref="L691:L696" si="170">K691/J690</f>
        <v>0.87096774193548387</v>
      </c>
      <c r="M691" s="485">
        <f t="shared" si="169"/>
        <v>949</v>
      </c>
      <c r="N691" s="490">
        <f t="shared" si="169"/>
        <v>975</v>
      </c>
      <c r="O691" s="488">
        <f>N691/M690</f>
        <v>1</v>
      </c>
    </row>
    <row r="692" spans="3:15">
      <c r="C692" s="222" t="str">
        <f>$A$399</f>
        <v>2014-15</v>
      </c>
      <c r="D692" s="452">
        <f>O296</f>
        <v>267</v>
      </c>
      <c r="E692" s="458">
        <f>O297</f>
        <v>224</v>
      </c>
      <c r="F692" s="488">
        <f>E692/D691</f>
        <v>0.986784140969163</v>
      </c>
      <c r="G692" s="452">
        <f>P296</f>
        <v>387</v>
      </c>
      <c r="H692" s="458">
        <f>P297</f>
        <v>380</v>
      </c>
      <c r="I692" s="488">
        <f>H692/G691</f>
        <v>0.97186700767263423</v>
      </c>
      <c r="J692" s="452">
        <f>Q296</f>
        <v>313</v>
      </c>
      <c r="K692" s="458">
        <f>Q297</f>
        <v>305</v>
      </c>
      <c r="L692" s="488">
        <f t="shared" si="170"/>
        <v>0.9214501510574018</v>
      </c>
      <c r="M692" s="485">
        <f t="shared" si="169"/>
        <v>967</v>
      </c>
      <c r="N692" s="490">
        <f t="shared" si="169"/>
        <v>909</v>
      </c>
      <c r="O692" s="488">
        <f>N692/M691</f>
        <v>0.95785036880927288</v>
      </c>
    </row>
    <row r="693" spans="3:15">
      <c r="C693" s="222" t="str">
        <f>$A$400</f>
        <v>2015-16</v>
      </c>
      <c r="D693" s="452">
        <f>O274</f>
        <v>266</v>
      </c>
      <c r="E693" s="458">
        <f>O275</f>
        <v>267</v>
      </c>
      <c r="F693" s="488">
        <f>E693/D692</f>
        <v>1</v>
      </c>
      <c r="G693" s="452">
        <f>P274</f>
        <v>422</v>
      </c>
      <c r="H693" s="458">
        <f>P275</f>
        <v>362</v>
      </c>
      <c r="I693" s="488">
        <f>H693/G692</f>
        <v>0.93540051679586567</v>
      </c>
      <c r="J693" s="452">
        <f>Q274</f>
        <v>316</v>
      </c>
      <c r="K693" s="458">
        <f>Q275</f>
        <v>315</v>
      </c>
      <c r="L693" s="488">
        <f t="shared" si="170"/>
        <v>1.0063897763578276</v>
      </c>
      <c r="M693" s="485">
        <f t="shared" si="169"/>
        <v>1004</v>
      </c>
      <c r="N693" s="490">
        <f t="shared" si="169"/>
        <v>944</v>
      </c>
      <c r="O693" s="488">
        <f>N693/M692</f>
        <v>0.97621509824198549</v>
      </c>
    </row>
    <row r="694" spans="3:15">
      <c r="C694" s="222" t="str">
        <f>$A$401</f>
        <v>2016-17</v>
      </c>
      <c r="D694" s="452">
        <f>O252</f>
        <v>258</v>
      </c>
      <c r="E694" s="458">
        <f>O253</f>
        <v>255</v>
      </c>
      <c r="F694" s="488">
        <f>E694/D693</f>
        <v>0.95864661654135341</v>
      </c>
      <c r="G694" s="452">
        <f>P252</f>
        <v>443</v>
      </c>
      <c r="H694" s="458">
        <f>P253</f>
        <v>403</v>
      </c>
      <c r="I694" s="488">
        <f>H694/G693</f>
        <v>0.95497630331753558</v>
      </c>
      <c r="J694" s="452">
        <f>Q252</f>
        <v>351</v>
      </c>
      <c r="K694" s="458">
        <f>Q253</f>
        <v>317</v>
      </c>
      <c r="L694" s="488">
        <f t="shared" si="170"/>
        <v>1.0031645569620253</v>
      </c>
      <c r="M694" s="485">
        <f t="shared" si="169"/>
        <v>1052</v>
      </c>
      <c r="N694" s="490">
        <f t="shared" si="169"/>
        <v>975</v>
      </c>
      <c r="O694" s="488">
        <f>N694/M693</f>
        <v>0.9711155378486056</v>
      </c>
    </row>
    <row r="695" spans="3:15">
      <c r="C695" s="222" t="str">
        <f>$A$402</f>
        <v>2017-18</v>
      </c>
      <c r="D695" s="485">
        <f>O230</f>
        <v>253</v>
      </c>
      <c r="E695" s="486">
        <f>O231</f>
        <v>261</v>
      </c>
      <c r="F695" s="488">
        <f>E695/D694</f>
        <v>1.0116279069767442</v>
      </c>
      <c r="G695" s="485">
        <f>P230</f>
        <v>412</v>
      </c>
      <c r="H695" s="486">
        <f>P231</f>
        <v>422</v>
      </c>
      <c r="I695" s="488">
        <f>H695/G694</f>
        <v>0.95259593679458243</v>
      </c>
      <c r="J695" s="485">
        <f>Q230</f>
        <v>327</v>
      </c>
      <c r="K695" s="486">
        <f>Q231</f>
        <v>351</v>
      </c>
      <c r="L695" s="488">
        <f t="shared" si="170"/>
        <v>1</v>
      </c>
      <c r="M695" s="485">
        <f>G695+D695+J695</f>
        <v>992</v>
      </c>
      <c r="N695" s="490">
        <f t="shared" si="169"/>
        <v>1034</v>
      </c>
      <c r="O695" s="488">
        <f>N695/M694</f>
        <v>0.9828897338403042</v>
      </c>
    </row>
    <row r="696" spans="3:15">
      <c r="C696" s="222" t="str">
        <f>$A$403</f>
        <v>2018-19</v>
      </c>
      <c r="D696" s="485">
        <f>O208</f>
        <v>273</v>
      </c>
      <c r="E696" s="486">
        <f>O209</f>
        <v>251</v>
      </c>
      <c r="F696" s="488">
        <f t="shared" ref="F696:F702" si="171">E696/D695</f>
        <v>0.9920948616600791</v>
      </c>
      <c r="G696" s="485">
        <f>P208</f>
        <v>407</v>
      </c>
      <c r="H696" s="486">
        <f>P209</f>
        <v>415</v>
      </c>
      <c r="I696" s="488">
        <f t="shared" ref="I696:I702" si="172">H696/G695</f>
        <v>1.0072815533980584</v>
      </c>
      <c r="J696" s="489">
        <f>Q208</f>
        <v>338</v>
      </c>
      <c r="K696" s="490">
        <f>Q209</f>
        <v>329</v>
      </c>
      <c r="L696" s="488">
        <f t="shared" si="170"/>
        <v>1.0061162079510704</v>
      </c>
      <c r="M696" s="489">
        <f>G696+D696+J696</f>
        <v>1018</v>
      </c>
      <c r="N696" s="490">
        <f t="shared" ref="N696:N701" si="173">H696+E696+K696</f>
        <v>995</v>
      </c>
      <c r="O696" s="488">
        <f t="shared" ref="O696:O702" si="174">N696/M695</f>
        <v>1.003024193548387</v>
      </c>
    </row>
    <row r="697" spans="3:15">
      <c r="C697" s="222" t="str">
        <f>$A$404</f>
        <v>2019-20</v>
      </c>
      <c r="D697" s="194">
        <f>O186</f>
        <v>290</v>
      </c>
      <c r="E697" s="29">
        <f>O187</f>
        <v>263</v>
      </c>
      <c r="F697" s="135">
        <f t="shared" si="171"/>
        <v>0.96336996336996339</v>
      </c>
      <c r="G697" s="194">
        <f>P186</f>
        <v>406</v>
      </c>
      <c r="H697" s="29">
        <f>P187</f>
        <v>398</v>
      </c>
      <c r="I697" s="135">
        <f t="shared" si="172"/>
        <v>0.97788697788697787</v>
      </c>
      <c r="J697" s="333">
        <f>Q186</f>
        <v>344</v>
      </c>
      <c r="K697" s="329">
        <f>Q187</f>
        <v>336</v>
      </c>
      <c r="L697" s="135">
        <f t="shared" ref="L697:L703" si="175">K697/J696</f>
        <v>0.99408284023668636</v>
      </c>
      <c r="M697" s="333">
        <f t="shared" ref="M697:M702" si="176">G697+D697+J697</f>
        <v>1040</v>
      </c>
      <c r="N697" s="329">
        <f t="shared" si="173"/>
        <v>997</v>
      </c>
      <c r="O697" s="135">
        <f t="shared" si="174"/>
        <v>0.97937131630648333</v>
      </c>
    </row>
    <row r="698" spans="3:15">
      <c r="C698" s="222" t="str">
        <f>$A$405</f>
        <v>2020-21</v>
      </c>
      <c r="D698" s="194">
        <f>O164</f>
        <v>240</v>
      </c>
      <c r="E698" s="29">
        <f>O165</f>
        <v>294</v>
      </c>
      <c r="F698" s="135">
        <f t="shared" si="171"/>
        <v>1.0137931034482759</v>
      </c>
      <c r="G698" s="194">
        <f>P164</f>
        <v>433</v>
      </c>
      <c r="H698" s="29">
        <f>P165</f>
        <v>404</v>
      </c>
      <c r="I698" s="135">
        <f t="shared" si="172"/>
        <v>0.99507389162561577</v>
      </c>
      <c r="J698" s="333">
        <f>Q164</f>
        <v>359</v>
      </c>
      <c r="K698" s="329">
        <f>Q165</f>
        <v>325</v>
      </c>
      <c r="L698" s="135">
        <f t="shared" si="175"/>
        <v>0.94476744186046513</v>
      </c>
      <c r="M698" s="333">
        <f t="shared" si="176"/>
        <v>1032</v>
      </c>
      <c r="N698" s="329">
        <f t="shared" si="173"/>
        <v>1023</v>
      </c>
      <c r="O698" s="135">
        <f t="shared" si="174"/>
        <v>0.9836538461538461</v>
      </c>
    </row>
    <row r="699" spans="3:15">
      <c r="C699" s="222" t="str">
        <f>$A$406</f>
        <v>2021-22</v>
      </c>
      <c r="D699" s="194">
        <f>O$142</f>
        <v>266</v>
      </c>
      <c r="E699" s="29">
        <f>O$143</f>
        <v>231</v>
      </c>
      <c r="F699" s="135">
        <f t="shared" si="171"/>
        <v>0.96250000000000002</v>
      </c>
      <c r="G699" s="194">
        <f>P$142</f>
        <v>425</v>
      </c>
      <c r="H699" s="29">
        <f>P$143</f>
        <v>401</v>
      </c>
      <c r="I699" s="135">
        <f t="shared" si="172"/>
        <v>0.92609699769053122</v>
      </c>
      <c r="J699" s="333">
        <f>Q142</f>
        <v>315</v>
      </c>
      <c r="K699" s="329">
        <f>Q143</f>
        <v>351</v>
      </c>
      <c r="L699" s="135">
        <f t="shared" si="175"/>
        <v>0.97771587743732591</v>
      </c>
      <c r="M699" s="333">
        <f t="shared" si="176"/>
        <v>1006</v>
      </c>
      <c r="N699" s="329">
        <f t="shared" si="173"/>
        <v>983</v>
      </c>
      <c r="O699" s="135">
        <f t="shared" si="174"/>
        <v>0.95251937984496127</v>
      </c>
    </row>
    <row r="700" spans="3:15">
      <c r="C700" s="222" t="str">
        <f>$A$407</f>
        <v>2022-23</v>
      </c>
      <c r="D700" s="194">
        <f>O120</f>
        <v>253</v>
      </c>
      <c r="E700" s="29">
        <f>O$121</f>
        <v>267</v>
      </c>
      <c r="F700" s="135">
        <f t="shared" si="171"/>
        <v>1.0037593984962405</v>
      </c>
      <c r="G700" s="194">
        <f>P120</f>
        <v>413</v>
      </c>
      <c r="H700" s="29">
        <f>P$121</f>
        <v>423</v>
      </c>
      <c r="I700" s="135">
        <f t="shared" si="172"/>
        <v>0.99529411764705877</v>
      </c>
      <c r="J700" s="333">
        <f>Q120</f>
        <v>317</v>
      </c>
      <c r="K700" s="329">
        <f>Q121</f>
        <v>293</v>
      </c>
      <c r="L700" s="135">
        <f t="shared" si="175"/>
        <v>0.93015873015873018</v>
      </c>
      <c r="M700" s="333">
        <f t="shared" si="176"/>
        <v>983</v>
      </c>
      <c r="N700" s="329">
        <f t="shared" si="173"/>
        <v>983</v>
      </c>
      <c r="O700" s="135">
        <f t="shared" si="174"/>
        <v>0.97713717693836977</v>
      </c>
    </row>
    <row r="701" spans="3:15">
      <c r="C701" s="222" t="str">
        <f>$A$408</f>
        <v>2023-24</v>
      </c>
      <c r="D701" s="194">
        <f>O98</f>
        <v>236</v>
      </c>
      <c r="E701" s="29">
        <f>O99</f>
        <v>244</v>
      </c>
      <c r="F701" s="135">
        <f t="shared" si="171"/>
        <v>0.96442687747035571</v>
      </c>
      <c r="G701" s="194">
        <f>P98</f>
        <v>418</v>
      </c>
      <c r="H701" s="29">
        <f>P99</f>
        <v>404</v>
      </c>
      <c r="I701" s="135">
        <f t="shared" si="172"/>
        <v>0.97820823244552058</v>
      </c>
      <c r="J701" s="333">
        <f>Q98</f>
        <v>370</v>
      </c>
      <c r="K701" s="329">
        <f>Q99</f>
        <v>306</v>
      </c>
      <c r="L701" s="135">
        <f t="shared" si="175"/>
        <v>0.96529968454258674</v>
      </c>
      <c r="M701" s="333">
        <f t="shared" si="176"/>
        <v>1024</v>
      </c>
      <c r="N701" s="329">
        <f t="shared" si="173"/>
        <v>954</v>
      </c>
      <c r="O701" s="135">
        <f t="shared" si="174"/>
        <v>0.97049847405900302</v>
      </c>
    </row>
    <row r="702" spans="3:15">
      <c r="C702" s="222" t="str">
        <f>$A$409</f>
        <v>2024-25</v>
      </c>
      <c r="D702" s="194">
        <f>O76</f>
        <v>242</v>
      </c>
      <c r="E702" s="29">
        <f>O77</f>
        <v>233</v>
      </c>
      <c r="F702" s="135">
        <f t="shared" si="171"/>
        <v>0.98728813559322037</v>
      </c>
      <c r="G702" s="194">
        <f>P77</f>
        <v>405</v>
      </c>
      <c r="H702" s="29">
        <f>P77</f>
        <v>405</v>
      </c>
      <c r="I702" s="135">
        <f t="shared" si="172"/>
        <v>0.96889952153110048</v>
      </c>
      <c r="J702" s="333">
        <f>Q76</f>
        <v>292</v>
      </c>
      <c r="K702" s="329">
        <f>Q77</f>
        <v>359</v>
      </c>
      <c r="L702" s="135">
        <f t="shared" si="175"/>
        <v>0.97027027027027024</v>
      </c>
      <c r="M702" s="333">
        <f t="shared" si="176"/>
        <v>939</v>
      </c>
      <c r="N702" s="329">
        <f>H702+E702+K702</f>
        <v>997</v>
      </c>
      <c r="O702" s="135">
        <f t="shared" si="174"/>
        <v>0.9736328125</v>
      </c>
    </row>
    <row r="703" spans="3:15" ht="13.8" thickBot="1">
      <c r="C703" s="418" t="str">
        <f>$A$410</f>
        <v>2025-26</v>
      </c>
      <c r="D703" s="159">
        <f>O24</f>
        <v>234</v>
      </c>
      <c r="E703" s="136">
        <f>O25</f>
        <v>247</v>
      </c>
      <c r="F703" s="195">
        <f>E703/D702</f>
        <v>1.0206611570247934</v>
      </c>
      <c r="G703" s="159">
        <f>P24</f>
        <v>351</v>
      </c>
      <c r="H703" s="136">
        <f>P25</f>
        <v>396</v>
      </c>
      <c r="I703" s="195">
        <f>H703/G702</f>
        <v>0.97777777777777775</v>
      </c>
      <c r="J703" s="330">
        <f>Q24</f>
        <v>355</v>
      </c>
      <c r="K703" s="332">
        <f>Q25</f>
        <v>285</v>
      </c>
      <c r="L703" s="195">
        <f t="shared" si="175"/>
        <v>0.97602739726027399</v>
      </c>
      <c r="M703" s="330">
        <f>G703+D703+J703</f>
        <v>940</v>
      </c>
      <c r="N703" s="332">
        <f>H703+E703+K703</f>
        <v>928</v>
      </c>
      <c r="O703" s="195">
        <f>N703/M701</f>
        <v>0.90625</v>
      </c>
    </row>
    <row r="704" spans="3:15" ht="13.8" thickTop="1">
      <c r="C704" s="222"/>
      <c r="D704" s="194"/>
      <c r="E704" s="29"/>
      <c r="F704" s="226"/>
      <c r="G704" s="194"/>
      <c r="H704" s="29"/>
      <c r="I704" s="226"/>
      <c r="J704" s="333"/>
      <c r="K704" s="329"/>
      <c r="L704" s="226"/>
      <c r="M704" s="194"/>
      <c r="N704" s="29"/>
      <c r="O704" s="226"/>
    </row>
    <row r="705" spans="2:15">
      <c r="C705" s="357" t="s">
        <v>72</v>
      </c>
      <c r="D705" s="362">
        <f>SUM(D700:D702)</f>
        <v>731</v>
      </c>
      <c r="E705" s="114">
        <f>SUM(E701:E703)</f>
        <v>724</v>
      </c>
      <c r="F705" s="135">
        <f>E705/D705</f>
        <v>0.99042407660738718</v>
      </c>
      <c r="G705" s="362">
        <f>SUM(G700:G702)</f>
        <v>1236</v>
      </c>
      <c r="H705" s="114">
        <f>SUM(H701:H703)</f>
        <v>1205</v>
      </c>
      <c r="I705" s="135">
        <f>H705/G705</f>
        <v>0.97491909385113273</v>
      </c>
      <c r="J705" s="333">
        <f>SUM(J700:J702)</f>
        <v>979</v>
      </c>
      <c r="K705" s="329">
        <f>SUM(K701:K703)</f>
        <v>950</v>
      </c>
      <c r="L705" s="135">
        <f>K705/J705</f>
        <v>0.97037793667007155</v>
      </c>
      <c r="M705" s="362">
        <f>SUM(M700:M702)</f>
        <v>2946</v>
      </c>
      <c r="N705" s="114">
        <f>SUM(N701:N703)</f>
        <v>2879</v>
      </c>
      <c r="O705" s="135">
        <f>N705/M705</f>
        <v>0.97725729803122874</v>
      </c>
    </row>
    <row r="706" spans="2:15">
      <c r="C706" s="357" t="s">
        <v>73</v>
      </c>
      <c r="D706" s="362">
        <f>SUM(D698:D702)</f>
        <v>1237</v>
      </c>
      <c r="E706" s="114">
        <f>SUM(E699:E703)</f>
        <v>1222</v>
      </c>
      <c r="F706" s="135">
        <f>E706/D706</f>
        <v>0.98787388843977364</v>
      </c>
      <c r="G706" s="362">
        <f>SUM(G698:G702)</f>
        <v>2094</v>
      </c>
      <c r="H706" s="114">
        <f>SUM(H699:H703)</f>
        <v>2029</v>
      </c>
      <c r="I706" s="135">
        <f>H706/G706</f>
        <v>0.96895893027698188</v>
      </c>
      <c r="J706" s="333">
        <f>SUM(J698:J702)</f>
        <v>1653</v>
      </c>
      <c r="K706" s="329">
        <f>SUM(K699:K703)</f>
        <v>1594</v>
      </c>
      <c r="L706" s="135">
        <f>K706/J706</f>
        <v>0.96430732002419839</v>
      </c>
      <c r="M706" s="362">
        <f>SUM(M698:M702)</f>
        <v>4984</v>
      </c>
      <c r="N706" s="114">
        <f>SUM(N699:N703)</f>
        <v>4845</v>
      </c>
      <c r="O706" s="135">
        <f>N706/M706</f>
        <v>0.9721107544141252</v>
      </c>
    </row>
    <row r="707" spans="2:15">
      <c r="C707" s="224" t="s">
        <v>74</v>
      </c>
      <c r="D707" s="363">
        <f>SUM(D693:D702)</f>
        <v>2577</v>
      </c>
      <c r="E707" s="364">
        <f>SUM(E694:E703)</f>
        <v>2546</v>
      </c>
      <c r="F707" s="361">
        <f>E707/D707</f>
        <v>0.98797050834303457</v>
      </c>
      <c r="G707" s="363">
        <f>SUM(G693:G702)</f>
        <v>4184</v>
      </c>
      <c r="H707" s="364">
        <f>SUM(H694:H703)</f>
        <v>4071</v>
      </c>
      <c r="I707" s="361">
        <f>H707/G707</f>
        <v>0.97299235181644361</v>
      </c>
      <c r="J707" s="363">
        <f>SUM(J693:J702)</f>
        <v>3329</v>
      </c>
      <c r="K707" s="364">
        <f>SUM(K694:K703)</f>
        <v>3252</v>
      </c>
      <c r="L707" s="361">
        <f>K707/J707</f>
        <v>0.97686993091018326</v>
      </c>
      <c r="M707" s="363">
        <f>SUM(M693:M702)</f>
        <v>10090</v>
      </c>
      <c r="N707" s="364">
        <f>SUM(N694:N703)</f>
        <v>9869</v>
      </c>
      <c r="O707" s="361">
        <f>N707/M707</f>
        <v>0.97809712586719522</v>
      </c>
    </row>
    <row r="709" spans="2:15" ht="17.399999999999999">
      <c r="B709" s="121"/>
      <c r="C709" s="130" t="s">
        <v>281</v>
      </c>
      <c r="D709" s="131"/>
      <c r="E709" s="131"/>
      <c r="F709" s="131"/>
      <c r="G709" s="131"/>
      <c r="H709" s="131"/>
      <c r="I709" s="131"/>
      <c r="J709" s="131"/>
      <c r="K709" s="131"/>
      <c r="L709" s="131"/>
    </row>
    <row r="710" spans="2:15" ht="17.399999999999999">
      <c r="C710" s="130" t="s">
        <v>65</v>
      </c>
      <c r="D710" s="131"/>
      <c r="E710" s="131"/>
      <c r="F710" s="131"/>
      <c r="G710" s="130"/>
      <c r="H710" s="131"/>
      <c r="I710" s="131"/>
      <c r="J710" s="131"/>
      <c r="K710" s="131"/>
      <c r="L710" s="131"/>
    </row>
    <row r="711" spans="2:15">
      <c r="C711" s="495" t="s">
        <v>66</v>
      </c>
      <c r="D711" s="791" t="s">
        <v>346</v>
      </c>
      <c r="E711" s="792"/>
      <c r="F711" s="793"/>
      <c r="G711" s="791" t="s">
        <v>90</v>
      </c>
      <c r="H711" s="792"/>
      <c r="I711" s="793"/>
      <c r="J711" s="791" t="s">
        <v>103</v>
      </c>
      <c r="K711" s="792"/>
      <c r="L711" s="793"/>
      <c r="M711" s="791" t="s">
        <v>52</v>
      </c>
      <c r="N711" s="792"/>
      <c r="O711" s="793"/>
    </row>
    <row r="712" spans="2:15" ht="13.8" thickBot="1">
      <c r="C712" s="499"/>
      <c r="D712" s="491" t="s">
        <v>297</v>
      </c>
      <c r="E712" s="492" t="s">
        <v>298</v>
      </c>
      <c r="F712" s="493" t="s">
        <v>71</v>
      </c>
      <c r="G712" s="491" t="s">
        <v>297</v>
      </c>
      <c r="H712" s="492" t="s">
        <v>298</v>
      </c>
      <c r="I712" s="493" t="s">
        <v>71</v>
      </c>
      <c r="J712" s="491" t="s">
        <v>297</v>
      </c>
      <c r="K712" s="492" t="s">
        <v>298</v>
      </c>
      <c r="L712" s="493" t="s">
        <v>79</v>
      </c>
      <c r="M712" s="491" t="s">
        <v>297</v>
      </c>
      <c r="N712" s="492" t="s">
        <v>298</v>
      </c>
      <c r="O712" s="493" t="s">
        <v>71</v>
      </c>
    </row>
    <row r="713" spans="2:15" ht="13.8" thickTop="1">
      <c r="C713" s="222" t="str">
        <f>$A$397</f>
        <v>2012-13</v>
      </c>
      <c r="D713" s="452">
        <f>O341</f>
        <v>269</v>
      </c>
      <c r="E713" s="458"/>
      <c r="F713" s="484"/>
      <c r="G713" s="452">
        <f>P341</f>
        <v>364</v>
      </c>
      <c r="H713" s="458"/>
      <c r="I713" s="484"/>
      <c r="J713" s="452">
        <f>Q341</f>
        <v>278</v>
      </c>
      <c r="K713" s="458"/>
      <c r="L713" s="484"/>
      <c r="M713" s="489">
        <f t="shared" ref="M713:N718" si="177">G713+D713+J713</f>
        <v>911</v>
      </c>
      <c r="N713" s="458"/>
      <c r="O713" s="484"/>
    </row>
    <row r="714" spans="2:15">
      <c r="C714" s="222" t="str">
        <f>$A$398</f>
        <v>2013-14</v>
      </c>
      <c r="D714" s="452">
        <f>O319</f>
        <v>289</v>
      </c>
      <c r="E714" s="458">
        <f>O320</f>
        <v>205</v>
      </c>
      <c r="F714" s="488">
        <f>E714/D713</f>
        <v>0.76208178438661711</v>
      </c>
      <c r="G714" s="452">
        <f>P319</f>
        <v>389</v>
      </c>
      <c r="H714" s="458">
        <f>P320</f>
        <v>380</v>
      </c>
      <c r="I714" s="488">
        <f>H714/G713</f>
        <v>1.043956043956044</v>
      </c>
      <c r="J714" s="452">
        <f>Q319</f>
        <v>297</v>
      </c>
      <c r="K714" s="458">
        <f>Q320</f>
        <v>280</v>
      </c>
      <c r="L714" s="488">
        <f t="shared" ref="L714:L719" si="178">K714/J713</f>
        <v>1.0071942446043165</v>
      </c>
      <c r="M714" s="489">
        <f t="shared" si="177"/>
        <v>975</v>
      </c>
      <c r="N714" s="490">
        <f t="shared" si="177"/>
        <v>865</v>
      </c>
      <c r="O714" s="488">
        <f>N714/M713</f>
        <v>0.94950603732162464</v>
      </c>
    </row>
    <row r="715" spans="2:15">
      <c r="C715" s="222" t="str">
        <f>$A$399</f>
        <v>2014-15</v>
      </c>
      <c r="D715" s="452">
        <f>O297</f>
        <v>224</v>
      </c>
      <c r="E715" s="458">
        <f>O298</f>
        <v>276</v>
      </c>
      <c r="F715" s="488">
        <f>E715/D714</f>
        <v>0.95501730103806226</v>
      </c>
      <c r="G715" s="452">
        <f>P297</f>
        <v>380</v>
      </c>
      <c r="H715" s="458">
        <f>P298</f>
        <v>371</v>
      </c>
      <c r="I715" s="488">
        <f>H715/G714</f>
        <v>0.95372750642673521</v>
      </c>
      <c r="J715" s="452">
        <f>Q297</f>
        <v>305</v>
      </c>
      <c r="K715" s="458">
        <f>Q298</f>
        <v>278</v>
      </c>
      <c r="L715" s="488">
        <f t="shared" si="178"/>
        <v>0.93602693602693599</v>
      </c>
      <c r="M715" s="489">
        <f t="shared" si="177"/>
        <v>909</v>
      </c>
      <c r="N715" s="490">
        <f t="shared" si="177"/>
        <v>925</v>
      </c>
      <c r="O715" s="488">
        <f>N715/M714</f>
        <v>0.94871794871794868</v>
      </c>
    </row>
    <row r="716" spans="2:15">
      <c r="C716" s="222" t="str">
        <f>$A$400</f>
        <v>2015-16</v>
      </c>
      <c r="D716" s="452">
        <f>O275</f>
        <v>267</v>
      </c>
      <c r="E716" s="458">
        <f>O276</f>
        <v>211</v>
      </c>
      <c r="F716" s="488">
        <f>E716/D715</f>
        <v>0.9419642857142857</v>
      </c>
      <c r="G716" s="452">
        <f>P275</f>
        <v>362</v>
      </c>
      <c r="H716" s="458">
        <f>P276</f>
        <v>360</v>
      </c>
      <c r="I716" s="488">
        <f>H716/G715</f>
        <v>0.94736842105263153</v>
      </c>
      <c r="J716" s="452">
        <f>Q275</f>
        <v>315</v>
      </c>
      <c r="K716" s="458">
        <f>Q276</f>
        <v>306</v>
      </c>
      <c r="L716" s="488">
        <f t="shared" si="178"/>
        <v>1.0032786885245901</v>
      </c>
      <c r="M716" s="489">
        <f t="shared" si="177"/>
        <v>944</v>
      </c>
      <c r="N716" s="490">
        <f t="shared" si="177"/>
        <v>877</v>
      </c>
      <c r="O716" s="488">
        <f>N716/M715</f>
        <v>0.96479647964796478</v>
      </c>
    </row>
    <row r="717" spans="2:15">
      <c r="C717" s="222" t="str">
        <f>$A$401</f>
        <v>2016-17</v>
      </c>
      <c r="D717" s="452">
        <f>O253</f>
        <v>255</v>
      </c>
      <c r="E717" s="458">
        <f>O254</f>
        <v>247</v>
      </c>
      <c r="F717" s="488">
        <f>E717/D716</f>
        <v>0.92509363295880154</v>
      </c>
      <c r="G717" s="452">
        <f>P253</f>
        <v>403</v>
      </c>
      <c r="H717" s="458">
        <f>P254</f>
        <v>340</v>
      </c>
      <c r="I717" s="488">
        <f>H717/G716</f>
        <v>0.93922651933701662</v>
      </c>
      <c r="J717" s="452">
        <f>Q253</f>
        <v>317</v>
      </c>
      <c r="K717" s="458">
        <f>Q254</f>
        <v>293</v>
      </c>
      <c r="L717" s="488">
        <f t="shared" si="178"/>
        <v>0.93015873015873018</v>
      </c>
      <c r="M717" s="489">
        <f t="shared" si="177"/>
        <v>975</v>
      </c>
      <c r="N717" s="490">
        <f t="shared" si="177"/>
        <v>880</v>
      </c>
      <c r="O717" s="488">
        <f>N717/M716</f>
        <v>0.93220338983050843</v>
      </c>
    </row>
    <row r="718" spans="2:15">
      <c r="C718" s="222" t="str">
        <f>$A$402</f>
        <v>2017-18</v>
      </c>
      <c r="D718" s="485">
        <f>O231</f>
        <v>261</v>
      </c>
      <c r="E718" s="486">
        <f>O232</f>
        <v>243</v>
      </c>
      <c r="F718" s="488">
        <f>E718/D717</f>
        <v>0.95294117647058818</v>
      </c>
      <c r="G718" s="485">
        <f>P231</f>
        <v>422</v>
      </c>
      <c r="H718" s="486">
        <f>P232</f>
        <v>388</v>
      </c>
      <c r="I718" s="488">
        <f>H718/G717</f>
        <v>0.96277915632754341</v>
      </c>
      <c r="J718" s="489">
        <f>Q231</f>
        <v>351</v>
      </c>
      <c r="K718" s="490">
        <f>Q232</f>
        <v>308</v>
      </c>
      <c r="L718" s="488">
        <f t="shared" si="178"/>
        <v>0.97160883280757093</v>
      </c>
      <c r="M718" s="489">
        <f>G718+D718+J718</f>
        <v>1034</v>
      </c>
      <c r="N718" s="490">
        <f t="shared" si="177"/>
        <v>939</v>
      </c>
      <c r="O718" s="488">
        <f>N718/M717</f>
        <v>0.96307692307692305</v>
      </c>
    </row>
    <row r="719" spans="2:15">
      <c r="C719" s="222" t="str">
        <f>$A$403</f>
        <v>2018-19</v>
      </c>
      <c r="D719" s="485">
        <f>O209</f>
        <v>251</v>
      </c>
      <c r="E719" s="486">
        <f>O210</f>
        <v>249</v>
      </c>
      <c r="F719" s="488">
        <f t="shared" ref="F719:F725" si="179">E719/D718</f>
        <v>0.95402298850574707</v>
      </c>
      <c r="G719" s="485">
        <f>P209</f>
        <v>415</v>
      </c>
      <c r="H719" s="486">
        <f>P210</f>
        <v>407</v>
      </c>
      <c r="I719" s="488">
        <f t="shared" ref="I719:I725" si="180">H719/G718</f>
        <v>0.96445497630331756</v>
      </c>
      <c r="J719" s="489">
        <f>Q209</f>
        <v>329</v>
      </c>
      <c r="K719" s="490">
        <f>Q210</f>
        <v>338</v>
      </c>
      <c r="L719" s="488">
        <f t="shared" si="178"/>
        <v>0.96296296296296291</v>
      </c>
      <c r="M719" s="489">
        <f t="shared" ref="M719:M724" si="181">G719+D719+J719</f>
        <v>995</v>
      </c>
      <c r="N719" s="490">
        <f t="shared" ref="N719:N724" si="182">H719+E719+K719</f>
        <v>994</v>
      </c>
      <c r="O719" s="488">
        <f t="shared" ref="O719:O725" si="183">N719/M718</f>
        <v>0.96131528046421666</v>
      </c>
    </row>
    <row r="720" spans="2:15">
      <c r="C720" s="222" t="str">
        <f>$A$404</f>
        <v>2019-20</v>
      </c>
      <c r="D720" s="496">
        <f>O187</f>
        <v>263</v>
      </c>
      <c r="E720" s="487">
        <f>O188</f>
        <v>248</v>
      </c>
      <c r="F720" s="497">
        <f t="shared" si="179"/>
        <v>0.98804780876494025</v>
      </c>
      <c r="G720" s="496">
        <f>P187</f>
        <v>398</v>
      </c>
      <c r="H720" s="487">
        <f>P188</f>
        <v>394</v>
      </c>
      <c r="I720" s="497">
        <f t="shared" si="180"/>
        <v>0.94939759036144578</v>
      </c>
      <c r="J720" s="498">
        <f>Q187</f>
        <v>336</v>
      </c>
      <c r="K720" s="494">
        <f>Q188</f>
        <v>329</v>
      </c>
      <c r="L720" s="497">
        <f t="shared" ref="L720:L726" si="184">K720/J719</f>
        <v>1</v>
      </c>
      <c r="M720" s="498">
        <f t="shared" si="181"/>
        <v>997</v>
      </c>
      <c r="N720" s="494">
        <f t="shared" si="182"/>
        <v>971</v>
      </c>
      <c r="O720" s="497">
        <f t="shared" si="183"/>
        <v>0.97587939698492465</v>
      </c>
    </row>
    <row r="721" spans="3:15">
      <c r="C721" s="222" t="str">
        <f>$A$405</f>
        <v>2020-21</v>
      </c>
      <c r="D721" s="194">
        <f>O165</f>
        <v>294</v>
      </c>
      <c r="E721" s="29">
        <f>O166</f>
        <v>258</v>
      </c>
      <c r="F721" s="135">
        <f t="shared" si="179"/>
        <v>0.98098859315589348</v>
      </c>
      <c r="G721" s="194">
        <f>P165</f>
        <v>404</v>
      </c>
      <c r="H721" s="29">
        <f>P166</f>
        <v>391</v>
      </c>
      <c r="I721" s="135">
        <f t="shared" si="180"/>
        <v>0.98241206030150752</v>
      </c>
      <c r="J721" s="333">
        <f>Q165</f>
        <v>325</v>
      </c>
      <c r="K721" s="329">
        <f>Q166</f>
        <v>329</v>
      </c>
      <c r="L721" s="135">
        <f t="shared" si="184"/>
        <v>0.97916666666666663</v>
      </c>
      <c r="M721" s="333">
        <f t="shared" si="181"/>
        <v>1023</v>
      </c>
      <c r="N721" s="329">
        <f t="shared" si="182"/>
        <v>978</v>
      </c>
      <c r="O721" s="135">
        <f t="shared" si="183"/>
        <v>0.98094282848545633</v>
      </c>
    </row>
    <row r="722" spans="3:15">
      <c r="C722" s="222" t="str">
        <f>$A$406</f>
        <v>2021-22</v>
      </c>
      <c r="D722" s="194">
        <f>O$143</f>
        <v>231</v>
      </c>
      <c r="E722" s="29">
        <f>O$144</f>
        <v>286</v>
      </c>
      <c r="F722" s="135">
        <f t="shared" si="179"/>
        <v>0.97278911564625847</v>
      </c>
      <c r="G722" s="194">
        <f>P$143</f>
        <v>401</v>
      </c>
      <c r="H722" s="29">
        <f>P$144</f>
        <v>376</v>
      </c>
      <c r="I722" s="135">
        <f t="shared" si="180"/>
        <v>0.93069306930693074</v>
      </c>
      <c r="J722" s="333">
        <f>Q143</f>
        <v>351</v>
      </c>
      <c r="K722" s="329">
        <f>Q144</f>
        <v>313</v>
      </c>
      <c r="L722" s="135">
        <f t="shared" si="184"/>
        <v>0.96307692307692305</v>
      </c>
      <c r="M722" s="333">
        <f t="shared" si="181"/>
        <v>983</v>
      </c>
      <c r="N722" s="329">
        <f t="shared" si="182"/>
        <v>975</v>
      </c>
      <c r="O722" s="135">
        <f t="shared" si="183"/>
        <v>0.95307917888563054</v>
      </c>
    </row>
    <row r="723" spans="3:15">
      <c r="C723" s="222" t="str">
        <f>$A$407</f>
        <v>2022-23</v>
      </c>
      <c r="D723" s="194">
        <f>O121</f>
        <v>267</v>
      </c>
      <c r="E723" s="29">
        <f>O$122</f>
        <v>228</v>
      </c>
      <c r="F723" s="135">
        <f t="shared" si="179"/>
        <v>0.98701298701298701</v>
      </c>
      <c r="G723" s="194">
        <f>P121</f>
        <v>423</v>
      </c>
      <c r="H723" s="29">
        <f>P$122</f>
        <v>370</v>
      </c>
      <c r="I723" s="135">
        <f t="shared" si="180"/>
        <v>0.92269326683291775</v>
      </c>
      <c r="J723" s="333">
        <f>Q121</f>
        <v>293</v>
      </c>
      <c r="K723" s="329">
        <f>Q122</f>
        <v>336</v>
      </c>
      <c r="L723" s="135">
        <f t="shared" si="184"/>
        <v>0.95726495726495731</v>
      </c>
      <c r="M723" s="333">
        <f t="shared" si="181"/>
        <v>983</v>
      </c>
      <c r="N723" s="329">
        <f t="shared" si="182"/>
        <v>934</v>
      </c>
      <c r="O723" s="135">
        <f t="shared" si="183"/>
        <v>0.95015259409969477</v>
      </c>
    </row>
    <row r="724" spans="3:15">
      <c r="C724" s="222" t="str">
        <f>$A$408</f>
        <v>2023-24</v>
      </c>
      <c r="D724" s="194">
        <f>O99</f>
        <v>244</v>
      </c>
      <c r="E724" s="29">
        <f>O100</f>
        <v>254</v>
      </c>
      <c r="F724" s="135">
        <f t="shared" si="179"/>
        <v>0.95131086142322097</v>
      </c>
      <c r="G724" s="194">
        <f>P99</f>
        <v>404</v>
      </c>
      <c r="H724" s="29">
        <f>P100</f>
        <v>384</v>
      </c>
      <c r="I724" s="135">
        <f t="shared" si="180"/>
        <v>0.90780141843971629</v>
      </c>
      <c r="J724" s="333">
        <f>Q99</f>
        <v>306</v>
      </c>
      <c r="K724" s="329">
        <f>Q100</f>
        <v>284</v>
      </c>
      <c r="L724" s="135">
        <f t="shared" si="184"/>
        <v>0.96928327645051193</v>
      </c>
      <c r="M724" s="333">
        <f t="shared" si="181"/>
        <v>954</v>
      </c>
      <c r="N724" s="329">
        <f t="shared" si="182"/>
        <v>922</v>
      </c>
      <c r="O724" s="135">
        <f t="shared" si="183"/>
        <v>0.93794506612410988</v>
      </c>
    </row>
    <row r="725" spans="3:15">
      <c r="C725" s="222" t="str">
        <f>$A$409</f>
        <v>2024-25</v>
      </c>
      <c r="D725" s="194">
        <f>O77</f>
        <v>233</v>
      </c>
      <c r="E725" s="29">
        <f>O78</f>
        <v>234</v>
      </c>
      <c r="F725" s="135">
        <f t="shared" si="179"/>
        <v>0.95901639344262291</v>
      </c>
      <c r="G725" s="194">
        <f>P77</f>
        <v>405</v>
      </c>
      <c r="H725" s="29">
        <f>P78</f>
        <v>364</v>
      </c>
      <c r="I725" s="135">
        <f t="shared" si="180"/>
        <v>0.90099009900990101</v>
      </c>
      <c r="J725" s="333">
        <f>Q77</f>
        <v>359</v>
      </c>
      <c r="K725" s="329">
        <f>Q78</f>
        <v>300</v>
      </c>
      <c r="L725" s="135">
        <f t="shared" si="184"/>
        <v>0.98039215686274506</v>
      </c>
      <c r="M725" s="333">
        <f>G725+D725+J725</f>
        <v>997</v>
      </c>
      <c r="N725" s="329">
        <f>H725+E725+K725</f>
        <v>898</v>
      </c>
      <c r="O725" s="135">
        <f t="shared" si="183"/>
        <v>0.94129979035639411</v>
      </c>
    </row>
    <row r="726" spans="3:15" ht="13.8" thickBot="1">
      <c r="C726" s="418" t="str">
        <f>$A$410</f>
        <v>2025-26</v>
      </c>
      <c r="D726" s="159">
        <f>O25</f>
        <v>247</v>
      </c>
      <c r="E726" s="136">
        <f>O26</f>
        <v>227</v>
      </c>
      <c r="F726" s="195">
        <f>E726/D725</f>
        <v>0.97424892703862664</v>
      </c>
      <c r="G726" s="159">
        <f>P25</f>
        <v>396</v>
      </c>
      <c r="H726" s="136">
        <f>P26</f>
        <v>400</v>
      </c>
      <c r="I726" s="195">
        <f>H726/G725</f>
        <v>0.98765432098765427</v>
      </c>
      <c r="J726" s="330">
        <f>Q25</f>
        <v>285</v>
      </c>
      <c r="K726" s="332">
        <f>Q26</f>
        <v>358</v>
      </c>
      <c r="L726" s="195">
        <f t="shared" si="184"/>
        <v>0.99721448467966578</v>
      </c>
      <c r="M726" s="330">
        <f>G726+D726+J726</f>
        <v>928</v>
      </c>
      <c r="N726" s="332">
        <f>H726+E726+K726</f>
        <v>985</v>
      </c>
      <c r="O726" s="195">
        <f>N726/M725</f>
        <v>0.98796389167502507</v>
      </c>
    </row>
    <row r="727" spans="3:15" ht="13.8" thickTop="1">
      <c r="C727" s="222"/>
      <c r="D727" s="194"/>
      <c r="E727" s="29"/>
      <c r="F727" s="226"/>
      <c r="G727" s="194"/>
      <c r="H727" s="29"/>
      <c r="I727" s="226"/>
      <c r="J727" s="333"/>
      <c r="K727" s="329"/>
      <c r="L727" s="226"/>
      <c r="M727" s="194"/>
      <c r="N727" s="29"/>
      <c r="O727" s="226"/>
    </row>
    <row r="728" spans="3:15">
      <c r="C728" s="357" t="s">
        <v>72</v>
      </c>
      <c r="D728" s="362">
        <f>SUM(D723:D725)</f>
        <v>744</v>
      </c>
      <c r="E728" s="114">
        <f>SUM(E724:E726)</f>
        <v>715</v>
      </c>
      <c r="F728" s="135">
        <f>E728/D728</f>
        <v>0.96102150537634412</v>
      </c>
      <c r="G728" s="362">
        <f>SUM(G723:G725)</f>
        <v>1232</v>
      </c>
      <c r="H728" s="114">
        <f>SUM(H724:H726)</f>
        <v>1148</v>
      </c>
      <c r="I728" s="135">
        <f>H728/G728</f>
        <v>0.93181818181818177</v>
      </c>
      <c r="J728" s="333">
        <f>SUM(J723:J725)</f>
        <v>958</v>
      </c>
      <c r="K728" s="329">
        <f>SUM(K724:K726)</f>
        <v>942</v>
      </c>
      <c r="L728" s="135">
        <f>K728/J728</f>
        <v>0.98329853862212946</v>
      </c>
      <c r="M728" s="362">
        <f>SUM(M723:M725)</f>
        <v>2934</v>
      </c>
      <c r="N728" s="114">
        <f>SUM(N724:N726)</f>
        <v>2805</v>
      </c>
      <c r="O728" s="135">
        <f>N728/M728</f>
        <v>0.95603271983640081</v>
      </c>
    </row>
    <row r="729" spans="3:15">
      <c r="C729" s="357" t="s">
        <v>73</v>
      </c>
      <c r="D729" s="362">
        <f>SUM(D721:D725)</f>
        <v>1269</v>
      </c>
      <c r="E729" s="114">
        <f>SUM(E722:E726)</f>
        <v>1229</v>
      </c>
      <c r="F729" s="135">
        <f>E729/D729</f>
        <v>0.96847911741528758</v>
      </c>
      <c r="G729" s="362">
        <f>SUM(G721:G725)</f>
        <v>2037</v>
      </c>
      <c r="H729" s="114">
        <f>SUM(H722:H726)</f>
        <v>1894</v>
      </c>
      <c r="I729" s="135">
        <f>H729/G729</f>
        <v>0.92979872361315663</v>
      </c>
      <c r="J729" s="333">
        <f>SUM(J721:J725)</f>
        <v>1634</v>
      </c>
      <c r="K729" s="329">
        <f>SUM(K722:K726)</f>
        <v>1591</v>
      </c>
      <c r="L729" s="135">
        <f>K729/J729</f>
        <v>0.97368421052631582</v>
      </c>
      <c r="M729" s="362">
        <f>SUM(M721:M725)</f>
        <v>4940</v>
      </c>
      <c r="N729" s="114">
        <f>SUM(N722:N726)</f>
        <v>4714</v>
      </c>
      <c r="O729" s="135">
        <f>N729/M729</f>
        <v>0.95425101214574903</v>
      </c>
    </row>
    <row r="730" spans="3:15">
      <c r="C730" s="224" t="s">
        <v>74</v>
      </c>
      <c r="D730" s="363">
        <f>SUM(D716:D725)</f>
        <v>2566</v>
      </c>
      <c r="E730" s="364">
        <f>SUM(E717:E726)</f>
        <v>2474</v>
      </c>
      <c r="F730" s="361">
        <f>E730/D730</f>
        <v>0.96414653156664065</v>
      </c>
      <c r="G730" s="363">
        <f>SUM(G716:G725)</f>
        <v>4037</v>
      </c>
      <c r="H730" s="364">
        <f>SUM(H717:H726)</f>
        <v>3814</v>
      </c>
      <c r="I730" s="361">
        <f>H730/G730</f>
        <v>0.94476096110973495</v>
      </c>
      <c r="J730" s="363">
        <f>SUM(J716:J725)</f>
        <v>3282</v>
      </c>
      <c r="K730" s="364">
        <f>SUM(K717:K726)</f>
        <v>3188</v>
      </c>
      <c r="L730" s="361">
        <f>K730/J730</f>
        <v>0.97135892748324193</v>
      </c>
      <c r="M730" s="363">
        <f>SUM(M716:M725)</f>
        <v>9885</v>
      </c>
      <c r="N730" s="364">
        <f>SUM(N717:N726)</f>
        <v>9476</v>
      </c>
      <c r="O730" s="361">
        <f>N730/M730</f>
        <v>0.95862417804754674</v>
      </c>
    </row>
    <row r="731" spans="3:15"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</row>
    <row r="732" spans="3:15">
      <c r="C732" s="500" t="s">
        <v>84</v>
      </c>
      <c r="D732" s="157"/>
      <c r="E732" s="157"/>
      <c r="F732" s="157"/>
      <c r="G732" s="157"/>
      <c r="H732" s="157"/>
      <c r="I732" s="157"/>
      <c r="J732" s="157"/>
      <c r="K732" s="157"/>
      <c r="L732" s="157"/>
      <c r="M732" s="157"/>
      <c r="N732" s="157"/>
      <c r="O732" s="158"/>
    </row>
    <row r="733" spans="3:15">
      <c r="C733" s="194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26"/>
    </row>
    <row r="734" spans="3:15">
      <c r="C734" s="500" t="s">
        <v>72</v>
      </c>
      <c r="D734" s="505">
        <f t="shared" ref="D734:E736" si="185">D728+D705+D682+D659</f>
        <v>2906</v>
      </c>
      <c r="E734" s="501">
        <f t="shared" si="185"/>
        <v>2871</v>
      </c>
      <c r="F734" s="503">
        <f>E734/D734</f>
        <v>0.98795595320027529</v>
      </c>
      <c r="G734" s="505">
        <f t="shared" ref="G734:H736" si="186">G728+G705+G682+G659</f>
        <v>4963</v>
      </c>
      <c r="H734" s="501">
        <f t="shared" si="186"/>
        <v>4741</v>
      </c>
      <c r="I734" s="503">
        <f>H734/G734</f>
        <v>0.95526899052992142</v>
      </c>
      <c r="J734" s="505">
        <f t="shared" ref="J734:K736" si="187">J728+J705+J682+J659</f>
        <v>3988</v>
      </c>
      <c r="K734" s="501">
        <f t="shared" si="187"/>
        <v>3939</v>
      </c>
      <c r="L734" s="503">
        <f>K734/J734</f>
        <v>0.98771313941825478</v>
      </c>
      <c r="M734" s="501">
        <f t="shared" ref="M734:N736" si="188">M728+M705+M682+M659</f>
        <v>11857</v>
      </c>
      <c r="N734" s="501">
        <f t="shared" si="188"/>
        <v>11551</v>
      </c>
      <c r="O734" s="503">
        <f>N734/M734</f>
        <v>0.97419246015012229</v>
      </c>
    </row>
    <row r="735" spans="3:15">
      <c r="C735" s="415" t="s">
        <v>73</v>
      </c>
      <c r="D735" s="362">
        <f t="shared" si="185"/>
        <v>4952</v>
      </c>
      <c r="E735" s="114">
        <f t="shared" si="185"/>
        <v>4883</v>
      </c>
      <c r="F735" s="135">
        <f>E735/D735</f>
        <v>0.9860662358642972</v>
      </c>
      <c r="G735" s="362">
        <f t="shared" si="186"/>
        <v>8374</v>
      </c>
      <c r="H735" s="114">
        <f t="shared" si="186"/>
        <v>8029</v>
      </c>
      <c r="I735" s="135">
        <f>H735/G735</f>
        <v>0.95880105087174583</v>
      </c>
      <c r="J735" s="362">
        <f t="shared" si="187"/>
        <v>6696</v>
      </c>
      <c r="K735" s="114">
        <f t="shared" si="187"/>
        <v>6593</v>
      </c>
      <c r="L735" s="135">
        <f>K735/J735</f>
        <v>0.98461768219832735</v>
      </c>
      <c r="M735" s="114">
        <f t="shared" si="188"/>
        <v>20022</v>
      </c>
      <c r="N735" s="114">
        <f t="shared" si="188"/>
        <v>19505</v>
      </c>
      <c r="O735" s="135">
        <f>N735/M735</f>
        <v>0.9741784037558685</v>
      </c>
    </row>
    <row r="736" spans="3:15">
      <c r="C736" s="415" t="s">
        <v>74</v>
      </c>
      <c r="D736" s="362">
        <f t="shared" si="185"/>
        <v>10161</v>
      </c>
      <c r="E736" s="114">
        <f t="shared" si="185"/>
        <v>10155</v>
      </c>
      <c r="F736" s="135">
        <f>E736/D736</f>
        <v>0.99940950693829345</v>
      </c>
      <c r="G736" s="362">
        <f t="shared" si="186"/>
        <v>16714</v>
      </c>
      <c r="H736" s="114">
        <f t="shared" si="186"/>
        <v>16218</v>
      </c>
      <c r="I736" s="135">
        <f>H736/G736</f>
        <v>0.97032427904750507</v>
      </c>
      <c r="J736" s="362">
        <f t="shared" si="187"/>
        <v>13534</v>
      </c>
      <c r="K736" s="114">
        <f t="shared" si="187"/>
        <v>13314</v>
      </c>
      <c r="L736" s="135">
        <f>K736/J736</f>
        <v>0.98374464312102849</v>
      </c>
      <c r="M736" s="114">
        <f t="shared" si="188"/>
        <v>40409</v>
      </c>
      <c r="N736" s="114">
        <f t="shared" si="188"/>
        <v>39687</v>
      </c>
      <c r="O736" s="135">
        <f>N736/M736</f>
        <v>0.98213269321190821</v>
      </c>
    </row>
    <row r="737" spans="1:18" ht="13.8" thickBot="1">
      <c r="C737" s="159"/>
      <c r="D737" s="159"/>
      <c r="E737" s="136"/>
      <c r="F737" s="160"/>
      <c r="G737" s="159"/>
      <c r="H737" s="136"/>
      <c r="I737" s="160"/>
      <c r="J737" s="159"/>
      <c r="K737" s="136"/>
      <c r="L737" s="160"/>
      <c r="M737" s="136"/>
      <c r="N737" s="136"/>
      <c r="O737" s="160"/>
    </row>
    <row r="738" spans="1:18" ht="13.8" thickTop="1">
      <c r="C738" s="415" t="s">
        <v>85</v>
      </c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26"/>
    </row>
    <row r="739" spans="1:18">
      <c r="C739" s="194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26"/>
    </row>
    <row r="740" spans="1:18">
      <c r="C740" s="500" t="s">
        <v>72</v>
      </c>
      <c r="D740" s="157"/>
      <c r="E740" s="157"/>
      <c r="F740" s="502">
        <f>F734-$O$734</f>
        <v>1.3763493050153008E-2</v>
      </c>
      <c r="G740" s="157"/>
      <c r="H740" s="157"/>
      <c r="I740" s="502">
        <f>I734-$O$734</f>
        <v>-1.8923469620200861E-2</v>
      </c>
      <c r="J740" s="502"/>
      <c r="K740" s="502"/>
      <c r="L740" s="502">
        <f>L734-$O$734</f>
        <v>1.3520679268132496E-2</v>
      </c>
      <c r="M740" s="157"/>
      <c r="N740" s="157"/>
      <c r="O740" s="158"/>
    </row>
    <row r="741" spans="1:18">
      <c r="C741" s="415" t="s">
        <v>73</v>
      </c>
      <c r="D741" s="29"/>
      <c r="E741" s="29"/>
      <c r="F741" s="134">
        <f>F735-$O$735</f>
        <v>1.1887832108428698E-2</v>
      </c>
      <c r="G741" s="29"/>
      <c r="H741" s="29"/>
      <c r="I741" s="134">
        <f>I735-$O$735</f>
        <v>-1.5377352884122675E-2</v>
      </c>
      <c r="J741" s="134"/>
      <c r="K741" s="134"/>
      <c r="L741" s="134">
        <f>L735-$O$735</f>
        <v>1.0439278442458844E-2</v>
      </c>
      <c r="M741" s="29"/>
      <c r="N741" s="29"/>
      <c r="O741" s="226"/>
    </row>
    <row r="742" spans="1:18" ht="13.8" thickBot="1">
      <c r="C742" s="504" t="s">
        <v>74</v>
      </c>
      <c r="D742" s="136"/>
      <c r="E742" s="136"/>
      <c r="F742" s="170">
        <f>F736-$O$735</f>
        <v>2.5231103182424941E-2</v>
      </c>
      <c r="G742" s="136"/>
      <c r="H742" s="136"/>
      <c r="I742" s="170">
        <f>I736-$O$735</f>
        <v>-3.8541247083634378E-3</v>
      </c>
      <c r="J742" s="136"/>
      <c r="K742" s="136"/>
      <c r="L742" s="170">
        <f>L736-$O$735</f>
        <v>9.5662393651599897E-3</v>
      </c>
      <c r="M742" s="136"/>
      <c r="N742" s="136"/>
      <c r="O742" s="160"/>
    </row>
    <row r="743" spans="1:18" ht="13.8" thickTop="1"/>
    <row r="745" spans="1:18">
      <c r="A745" s="108"/>
      <c r="B745" s="196" t="s">
        <v>95</v>
      </c>
      <c r="C745" s="100"/>
      <c r="D745" s="100"/>
      <c r="E745" s="100"/>
      <c r="F745" s="100"/>
      <c r="G745" s="100"/>
      <c r="H745" s="100"/>
      <c r="I745" s="100"/>
      <c r="J745" s="100"/>
    </row>
    <row r="746" spans="1:18" ht="13.8" thickBot="1">
      <c r="A746" s="197" t="s">
        <v>96</v>
      </c>
      <c r="B746" s="506" t="s">
        <v>289</v>
      </c>
      <c r="C746" s="507" t="s">
        <v>32</v>
      </c>
      <c r="D746" s="507" t="s">
        <v>33</v>
      </c>
      <c r="E746" s="507" t="s">
        <v>34</v>
      </c>
      <c r="F746" s="507" t="s">
        <v>35</v>
      </c>
      <c r="G746" s="507" t="s">
        <v>370</v>
      </c>
      <c r="H746" s="507" t="s">
        <v>356</v>
      </c>
      <c r="I746" s="507" t="s">
        <v>361</v>
      </c>
      <c r="J746" s="507" t="s">
        <v>406</v>
      </c>
      <c r="K746" s="507" t="s">
        <v>363</v>
      </c>
      <c r="L746" s="507" t="s">
        <v>36</v>
      </c>
      <c r="M746" s="507" t="s">
        <v>86</v>
      </c>
      <c r="N746" s="507" t="s">
        <v>99</v>
      </c>
      <c r="O746" s="507" t="s">
        <v>346</v>
      </c>
      <c r="P746" s="507" t="s">
        <v>90</v>
      </c>
      <c r="Q746" s="508" t="s">
        <v>103</v>
      </c>
      <c r="R746" s="194"/>
    </row>
    <row r="747" spans="1:18" ht="13.8" thickTop="1">
      <c r="A747" s="509" t="s">
        <v>299</v>
      </c>
      <c r="B747" s="510">
        <f>$D$412</f>
        <v>1.0263157894736843</v>
      </c>
      <c r="C747" s="510">
        <f>$G$412</f>
        <v>1.0682926829268293</v>
      </c>
      <c r="D747" s="510">
        <f>$J$412</f>
        <v>1.0265151515151516</v>
      </c>
      <c r="E747" s="510">
        <f>$M$412</f>
        <v>0.953125</v>
      </c>
      <c r="F747" s="510">
        <f>$P$412</f>
        <v>1.0213523131672597</v>
      </c>
      <c r="G747" s="510">
        <f>$S$412</f>
        <v>1.0152091254752851</v>
      </c>
      <c r="H747" s="510">
        <f>$V$412</f>
        <v>1.064748201438849</v>
      </c>
      <c r="I747" s="510">
        <f>$Y$412</f>
        <v>0.9508928571428571</v>
      </c>
      <c r="J747" s="510">
        <f>$AB$412</f>
        <v>1.018450184501845</v>
      </c>
      <c r="K747" s="510"/>
      <c r="L747" s="510"/>
      <c r="M747" s="510"/>
      <c r="N747" s="510"/>
      <c r="O747" s="510"/>
      <c r="P747" s="511"/>
      <c r="Q747" s="512"/>
      <c r="R747" s="194"/>
    </row>
    <row r="748" spans="1:18">
      <c r="A748" s="509" t="s">
        <v>300</v>
      </c>
      <c r="B748" s="510">
        <f>$D$456</f>
        <v>1.0385852090032155</v>
      </c>
      <c r="C748" s="510">
        <f>$G$456</f>
        <v>0.98701298701298701</v>
      </c>
      <c r="D748" s="510">
        <f>$J$456</f>
        <v>1.0077821011673151</v>
      </c>
      <c r="E748" s="510">
        <f>$M$456</f>
        <v>1.0298507462686568</v>
      </c>
      <c r="F748" s="510">
        <f>$P$456</f>
        <v>1.0369127516778522</v>
      </c>
      <c r="G748" s="510">
        <f>$S$456</f>
        <v>1</v>
      </c>
      <c r="H748" s="510">
        <f>$V$456</f>
        <v>1.0511945392491469</v>
      </c>
      <c r="I748" s="510">
        <f>$Y$456</f>
        <v>1.0263157894736843</v>
      </c>
      <c r="J748" s="510">
        <f>$AB$456</f>
        <v>1.0421052631578946</v>
      </c>
      <c r="K748" s="510"/>
      <c r="L748" s="510"/>
      <c r="M748" s="510"/>
      <c r="N748" s="510"/>
      <c r="O748" s="510"/>
      <c r="P748" s="511"/>
      <c r="Q748" s="512"/>
      <c r="R748" s="194"/>
    </row>
    <row r="749" spans="1:18">
      <c r="A749" s="509" t="s">
        <v>301</v>
      </c>
      <c r="B749" s="510">
        <f>$D$482</f>
        <v>1.0334346504559271</v>
      </c>
      <c r="C749" s="510">
        <f>$G$482</f>
        <v>0.99156118143459915</v>
      </c>
      <c r="D749" s="510">
        <f>$J$482</f>
        <v>1</v>
      </c>
      <c r="E749" s="510">
        <f>$M$482</f>
        <v>1.0036496350364963</v>
      </c>
      <c r="F749" s="510">
        <f>$P$482</f>
        <v>0.99687499999999996</v>
      </c>
      <c r="G749" s="510">
        <f>$S$482</f>
        <v>1.0425531914893618</v>
      </c>
      <c r="H749" s="510">
        <f>$V$482</f>
        <v>1.0214723926380369</v>
      </c>
      <c r="I749" s="510">
        <f>$Y$482</f>
        <v>1.0123966942148761</v>
      </c>
      <c r="J749" s="510">
        <f>$AB$482</f>
        <v>1.0098360655737706</v>
      </c>
      <c r="K749" s="510"/>
      <c r="L749" s="510"/>
      <c r="M749" s="510"/>
      <c r="N749" s="510"/>
      <c r="O749" s="510"/>
      <c r="P749" s="511"/>
      <c r="Q749" s="512"/>
      <c r="R749" s="194"/>
    </row>
    <row r="750" spans="1:18">
      <c r="A750" s="509" t="s">
        <v>302</v>
      </c>
      <c r="B750" s="510">
        <f>$D$508</f>
        <v>1.032934131736527</v>
      </c>
      <c r="C750" s="510">
        <f>$G$508</f>
        <v>1.0619834710743801</v>
      </c>
      <c r="D750" s="510">
        <f>$J$508</f>
        <v>1.0238095238095237</v>
      </c>
      <c r="E750" s="510">
        <f>$M$508</f>
        <v>1.054945054945055</v>
      </c>
      <c r="F750" s="510">
        <f>$P$508</f>
        <v>1.0411392405063291</v>
      </c>
      <c r="G750" s="510">
        <f>$S$508</f>
        <v>1.0095541401273886</v>
      </c>
      <c r="H750" s="510">
        <f>$V$508</f>
        <v>0.99688473520249221</v>
      </c>
      <c r="I750" s="510">
        <f>$Y$508</f>
        <v>1.0042372881355932</v>
      </c>
      <c r="J750" s="510">
        <f>$AB$508</f>
        <v>1.0231788079470199</v>
      </c>
      <c r="K750" s="510"/>
      <c r="L750" s="510"/>
      <c r="M750" s="510"/>
      <c r="N750" s="510"/>
      <c r="O750" s="510"/>
      <c r="P750" s="511"/>
      <c r="Q750" s="512"/>
      <c r="R750" s="194"/>
    </row>
    <row r="751" spans="1:18">
      <c r="A751" s="509" t="s">
        <v>303</v>
      </c>
      <c r="B751" s="510">
        <f>$D$534</f>
        <v>1.0174418604651163</v>
      </c>
      <c r="C751" s="510">
        <f>$G$534</f>
        <v>1.0398550724637681</v>
      </c>
      <c r="D751" s="510">
        <f>$J$534</f>
        <v>1.0037735849056604</v>
      </c>
      <c r="E751" s="510">
        <f>$M$534</f>
        <v>1.0375426621160408</v>
      </c>
      <c r="F751" s="510">
        <f>$P$534</f>
        <v>1.0090361445783131</v>
      </c>
      <c r="G751" s="510">
        <f>$S$534</f>
        <v>1.0146627565982405</v>
      </c>
      <c r="H751" s="510">
        <f>$V$534</f>
        <v>1.0269461077844311</v>
      </c>
      <c r="I751" s="510">
        <f>$Y$534</f>
        <v>0.96017699115044253</v>
      </c>
      <c r="J751" s="510">
        <f>$AB$534</f>
        <v>1.009493670886076</v>
      </c>
      <c r="K751" s="510"/>
      <c r="L751" s="510"/>
      <c r="M751" s="510"/>
      <c r="N751" s="513"/>
      <c r="O751" s="510"/>
      <c r="P751" s="511"/>
      <c r="Q751" s="512"/>
      <c r="R751" s="194"/>
    </row>
    <row r="752" spans="1:18">
      <c r="A752" s="509" t="s">
        <v>304</v>
      </c>
      <c r="B752" s="514"/>
      <c r="C752" s="510"/>
      <c r="D752" s="510"/>
      <c r="E752" s="510"/>
      <c r="F752" s="510"/>
      <c r="G752" s="510"/>
      <c r="H752" s="510"/>
      <c r="I752" s="510"/>
      <c r="J752" s="510"/>
      <c r="K752" s="510">
        <f>$F$573</f>
        <v>0.94754653130287647</v>
      </c>
      <c r="L752" s="510">
        <f>$I$573</f>
        <v>0.98342541436464093</v>
      </c>
      <c r="M752" s="510">
        <f>$L$573</f>
        <v>1</v>
      </c>
      <c r="N752" s="510">
        <f>$O$573</f>
        <v>1.2470238095238095</v>
      </c>
      <c r="O752" s="510"/>
      <c r="P752" s="511"/>
      <c r="Q752" s="512"/>
      <c r="R752" s="194"/>
    </row>
    <row r="753" spans="1:21">
      <c r="A753" s="509" t="s">
        <v>305</v>
      </c>
      <c r="B753" s="514"/>
      <c r="C753" s="510"/>
      <c r="D753" s="510"/>
      <c r="E753" s="510"/>
      <c r="F753" s="510"/>
      <c r="G753" s="510"/>
      <c r="H753" s="510"/>
      <c r="I753" s="510"/>
      <c r="J753" s="510"/>
      <c r="K753" s="510">
        <f>$F$598</f>
        <v>0.98319327731092432</v>
      </c>
      <c r="L753" s="510">
        <f>$I$598</f>
        <v>1.0152777777777777</v>
      </c>
      <c r="M753" s="510">
        <f>$L$598</f>
        <v>1.0226364846870839</v>
      </c>
      <c r="N753" s="510">
        <f>$O$598</f>
        <v>1.0191616766467066</v>
      </c>
      <c r="O753" s="510"/>
      <c r="P753" s="511"/>
      <c r="Q753" s="512"/>
      <c r="R753" s="194"/>
    </row>
    <row r="754" spans="1:21">
      <c r="A754" s="509" t="s">
        <v>306</v>
      </c>
      <c r="B754" s="514"/>
      <c r="C754" s="510"/>
      <c r="D754" s="510"/>
      <c r="E754" s="510"/>
      <c r="F754" s="510"/>
      <c r="G754" s="510"/>
      <c r="H754" s="510"/>
      <c r="I754" s="510"/>
      <c r="J754" s="510"/>
      <c r="K754" s="510">
        <f>$F$623</f>
        <v>0.99325463743676223</v>
      </c>
      <c r="L754" s="510">
        <f>$I$623</f>
        <v>0.98558322411533417</v>
      </c>
      <c r="M754" s="510">
        <f>$L$623</f>
        <v>1.0014025245441796</v>
      </c>
      <c r="N754" s="510">
        <f>$O$623</f>
        <v>1.004733727810651</v>
      </c>
      <c r="O754" s="510"/>
      <c r="P754" s="511"/>
      <c r="Q754" s="512"/>
      <c r="R754" s="194"/>
    </row>
    <row r="755" spans="1:21">
      <c r="A755" s="509" t="s">
        <v>307</v>
      </c>
      <c r="B755" s="514"/>
      <c r="C755" s="510"/>
      <c r="D755" s="510"/>
      <c r="E755" s="510"/>
      <c r="F755" s="510"/>
      <c r="G755" s="510"/>
      <c r="H755" s="510"/>
      <c r="I755" s="510"/>
      <c r="J755" s="510"/>
      <c r="K755" s="510"/>
      <c r="L755" s="510"/>
      <c r="M755" s="510"/>
      <c r="N755" s="510"/>
      <c r="O755" s="510">
        <f>$F$659</f>
        <v>1.0155148095909732</v>
      </c>
      <c r="P755" s="511">
        <f>$I$659</f>
        <v>0.98549556809024985</v>
      </c>
      <c r="Q755" s="511">
        <f>$L$659</f>
        <v>1.0248756218905473</v>
      </c>
      <c r="R755" s="194"/>
    </row>
    <row r="756" spans="1:21">
      <c r="A756" s="509" t="s">
        <v>308</v>
      </c>
      <c r="B756" s="514"/>
      <c r="C756" s="510"/>
      <c r="D756" s="510"/>
      <c r="E756" s="510"/>
      <c r="F756" s="510"/>
      <c r="G756" s="510"/>
      <c r="H756" s="510"/>
      <c r="I756" s="510"/>
      <c r="J756" s="510"/>
      <c r="K756" s="510"/>
      <c r="L756" s="510"/>
      <c r="M756" s="510"/>
      <c r="N756" s="510"/>
      <c r="O756" s="510">
        <f>$F$682</f>
        <v>0.98614958448753465</v>
      </c>
      <c r="P756" s="511">
        <f>$I$682</f>
        <v>0.92902711323763953</v>
      </c>
      <c r="Q756" s="511">
        <f>$L$682</f>
        <v>0.97227533460803062</v>
      </c>
      <c r="R756" s="194"/>
    </row>
    <row r="757" spans="1:21">
      <c r="A757" s="509" t="s">
        <v>309</v>
      </c>
      <c r="B757" s="514"/>
      <c r="C757" s="510"/>
      <c r="D757" s="510"/>
      <c r="E757" s="510"/>
      <c r="F757" s="510"/>
      <c r="G757" s="510"/>
      <c r="H757" s="510"/>
      <c r="I757" s="510"/>
      <c r="J757" s="510"/>
      <c r="K757" s="510"/>
      <c r="L757" s="510"/>
      <c r="M757" s="510"/>
      <c r="N757" s="510"/>
      <c r="O757" s="510">
        <f>$F$705</f>
        <v>0.99042407660738718</v>
      </c>
      <c r="P757" s="511">
        <f>$I$705</f>
        <v>0.97491909385113273</v>
      </c>
      <c r="Q757" s="511">
        <f>$L$705</f>
        <v>0.97037793667007155</v>
      </c>
      <c r="R757" s="194"/>
    </row>
    <row r="758" spans="1:21">
      <c r="A758" s="515" t="s">
        <v>310</v>
      </c>
      <c r="B758" s="516"/>
      <c r="C758" s="517"/>
      <c r="D758" s="517"/>
      <c r="E758" s="517"/>
      <c r="F758" s="517"/>
      <c r="G758" s="517"/>
      <c r="H758" s="517"/>
      <c r="I758" s="517"/>
      <c r="J758" s="517"/>
      <c r="K758" s="517"/>
      <c r="L758" s="517"/>
      <c r="M758" s="517"/>
      <c r="N758" s="517"/>
      <c r="O758" s="517">
        <f>$F$728</f>
        <v>0.96102150537634412</v>
      </c>
      <c r="P758" s="517">
        <f>$I$728</f>
        <v>0.93181818181818177</v>
      </c>
      <c r="Q758" s="518">
        <f>$L$728</f>
        <v>0.98329853862212946</v>
      </c>
      <c r="R758" s="194"/>
    </row>
    <row r="760" spans="1:21">
      <c r="S760"/>
    </row>
    <row r="761" spans="1:21" ht="17.399999999999999">
      <c r="B761" s="121" t="s">
        <v>339</v>
      </c>
      <c r="L761" s="258"/>
      <c r="N761" s="67" t="s">
        <v>426</v>
      </c>
    </row>
    <row r="762" spans="1:21">
      <c r="C762" s="198" t="s">
        <v>92</v>
      </c>
    </row>
    <row r="764" spans="1:21">
      <c r="A764" s="68" t="s">
        <v>24</v>
      </c>
      <c r="B764" s="790" t="s">
        <v>25</v>
      </c>
      <c r="C764" s="790"/>
      <c r="D764" s="790"/>
      <c r="E764" s="790"/>
      <c r="F764" s="790"/>
      <c r="G764" s="790"/>
      <c r="H764" s="790"/>
      <c r="I764" s="790"/>
      <c r="J764" s="790"/>
      <c r="K764" s="790" t="s">
        <v>323</v>
      </c>
      <c r="L764" s="790"/>
      <c r="M764" s="790"/>
      <c r="N764" s="790"/>
      <c r="O764" s="790" t="s">
        <v>26</v>
      </c>
      <c r="P764" s="790"/>
      <c r="Q764" s="790"/>
      <c r="R764" s="199"/>
      <c r="S764" s="199"/>
      <c r="T764" s="200" t="s">
        <v>27</v>
      </c>
      <c r="U764" s="70"/>
    </row>
    <row r="765" spans="1:21">
      <c r="A765" s="73"/>
      <c r="B765" s="74" t="s">
        <v>333</v>
      </c>
      <c r="C765" s="74" t="s">
        <v>334</v>
      </c>
      <c r="D765" s="74" t="s">
        <v>270</v>
      </c>
      <c r="E765" s="74" t="s">
        <v>271</v>
      </c>
      <c r="F765" s="74" t="s">
        <v>35</v>
      </c>
      <c r="G765" s="74" t="s">
        <v>370</v>
      </c>
      <c r="H765" s="74" t="s">
        <v>356</v>
      </c>
      <c r="I765" s="74" t="s">
        <v>361</v>
      </c>
      <c r="J765" s="74" t="s">
        <v>406</v>
      </c>
      <c r="K765" s="74" t="s">
        <v>363</v>
      </c>
      <c r="L765" s="74" t="s">
        <v>36</v>
      </c>
      <c r="M765" s="74" t="s">
        <v>86</v>
      </c>
      <c r="N765" s="74" t="s">
        <v>99</v>
      </c>
      <c r="O765" s="74" t="s">
        <v>346</v>
      </c>
      <c r="P765" s="74" t="s">
        <v>90</v>
      </c>
      <c r="Q765" s="74" t="s">
        <v>103</v>
      </c>
      <c r="R765" s="74" t="s">
        <v>343</v>
      </c>
      <c r="S765" s="77"/>
      <c r="T765" s="70"/>
    </row>
    <row r="767" spans="1:21" ht="15.6">
      <c r="A767" s="539" t="s">
        <v>391</v>
      </c>
      <c r="B767" s="202">
        <f>B430</f>
        <v>94</v>
      </c>
      <c r="C767" s="203">
        <f>E430</f>
        <v>69</v>
      </c>
      <c r="D767" s="203">
        <f>H430</f>
        <v>92</v>
      </c>
      <c r="E767" s="203">
        <f>K430</f>
        <v>87</v>
      </c>
      <c r="F767" s="203">
        <f>N430</f>
        <v>97</v>
      </c>
      <c r="G767" s="203">
        <f>Q430</f>
        <v>87</v>
      </c>
      <c r="H767" s="203">
        <f>T430</f>
        <v>88</v>
      </c>
      <c r="I767" s="203">
        <f>W430</f>
        <v>78</v>
      </c>
      <c r="J767" s="203">
        <f>Z430</f>
        <v>99</v>
      </c>
      <c r="K767" s="203"/>
      <c r="L767" s="203"/>
      <c r="M767" s="203"/>
      <c r="N767" s="203"/>
      <c r="O767" s="203"/>
      <c r="P767" s="203"/>
      <c r="Q767" s="203"/>
      <c r="R767" s="203"/>
      <c r="S767" s="203">
        <f t="shared" ref="S767:S772" si="189">SUM(B767:R767)</f>
        <v>791</v>
      </c>
    </row>
    <row r="768" spans="1:21" ht="15.6">
      <c r="A768" s="539">
        <v>1</v>
      </c>
      <c r="B768" s="203">
        <f t="shared" ref="B768:J768" si="190">ROUND(B14*B747,0)</f>
        <v>86</v>
      </c>
      <c r="C768" s="203">
        <f t="shared" si="190"/>
        <v>66</v>
      </c>
      <c r="D768" s="203">
        <f t="shared" si="190"/>
        <v>88</v>
      </c>
      <c r="E768" s="203">
        <f t="shared" si="190"/>
        <v>66</v>
      </c>
      <c r="F768" s="203">
        <f t="shared" si="190"/>
        <v>91</v>
      </c>
      <c r="G768" s="203">
        <f t="shared" si="190"/>
        <v>80</v>
      </c>
      <c r="H768" s="203">
        <f t="shared" si="190"/>
        <v>84</v>
      </c>
      <c r="I768" s="203">
        <f t="shared" si="190"/>
        <v>69</v>
      </c>
      <c r="J768" s="203">
        <f t="shared" si="190"/>
        <v>104</v>
      </c>
      <c r="K768" s="203"/>
      <c r="L768" s="203"/>
      <c r="M768" s="203"/>
      <c r="N768" s="203"/>
      <c r="O768" s="203"/>
      <c r="P768" s="203"/>
      <c r="Q768" s="203"/>
      <c r="R768" s="203"/>
      <c r="S768" s="203">
        <f t="shared" si="189"/>
        <v>734</v>
      </c>
    </row>
    <row r="769" spans="1:20" ht="15.6">
      <c r="A769" s="539">
        <v>2</v>
      </c>
      <c r="B769" s="203">
        <f t="shared" ref="B769:J769" si="191">ROUND(B15*B748,0)</f>
        <v>87</v>
      </c>
      <c r="C769" s="203">
        <f t="shared" si="191"/>
        <v>68</v>
      </c>
      <c r="D769" s="203">
        <f t="shared" si="191"/>
        <v>88</v>
      </c>
      <c r="E769" s="203">
        <f t="shared" si="191"/>
        <v>77</v>
      </c>
      <c r="F769" s="203">
        <f t="shared" si="191"/>
        <v>89</v>
      </c>
      <c r="G769" s="203">
        <f t="shared" si="191"/>
        <v>88</v>
      </c>
      <c r="H769" s="203">
        <f t="shared" si="191"/>
        <v>95</v>
      </c>
      <c r="I769" s="203">
        <f t="shared" si="191"/>
        <v>74</v>
      </c>
      <c r="J769" s="203">
        <f t="shared" si="191"/>
        <v>88</v>
      </c>
      <c r="K769" s="203"/>
      <c r="L769" s="203"/>
      <c r="M769" s="203"/>
      <c r="N769" s="203"/>
      <c r="O769" s="203"/>
      <c r="P769" s="203"/>
      <c r="Q769" s="203"/>
      <c r="R769" s="203"/>
      <c r="S769" s="203">
        <f t="shared" si="189"/>
        <v>754</v>
      </c>
    </row>
    <row r="770" spans="1:20" ht="15.6">
      <c r="A770" s="539">
        <v>3</v>
      </c>
      <c r="B770" s="203">
        <f t="shared" ref="B770:J770" si="192">ROUND(B16*B749,0)</f>
        <v>106</v>
      </c>
      <c r="C770" s="203">
        <f t="shared" si="192"/>
        <v>71</v>
      </c>
      <c r="D770" s="203">
        <f t="shared" si="192"/>
        <v>95</v>
      </c>
      <c r="E770" s="203">
        <f t="shared" si="192"/>
        <v>93</v>
      </c>
      <c r="F770" s="203">
        <f t="shared" si="192"/>
        <v>103</v>
      </c>
      <c r="G770" s="203">
        <f t="shared" si="192"/>
        <v>83</v>
      </c>
      <c r="H770" s="203">
        <f t="shared" si="192"/>
        <v>99</v>
      </c>
      <c r="I770" s="203">
        <f t="shared" si="192"/>
        <v>69</v>
      </c>
      <c r="J770" s="203">
        <f t="shared" si="192"/>
        <v>97</v>
      </c>
      <c r="K770" s="203"/>
      <c r="L770" s="203"/>
      <c r="M770" s="203"/>
      <c r="N770" s="203"/>
      <c r="O770" s="203"/>
      <c r="P770" s="203"/>
      <c r="Q770" s="203"/>
      <c r="R770" s="203"/>
      <c r="S770" s="203">
        <f t="shared" si="189"/>
        <v>816</v>
      </c>
    </row>
    <row r="771" spans="1:20" ht="15.6">
      <c r="A771" s="204" t="s">
        <v>41</v>
      </c>
      <c r="B771" s="203">
        <f t="shared" ref="B771:J771" si="193">ROUND(B17*B750,0)</f>
        <v>102</v>
      </c>
      <c r="C771" s="203">
        <f t="shared" si="193"/>
        <v>86</v>
      </c>
      <c r="D771" s="203">
        <f t="shared" si="193"/>
        <v>97</v>
      </c>
      <c r="E771" s="203">
        <f t="shared" si="193"/>
        <v>89</v>
      </c>
      <c r="F771" s="203">
        <f t="shared" si="193"/>
        <v>113</v>
      </c>
      <c r="G771" s="203">
        <f t="shared" si="193"/>
        <v>103</v>
      </c>
      <c r="H771" s="203">
        <f t="shared" si="193"/>
        <v>120</v>
      </c>
      <c r="I771" s="203">
        <f t="shared" si="193"/>
        <v>77</v>
      </c>
      <c r="J771" s="203">
        <f t="shared" si="193"/>
        <v>112</v>
      </c>
      <c r="K771" s="203"/>
      <c r="L771" s="203"/>
      <c r="M771" s="203"/>
      <c r="N771" s="203"/>
      <c r="O771" s="203"/>
      <c r="P771" s="203"/>
      <c r="Q771" s="203"/>
      <c r="R771" s="203"/>
      <c r="S771" s="203">
        <f t="shared" si="189"/>
        <v>899</v>
      </c>
    </row>
    <row r="772" spans="1:20" ht="15.6">
      <c r="A772" s="204" t="s">
        <v>42</v>
      </c>
      <c r="B772" s="203">
        <f t="shared" ref="B772:J772" si="194">ROUND(B18*B751,0)</f>
        <v>134</v>
      </c>
      <c r="C772" s="203">
        <f t="shared" si="194"/>
        <v>82</v>
      </c>
      <c r="D772" s="203">
        <f t="shared" si="194"/>
        <v>80</v>
      </c>
      <c r="E772" s="203">
        <f t="shared" si="194"/>
        <v>108</v>
      </c>
      <c r="F772" s="203">
        <f t="shared" si="194"/>
        <v>107</v>
      </c>
      <c r="G772" s="203">
        <f t="shared" si="194"/>
        <v>90</v>
      </c>
      <c r="H772" s="203">
        <f t="shared" si="194"/>
        <v>100</v>
      </c>
      <c r="I772" s="203">
        <f t="shared" si="194"/>
        <v>90</v>
      </c>
      <c r="J772" s="203">
        <f t="shared" si="194"/>
        <v>94</v>
      </c>
      <c r="K772" s="203"/>
      <c r="L772" s="203"/>
      <c r="M772" s="203"/>
      <c r="O772" s="203"/>
      <c r="P772" s="203"/>
      <c r="Q772" s="203"/>
      <c r="R772" s="203"/>
      <c r="S772" s="203">
        <f t="shared" si="189"/>
        <v>885</v>
      </c>
    </row>
    <row r="773" spans="1:20" ht="15.6">
      <c r="A773" s="204" t="s">
        <v>43</v>
      </c>
      <c r="B773" s="204"/>
      <c r="C773" s="203"/>
      <c r="D773" s="203"/>
      <c r="E773" s="203"/>
      <c r="F773" s="203"/>
      <c r="G773" s="203"/>
      <c r="H773" s="203"/>
      <c r="I773" s="203"/>
      <c r="J773" s="203"/>
      <c r="K773" s="203">
        <f>ROUND(B1013*K752,0)</f>
        <v>190</v>
      </c>
      <c r="L773" s="203">
        <f>ROUND(C1013*L752,0)</f>
        <v>245</v>
      </c>
      <c r="M773" s="203">
        <f>ROUND(D1013*M752,0)</f>
        <v>245</v>
      </c>
      <c r="N773" s="203">
        <f>ROUND(E1013*N752,0)</f>
        <v>284</v>
      </c>
      <c r="O773" s="203"/>
      <c r="P773" s="203"/>
      <c r="Q773" s="203"/>
      <c r="R773" s="203">
        <f>ENPRJ3!R300</f>
        <v>1</v>
      </c>
      <c r="S773" s="203">
        <f t="shared" ref="S773:S780" si="195">SUM(C773:R773)</f>
        <v>965</v>
      </c>
    </row>
    <row r="774" spans="1:20" ht="15.6">
      <c r="A774" s="204" t="s">
        <v>44</v>
      </c>
      <c r="B774" s="204"/>
      <c r="C774" s="203"/>
      <c r="D774" s="203"/>
      <c r="E774" s="203"/>
      <c r="F774" s="203"/>
      <c r="G774" s="203"/>
      <c r="H774" s="203"/>
      <c r="I774" s="203"/>
      <c r="J774" s="203"/>
      <c r="K774" s="203">
        <f t="shared" ref="K774:N775" si="196">ROUND(K20*K753,0)</f>
        <v>173</v>
      </c>
      <c r="L774" s="203">
        <f t="shared" si="196"/>
        <v>250</v>
      </c>
      <c r="M774" s="203">
        <f t="shared" si="196"/>
        <v>237</v>
      </c>
      <c r="N774" s="203">
        <f t="shared" si="196"/>
        <v>303</v>
      </c>
      <c r="O774" s="202"/>
      <c r="P774" s="202"/>
      <c r="Q774" s="202"/>
      <c r="R774" s="203">
        <f>ENPRJ3!R301</f>
        <v>1</v>
      </c>
      <c r="S774" s="203">
        <f t="shared" si="195"/>
        <v>964</v>
      </c>
    </row>
    <row r="775" spans="1:20" ht="15.6">
      <c r="A775" s="204" t="s">
        <v>45</v>
      </c>
      <c r="B775" s="204"/>
      <c r="C775" s="203"/>
      <c r="D775" s="203"/>
      <c r="E775" s="203"/>
      <c r="F775" s="203"/>
      <c r="G775" s="203"/>
      <c r="H775" s="203"/>
      <c r="I775" s="203"/>
      <c r="J775" s="203"/>
      <c r="K775" s="203">
        <f t="shared" si="196"/>
        <v>192</v>
      </c>
      <c r="L775" s="203">
        <f t="shared" si="196"/>
        <v>233</v>
      </c>
      <c r="M775" s="203">
        <f t="shared" si="196"/>
        <v>269</v>
      </c>
      <c r="N775" s="203">
        <f t="shared" si="196"/>
        <v>297</v>
      </c>
      <c r="O775" s="202"/>
      <c r="P775" s="202"/>
      <c r="Q775" s="202"/>
      <c r="R775" s="203">
        <f>ENPRJ3!R302</f>
        <v>1</v>
      </c>
      <c r="S775" s="203">
        <f t="shared" si="195"/>
        <v>992</v>
      </c>
    </row>
    <row r="776" spans="1:20" ht="15.6">
      <c r="A776" s="204" t="s">
        <v>46</v>
      </c>
      <c r="B776" s="204"/>
      <c r="C776" s="203"/>
      <c r="D776" s="203"/>
      <c r="E776" s="203"/>
      <c r="F776" s="203"/>
      <c r="G776" s="203"/>
      <c r="H776" s="203"/>
      <c r="I776" s="203"/>
      <c r="J776" s="203"/>
      <c r="K776" s="203"/>
      <c r="L776" s="203"/>
      <c r="M776" s="203"/>
      <c r="N776" s="203"/>
      <c r="O776" s="202">
        <f>ROUND(B1176*O755,0)</f>
        <v>251</v>
      </c>
      <c r="P776" s="202">
        <f>ROUND(C1176*P755,0)</f>
        <v>385</v>
      </c>
      <c r="Q776" s="202">
        <f>ROUND(D1176*Q755,0)</f>
        <v>304</v>
      </c>
      <c r="R776" s="203">
        <f>ENPRJ3!R303</f>
        <v>14</v>
      </c>
      <c r="S776" s="203">
        <f t="shared" si="195"/>
        <v>954</v>
      </c>
    </row>
    <row r="777" spans="1:20" ht="15.6">
      <c r="A777" s="204" t="s">
        <v>47</v>
      </c>
      <c r="B777" s="204"/>
      <c r="C777" s="203"/>
      <c r="D777" s="203"/>
      <c r="E777" s="203"/>
      <c r="F777" s="203"/>
      <c r="G777" s="203"/>
      <c r="H777" s="203"/>
      <c r="I777" s="203"/>
      <c r="J777" s="203"/>
      <c r="K777" s="203"/>
      <c r="L777" s="203"/>
      <c r="M777" s="203"/>
      <c r="N777" s="203"/>
      <c r="O777" s="202">
        <f t="shared" ref="O777:Q779" si="197">ROUND(O23*O756,0)</f>
        <v>236</v>
      </c>
      <c r="P777" s="202">
        <f t="shared" si="197"/>
        <v>383</v>
      </c>
      <c r="Q777" s="202">
        <f t="shared" si="197"/>
        <v>360</v>
      </c>
      <c r="R777" s="203">
        <f>ENPRJ3!R304</f>
        <v>14</v>
      </c>
      <c r="S777" s="203">
        <f t="shared" si="195"/>
        <v>993</v>
      </c>
    </row>
    <row r="778" spans="1:20" ht="15.6">
      <c r="A778" s="204" t="s">
        <v>48</v>
      </c>
      <c r="B778" s="204"/>
      <c r="C778" s="203"/>
      <c r="D778" s="203"/>
      <c r="E778" s="203"/>
      <c r="F778" s="203"/>
      <c r="G778" s="203"/>
      <c r="H778" s="203"/>
      <c r="I778" s="203"/>
      <c r="J778" s="203"/>
      <c r="K778" s="203"/>
      <c r="L778" s="203"/>
      <c r="M778" s="203"/>
      <c r="N778" s="203"/>
      <c r="O778" s="202">
        <f t="shared" si="197"/>
        <v>232</v>
      </c>
      <c r="P778" s="202">
        <f t="shared" si="197"/>
        <v>342</v>
      </c>
      <c r="Q778" s="202">
        <f t="shared" si="197"/>
        <v>344</v>
      </c>
      <c r="R778" s="203">
        <f>ENPRJ3!R305</f>
        <v>14</v>
      </c>
      <c r="S778" s="203">
        <f t="shared" si="195"/>
        <v>932</v>
      </c>
    </row>
    <row r="779" spans="1:20" ht="15.6">
      <c r="A779" s="204" t="s">
        <v>49</v>
      </c>
      <c r="B779" s="204"/>
      <c r="C779" s="203"/>
      <c r="D779" s="203"/>
      <c r="E779" s="203"/>
      <c r="F779" s="203"/>
      <c r="G779" s="203"/>
      <c r="H779" s="203"/>
      <c r="I779" s="203"/>
      <c r="J779" s="203"/>
      <c r="K779" s="203"/>
      <c r="L779" s="203"/>
      <c r="M779" s="203"/>
      <c r="N779" s="203"/>
      <c r="O779" s="202">
        <f t="shared" si="197"/>
        <v>237</v>
      </c>
      <c r="P779" s="202">
        <f t="shared" si="197"/>
        <v>369</v>
      </c>
      <c r="Q779" s="202">
        <f t="shared" si="197"/>
        <v>280</v>
      </c>
      <c r="R779" s="203">
        <f>ENPRJ3!R306</f>
        <v>12</v>
      </c>
      <c r="S779" s="203">
        <f t="shared" si="195"/>
        <v>898</v>
      </c>
    </row>
    <row r="780" spans="1:20" ht="15.6">
      <c r="A780" s="204" t="s">
        <v>50</v>
      </c>
      <c r="B780" s="82">
        <f>(B27/SUM($S$14:$S$26))*SUM($S$767:$S$779)</f>
        <v>0</v>
      </c>
      <c r="C780" s="82">
        <f t="shared" ref="C780:Q780" si="198">ROUND((C27/SUM($S$14:$S$26))*SUM($S$767:$S$779),0)</f>
        <v>0</v>
      </c>
      <c r="D780" s="82">
        <f t="shared" si="198"/>
        <v>0</v>
      </c>
      <c r="E780" s="82">
        <f t="shared" si="198"/>
        <v>0</v>
      </c>
      <c r="F780" s="82">
        <f t="shared" si="198"/>
        <v>0</v>
      </c>
      <c r="G780" s="82">
        <f t="shared" si="198"/>
        <v>0</v>
      </c>
      <c r="H780" s="82">
        <f t="shared" si="198"/>
        <v>0</v>
      </c>
      <c r="I780" s="82">
        <f t="shared" si="198"/>
        <v>0</v>
      </c>
      <c r="J780" s="82">
        <f t="shared" si="198"/>
        <v>0</v>
      </c>
      <c r="K780" s="82">
        <f t="shared" si="198"/>
        <v>0</v>
      </c>
      <c r="L780" s="82">
        <f t="shared" si="198"/>
        <v>0</v>
      </c>
      <c r="M780" s="82">
        <f t="shared" si="198"/>
        <v>0</v>
      </c>
      <c r="N780" s="82">
        <f t="shared" si="198"/>
        <v>0</v>
      </c>
      <c r="O780" s="163">
        <f t="shared" si="198"/>
        <v>6</v>
      </c>
      <c r="P780" s="163">
        <f t="shared" si="198"/>
        <v>9</v>
      </c>
      <c r="Q780" s="163">
        <f t="shared" si="198"/>
        <v>7</v>
      </c>
      <c r="R780" s="203">
        <f>ENPRJ3!R307</f>
        <v>0</v>
      </c>
      <c r="S780" s="203">
        <f t="shared" si="195"/>
        <v>22</v>
      </c>
    </row>
    <row r="781" spans="1:20" ht="15.6">
      <c r="A781" s="205"/>
      <c r="B781" s="155"/>
      <c r="C781" s="155"/>
      <c r="D781" s="155"/>
      <c r="E781" s="155"/>
      <c r="F781" s="155"/>
      <c r="G781" s="155"/>
      <c r="H781" s="155"/>
      <c r="I781" s="155"/>
      <c r="J781" s="155"/>
      <c r="K781" s="155"/>
      <c r="L781" s="155"/>
      <c r="M781" s="155"/>
      <c r="N781" s="155"/>
      <c r="O781" s="262"/>
      <c r="P781" s="262"/>
      <c r="Q781" s="262"/>
      <c r="R781" s="155"/>
      <c r="S781" s="206"/>
      <c r="T781" s="89"/>
    </row>
    <row r="782" spans="1:20" ht="15.6">
      <c r="A782" s="207" t="s">
        <v>51</v>
      </c>
      <c r="B782" s="208">
        <f t="shared" ref="B782:S782" si="199">SUM(B767:B780)</f>
        <v>609</v>
      </c>
      <c r="C782" s="208">
        <f t="shared" si="199"/>
        <v>442</v>
      </c>
      <c r="D782" s="208">
        <f t="shared" si="199"/>
        <v>540</v>
      </c>
      <c r="E782" s="208">
        <f t="shared" si="199"/>
        <v>520</v>
      </c>
      <c r="F782" s="208">
        <f t="shared" si="199"/>
        <v>600</v>
      </c>
      <c r="G782" s="208">
        <f t="shared" si="199"/>
        <v>531</v>
      </c>
      <c r="H782" s="208">
        <f t="shared" si="199"/>
        <v>586</v>
      </c>
      <c r="I782" s="208">
        <f t="shared" si="199"/>
        <v>457</v>
      </c>
      <c r="J782" s="208">
        <f t="shared" si="199"/>
        <v>594</v>
      </c>
      <c r="K782" s="208">
        <f t="shared" si="199"/>
        <v>555</v>
      </c>
      <c r="L782" s="208">
        <f t="shared" si="199"/>
        <v>728</v>
      </c>
      <c r="M782" s="208">
        <f t="shared" si="199"/>
        <v>751</v>
      </c>
      <c r="N782" s="208">
        <f t="shared" si="199"/>
        <v>884</v>
      </c>
      <c r="O782" s="261">
        <f>SUM(O767:O780)</f>
        <v>962</v>
      </c>
      <c r="P782" s="261">
        <f t="shared" si="199"/>
        <v>1488</v>
      </c>
      <c r="Q782" s="261">
        <f t="shared" si="199"/>
        <v>1295</v>
      </c>
      <c r="R782" s="261">
        <f t="shared" si="199"/>
        <v>57</v>
      </c>
      <c r="S782" s="209">
        <f t="shared" si="199"/>
        <v>11599</v>
      </c>
      <c r="T782" s="125"/>
    </row>
    <row r="783" spans="1:20" ht="15.6">
      <c r="A783" s="203"/>
      <c r="B783" s="203"/>
      <c r="C783" s="210"/>
      <c r="D783" s="210"/>
      <c r="E783" s="210"/>
      <c r="F783" s="210"/>
      <c r="G783" s="210"/>
      <c r="H783" s="210"/>
      <c r="I783" s="210"/>
      <c r="J783" s="210"/>
      <c r="K783" s="210"/>
      <c r="L783" s="210"/>
      <c r="M783" s="210"/>
      <c r="N783" s="210"/>
      <c r="O783" s="210"/>
      <c r="P783" s="210"/>
      <c r="Q783" s="210"/>
      <c r="R783" s="203"/>
      <c r="S783" s="210"/>
      <c r="T783" s="94"/>
    </row>
    <row r="784" spans="1:20" ht="15.6">
      <c r="A784" s="204" t="s">
        <v>93</v>
      </c>
      <c r="B784" s="210">
        <f>ENPRJ3!B33</f>
        <v>625</v>
      </c>
      <c r="C784" s="210">
        <f>ENPRJ3!C33</f>
        <v>575</v>
      </c>
      <c r="D784" s="210">
        <f>ENPRJ3!D33</f>
        <v>600</v>
      </c>
      <c r="E784" s="210">
        <f>ENPRJ3!E33</f>
        <v>725</v>
      </c>
      <c r="F784" s="210">
        <f>ENPRJ3!F33</f>
        <v>725</v>
      </c>
      <c r="G784" s="210">
        <f>ENPRJ3!G33</f>
        <v>625</v>
      </c>
      <c r="H784" s="210">
        <f>ENPRJ3!H33</f>
        <v>700</v>
      </c>
      <c r="I784" s="210">
        <f>ENPRJ3!I33</f>
        <v>593</v>
      </c>
      <c r="J784" s="210">
        <f>ENPRJ3!J33</f>
        <v>750</v>
      </c>
      <c r="K784" s="210">
        <f>ENPRJ3!K33</f>
        <v>667</v>
      </c>
      <c r="L784" s="210">
        <f>ENPRJ3!L33</f>
        <v>864</v>
      </c>
      <c r="M784" s="210">
        <f>ENPRJ3!M33</f>
        <v>779</v>
      </c>
      <c r="N784" s="210">
        <f>ENPRJ3!N33</f>
        <v>756</v>
      </c>
      <c r="O784" s="210">
        <f>ENPRJ3!O33</f>
        <v>1267</v>
      </c>
      <c r="P784" s="210">
        <f>ENPRJ3!P33</f>
        <v>1495</v>
      </c>
      <c r="Q784" s="210">
        <f>ENPRJ3!Q33</f>
        <v>1019</v>
      </c>
      <c r="R784" s="210">
        <v>100</v>
      </c>
      <c r="S784" s="210">
        <f>SUM(B784:R784)</f>
        <v>12865</v>
      </c>
    </row>
    <row r="785" spans="1:20" ht="15.6">
      <c r="A785" s="203"/>
      <c r="B785" s="203"/>
      <c r="C785" s="203"/>
      <c r="D785" s="203"/>
      <c r="E785" s="203"/>
      <c r="F785" s="203"/>
      <c r="G785" s="203"/>
      <c r="H785" s="203"/>
      <c r="I785" s="203"/>
      <c r="J785" s="203"/>
      <c r="K785" s="203"/>
      <c r="L785" s="203"/>
      <c r="M785" s="203"/>
      <c r="N785" s="203"/>
      <c r="O785" s="203"/>
      <c r="P785" s="203"/>
      <c r="Q785" s="203"/>
      <c r="R785" s="203"/>
      <c r="S785" s="203"/>
    </row>
    <row r="786" spans="1:20" ht="15.6">
      <c r="A786" s="204" t="s">
        <v>94</v>
      </c>
      <c r="B786" s="211">
        <f t="shared" ref="B786:R786" si="200">B782/B784</f>
        <v>0.97440000000000004</v>
      </c>
      <c r="C786" s="211">
        <f t="shared" si="200"/>
        <v>0.768695652173913</v>
      </c>
      <c r="D786" s="211">
        <f t="shared" si="200"/>
        <v>0.9</v>
      </c>
      <c r="E786" s="211">
        <f t="shared" si="200"/>
        <v>0.71724137931034482</v>
      </c>
      <c r="F786" s="211">
        <f t="shared" si="200"/>
        <v>0.82758620689655171</v>
      </c>
      <c r="G786" s="211">
        <f t="shared" si="200"/>
        <v>0.84960000000000002</v>
      </c>
      <c r="H786" s="211">
        <f t="shared" si="200"/>
        <v>0.83714285714285719</v>
      </c>
      <c r="I786" s="211">
        <f t="shared" si="200"/>
        <v>0.77065767284991571</v>
      </c>
      <c r="J786" s="211">
        <f t="shared" si="200"/>
        <v>0.79200000000000004</v>
      </c>
      <c r="K786" s="211">
        <f t="shared" si="200"/>
        <v>0.83208395802098956</v>
      </c>
      <c r="L786" s="211">
        <f t="shared" si="200"/>
        <v>0.84259259259259256</v>
      </c>
      <c r="M786" s="211">
        <f t="shared" si="200"/>
        <v>0.96405648267008981</v>
      </c>
      <c r="N786" s="211">
        <f t="shared" si="200"/>
        <v>1.1693121693121693</v>
      </c>
      <c r="O786" s="211">
        <f t="shared" si="200"/>
        <v>0.75927387529597479</v>
      </c>
      <c r="P786" s="211">
        <f t="shared" si="200"/>
        <v>0.99531772575250832</v>
      </c>
      <c r="Q786" s="211">
        <f t="shared" si="200"/>
        <v>1.2708537782139353</v>
      </c>
      <c r="R786" s="211">
        <f t="shared" si="200"/>
        <v>0.56999999999999995</v>
      </c>
      <c r="S786" s="211">
        <f>S782/S784</f>
        <v>0.90159347065682083</v>
      </c>
    </row>
    <row r="788" spans="1:20">
      <c r="A788" s="212"/>
      <c r="B788" s="128"/>
      <c r="C788" s="128"/>
      <c r="D788" s="128"/>
      <c r="E788" s="128"/>
      <c r="F788" s="128"/>
      <c r="G788" s="128"/>
      <c r="H788" s="128"/>
      <c r="I788" s="128"/>
      <c r="J788" s="128"/>
      <c r="K788" s="128"/>
      <c r="L788" s="128"/>
      <c r="M788" s="128"/>
      <c r="N788" s="128"/>
      <c r="O788" s="128"/>
      <c r="P788" s="128"/>
      <c r="Q788" s="128"/>
      <c r="S788" s="128"/>
    </row>
    <row r="790" spans="1:20" ht="17.399999999999999">
      <c r="B790" s="121" t="s">
        <v>339</v>
      </c>
      <c r="M790" s="258"/>
      <c r="N790" s="67" t="s">
        <v>431</v>
      </c>
    </row>
    <row r="791" spans="1:20">
      <c r="C791" s="198" t="s">
        <v>92</v>
      </c>
    </row>
    <row r="793" spans="1:20">
      <c r="A793" s="68" t="s">
        <v>24</v>
      </c>
      <c r="B793" s="790" t="s">
        <v>25</v>
      </c>
      <c r="C793" s="790"/>
      <c r="D793" s="790"/>
      <c r="E793" s="790"/>
      <c r="F793" s="790"/>
      <c r="G793" s="790"/>
      <c r="H793" s="790"/>
      <c r="I793" s="790"/>
      <c r="J793" s="790"/>
      <c r="K793" s="790" t="s">
        <v>323</v>
      </c>
      <c r="L793" s="790"/>
      <c r="M793" s="790"/>
      <c r="N793" s="790"/>
      <c r="O793" s="790" t="s">
        <v>26</v>
      </c>
      <c r="P793" s="790"/>
      <c r="Q793" s="790"/>
      <c r="R793" s="199"/>
      <c r="S793" s="200" t="s">
        <v>27</v>
      </c>
      <c r="T793" s="70"/>
    </row>
    <row r="794" spans="1:20">
      <c r="A794" s="73"/>
      <c r="B794" s="74" t="s">
        <v>333</v>
      </c>
      <c r="C794" s="74" t="s">
        <v>334</v>
      </c>
      <c r="D794" s="74" t="s">
        <v>270</v>
      </c>
      <c r="E794" s="74" t="s">
        <v>271</v>
      </c>
      <c r="F794" s="74" t="s">
        <v>35</v>
      </c>
      <c r="G794" s="74" t="s">
        <v>370</v>
      </c>
      <c r="H794" s="74" t="s">
        <v>356</v>
      </c>
      <c r="I794" s="74" t="s">
        <v>361</v>
      </c>
      <c r="J794" s="74" t="s">
        <v>406</v>
      </c>
      <c r="K794" s="74" t="s">
        <v>363</v>
      </c>
      <c r="L794" s="74" t="s">
        <v>36</v>
      </c>
      <c r="M794" s="74" t="s">
        <v>86</v>
      </c>
      <c r="N794" s="74" t="s">
        <v>99</v>
      </c>
      <c r="O794" s="74" t="s">
        <v>346</v>
      </c>
      <c r="P794" s="74" t="s">
        <v>90</v>
      </c>
      <c r="Q794" s="74" t="s">
        <v>103</v>
      </c>
      <c r="R794" s="74" t="s">
        <v>343</v>
      </c>
      <c r="S794" s="77"/>
      <c r="T794" s="70"/>
    </row>
    <row r="796" spans="1:20" ht="15.6">
      <c r="A796" s="539" t="s">
        <v>391</v>
      </c>
      <c r="B796" s="213">
        <f>B431</f>
        <v>92</v>
      </c>
      <c r="C796" s="203">
        <f>E431</f>
        <v>68</v>
      </c>
      <c r="D796" s="203">
        <f>H431</f>
        <v>91</v>
      </c>
      <c r="E796" s="203">
        <f>K431</f>
        <v>85</v>
      </c>
      <c r="F796" s="203">
        <f>N431</f>
        <v>96</v>
      </c>
      <c r="G796" s="203">
        <f>Q431</f>
        <v>86</v>
      </c>
      <c r="H796" s="203">
        <f>T431</f>
        <v>86</v>
      </c>
      <c r="I796" s="203">
        <f>W431</f>
        <v>76</v>
      </c>
      <c r="J796" s="203">
        <f>Z431</f>
        <v>97</v>
      </c>
      <c r="K796" s="203"/>
      <c r="L796" s="203"/>
      <c r="M796" s="203"/>
      <c r="N796" s="204"/>
      <c r="O796" s="203"/>
      <c r="P796" s="203"/>
      <c r="Q796" s="203"/>
      <c r="R796" s="203"/>
      <c r="S796" s="203">
        <f t="shared" ref="S796:S801" si="201">SUM(B796:R796)</f>
        <v>777</v>
      </c>
    </row>
    <row r="797" spans="1:20" ht="15.6">
      <c r="A797" s="539">
        <v>1</v>
      </c>
      <c r="B797" s="203">
        <f t="shared" ref="B797:J801" si="202">ROUND(B767*B747,0)</f>
        <v>96</v>
      </c>
      <c r="C797" s="203">
        <f t="shared" si="202"/>
        <v>74</v>
      </c>
      <c r="D797" s="203">
        <f t="shared" si="202"/>
        <v>94</v>
      </c>
      <c r="E797" s="203">
        <f t="shared" si="202"/>
        <v>83</v>
      </c>
      <c r="F797" s="203">
        <f t="shared" si="202"/>
        <v>99</v>
      </c>
      <c r="G797" s="203">
        <f t="shared" si="202"/>
        <v>88</v>
      </c>
      <c r="H797" s="203">
        <f t="shared" si="202"/>
        <v>94</v>
      </c>
      <c r="I797" s="203">
        <f t="shared" si="202"/>
        <v>74</v>
      </c>
      <c r="J797" s="203">
        <f t="shared" si="202"/>
        <v>101</v>
      </c>
      <c r="K797" s="203"/>
      <c r="L797" s="203"/>
      <c r="M797" s="203"/>
      <c r="N797" s="203"/>
      <c r="O797" s="203"/>
      <c r="P797" s="203"/>
      <c r="Q797" s="203"/>
      <c r="R797" s="203"/>
      <c r="S797" s="203">
        <f t="shared" si="201"/>
        <v>803</v>
      </c>
    </row>
    <row r="798" spans="1:20" ht="15.6">
      <c r="A798" s="539">
        <v>2</v>
      </c>
      <c r="B798" s="203">
        <f t="shared" si="202"/>
        <v>89</v>
      </c>
      <c r="C798" s="203">
        <f t="shared" si="202"/>
        <v>65</v>
      </c>
      <c r="D798" s="203">
        <f t="shared" si="202"/>
        <v>89</v>
      </c>
      <c r="E798" s="203">
        <f t="shared" si="202"/>
        <v>68</v>
      </c>
      <c r="F798" s="203">
        <f t="shared" si="202"/>
        <v>94</v>
      </c>
      <c r="G798" s="203">
        <f>ROUND(G768*G748,0)</f>
        <v>80</v>
      </c>
      <c r="H798" s="203">
        <f t="shared" si="202"/>
        <v>88</v>
      </c>
      <c r="I798" s="203">
        <f t="shared" si="202"/>
        <v>71</v>
      </c>
      <c r="J798" s="203">
        <f>ROUND(J768*J748,0)</f>
        <v>108</v>
      </c>
      <c r="K798" s="203"/>
      <c r="L798" s="203"/>
      <c r="M798" s="203"/>
      <c r="N798" s="203"/>
      <c r="O798" s="203"/>
      <c r="P798" s="203"/>
      <c r="Q798" s="203"/>
      <c r="R798" s="203"/>
      <c r="S798" s="203">
        <f t="shared" si="201"/>
        <v>752</v>
      </c>
    </row>
    <row r="799" spans="1:20" ht="15.6">
      <c r="A799" s="539">
        <v>3</v>
      </c>
      <c r="B799" s="203">
        <f t="shared" si="202"/>
        <v>90</v>
      </c>
      <c r="C799" s="203">
        <f t="shared" si="202"/>
        <v>67</v>
      </c>
      <c r="D799" s="203">
        <f t="shared" si="202"/>
        <v>88</v>
      </c>
      <c r="E799" s="203">
        <f t="shared" si="202"/>
        <v>77</v>
      </c>
      <c r="F799" s="203">
        <f t="shared" si="202"/>
        <v>89</v>
      </c>
      <c r="G799" s="203">
        <f>ROUND(G769*G749,0)</f>
        <v>92</v>
      </c>
      <c r="H799" s="203">
        <f t="shared" si="202"/>
        <v>97</v>
      </c>
      <c r="I799" s="203">
        <f t="shared" si="202"/>
        <v>75</v>
      </c>
      <c r="J799" s="203">
        <f>ROUND(J769*J749,0)</f>
        <v>89</v>
      </c>
      <c r="K799" s="203"/>
      <c r="L799" s="203"/>
      <c r="M799" s="203"/>
      <c r="N799" s="203"/>
      <c r="O799" s="203"/>
      <c r="P799" s="203"/>
      <c r="Q799" s="203"/>
      <c r="R799" s="203"/>
      <c r="S799" s="203">
        <f t="shared" si="201"/>
        <v>764</v>
      </c>
    </row>
    <row r="800" spans="1:20" ht="15.6">
      <c r="A800" s="204" t="s">
        <v>41</v>
      </c>
      <c r="B800" s="203">
        <f t="shared" si="202"/>
        <v>109</v>
      </c>
      <c r="C800" s="203">
        <f t="shared" si="202"/>
        <v>75</v>
      </c>
      <c r="D800" s="203">
        <f t="shared" si="202"/>
        <v>97</v>
      </c>
      <c r="E800" s="203">
        <f t="shared" si="202"/>
        <v>98</v>
      </c>
      <c r="F800" s="203">
        <f t="shared" si="202"/>
        <v>107</v>
      </c>
      <c r="G800" s="203">
        <f>ROUND(G770*G750,0)</f>
        <v>84</v>
      </c>
      <c r="H800" s="203">
        <f t="shared" si="202"/>
        <v>99</v>
      </c>
      <c r="I800" s="203">
        <f t="shared" si="202"/>
        <v>69</v>
      </c>
      <c r="J800" s="203">
        <f>ROUND(J770*J750,0)</f>
        <v>99</v>
      </c>
      <c r="K800" s="203"/>
      <c r="L800" s="203"/>
      <c r="M800" s="203"/>
      <c r="N800" s="203"/>
      <c r="O800" s="203"/>
      <c r="P800" s="203"/>
      <c r="Q800" s="203"/>
      <c r="R800" s="203"/>
      <c r="S800" s="203">
        <f t="shared" si="201"/>
        <v>837</v>
      </c>
    </row>
    <row r="801" spans="1:19" ht="15.6">
      <c r="A801" s="204" t="s">
        <v>42</v>
      </c>
      <c r="B801" s="203">
        <f t="shared" si="202"/>
        <v>104</v>
      </c>
      <c r="C801" s="203">
        <f t="shared" si="202"/>
        <v>89</v>
      </c>
      <c r="D801" s="203">
        <f t="shared" si="202"/>
        <v>97</v>
      </c>
      <c r="E801" s="203">
        <f t="shared" si="202"/>
        <v>92</v>
      </c>
      <c r="F801" s="203">
        <f>ROUND(F771*F751,0)</f>
        <v>114</v>
      </c>
      <c r="G801" s="203">
        <f>ROUND(G771*G751,0)</f>
        <v>105</v>
      </c>
      <c r="H801" s="203">
        <f t="shared" si="202"/>
        <v>123</v>
      </c>
      <c r="I801" s="203">
        <f t="shared" si="202"/>
        <v>74</v>
      </c>
      <c r="J801" s="203">
        <f>ROUND(J771*J751,0)</f>
        <v>113</v>
      </c>
      <c r="K801" s="203"/>
      <c r="L801" s="203"/>
      <c r="M801" s="203"/>
      <c r="O801" s="203"/>
      <c r="P801" s="203"/>
      <c r="Q801" s="203"/>
      <c r="R801" s="203"/>
      <c r="S801" s="203">
        <f t="shared" si="201"/>
        <v>911</v>
      </c>
    </row>
    <row r="802" spans="1:19" ht="15.6">
      <c r="A802" s="204" t="s">
        <v>43</v>
      </c>
      <c r="B802" s="204"/>
      <c r="C802" s="203"/>
      <c r="D802" s="203"/>
      <c r="E802" s="203"/>
      <c r="F802" s="203"/>
      <c r="G802" s="203"/>
      <c r="H802" s="203"/>
      <c r="I802" s="203"/>
      <c r="J802" s="203"/>
      <c r="K802" s="214">
        <f>F1013*K752</f>
        <v>182.87648054145515</v>
      </c>
      <c r="L802" s="214">
        <f>G1013*L752</f>
        <v>236.87701672657636</v>
      </c>
      <c r="M802" s="214">
        <f>H1013*M752</f>
        <v>234.53898768809853</v>
      </c>
      <c r="N802" s="214">
        <f>I1013*N752</f>
        <v>272.94857142857148</v>
      </c>
      <c r="O802" s="203"/>
      <c r="P802" s="203"/>
      <c r="Q802" s="203"/>
      <c r="R802" s="210">
        <f>ENPRJ3!R330</f>
        <v>-2</v>
      </c>
      <c r="S802" s="214">
        <f t="shared" ref="S802:S809" si="203">SUM(C802:R802)</f>
        <v>925.24105638470155</v>
      </c>
    </row>
    <row r="803" spans="1:19" ht="15.6">
      <c r="A803" s="204" t="s">
        <v>44</v>
      </c>
      <c r="B803" s="204"/>
      <c r="C803" s="203"/>
      <c r="D803" s="203"/>
      <c r="E803" s="203"/>
      <c r="F803" s="203"/>
      <c r="G803" s="203"/>
      <c r="H803" s="203"/>
      <c r="I803" s="203"/>
      <c r="J803" s="203"/>
      <c r="K803" s="203">
        <f t="shared" ref="K803:N804" si="204">ROUND(K773*K753,0)</f>
        <v>187</v>
      </c>
      <c r="L803" s="203">
        <f t="shared" si="204"/>
        <v>249</v>
      </c>
      <c r="M803" s="203">
        <f t="shared" si="204"/>
        <v>251</v>
      </c>
      <c r="N803" s="203">
        <f t="shared" si="204"/>
        <v>289</v>
      </c>
      <c r="O803" s="203"/>
      <c r="P803" s="203"/>
      <c r="Q803" s="203"/>
      <c r="R803" s="210">
        <f>ENPRJ3!R331</f>
        <v>1</v>
      </c>
      <c r="S803" s="203">
        <f t="shared" si="203"/>
        <v>977</v>
      </c>
    </row>
    <row r="804" spans="1:19" ht="15.6">
      <c r="A804" s="204" t="s">
        <v>45</v>
      </c>
      <c r="B804" s="204"/>
      <c r="C804" s="203"/>
      <c r="D804" s="203"/>
      <c r="E804" s="203"/>
      <c r="F804" s="203"/>
      <c r="G804" s="203"/>
      <c r="H804" s="203"/>
      <c r="I804" s="203"/>
      <c r="J804" s="203"/>
      <c r="K804" s="203">
        <f t="shared" si="204"/>
        <v>172</v>
      </c>
      <c r="L804" s="203">
        <f t="shared" si="204"/>
        <v>246</v>
      </c>
      <c r="M804" s="203">
        <f t="shared" si="204"/>
        <v>237</v>
      </c>
      <c r="N804" s="203">
        <f>ROUND(N774*N754,0)</f>
        <v>304</v>
      </c>
      <c r="O804" s="203"/>
      <c r="P804" s="203"/>
      <c r="Q804" s="203"/>
      <c r="R804" s="210">
        <f>ENPRJ3!R332</f>
        <v>1</v>
      </c>
      <c r="S804" s="203">
        <f t="shared" si="203"/>
        <v>960</v>
      </c>
    </row>
    <row r="805" spans="1:19" ht="15.6">
      <c r="A805" s="204" t="s">
        <v>46</v>
      </c>
      <c r="B805" s="204"/>
      <c r="C805" s="203"/>
      <c r="D805" s="203"/>
      <c r="E805" s="203"/>
      <c r="F805" s="203"/>
      <c r="G805" s="203"/>
      <c r="H805" s="203"/>
      <c r="I805" s="203"/>
      <c r="J805" s="203"/>
      <c r="K805" s="203"/>
      <c r="L805" s="203"/>
      <c r="M805" s="203"/>
      <c r="N805" s="203"/>
      <c r="O805" s="214">
        <f>(F1176*O755)</f>
        <v>269.78166431593797</v>
      </c>
      <c r="P805" s="214">
        <f>(G1176*P755)</f>
        <v>400.75747995683111</v>
      </c>
      <c r="Q805" s="214">
        <f>(H1176*Q755)</f>
        <v>302.35483870967738</v>
      </c>
      <c r="R805" s="210">
        <f>ENPRJ3!R333</f>
        <v>27</v>
      </c>
      <c r="S805" s="214">
        <f t="shared" si="203"/>
        <v>999.89398298244646</v>
      </c>
    </row>
    <row r="806" spans="1:19" ht="15.6">
      <c r="A806" s="204" t="s">
        <v>47</v>
      </c>
      <c r="B806" s="204"/>
      <c r="C806" s="203"/>
      <c r="D806" s="203"/>
      <c r="E806" s="203"/>
      <c r="F806" s="203"/>
      <c r="G806" s="203"/>
      <c r="H806" s="203"/>
      <c r="I806" s="203"/>
      <c r="J806" s="203"/>
      <c r="K806" s="203"/>
      <c r="L806" s="203"/>
      <c r="M806" s="203"/>
      <c r="N806" s="203"/>
      <c r="O806" s="203">
        <f t="shared" ref="O806:Q808" si="205">ROUND(O776*O756,0)</f>
        <v>248</v>
      </c>
      <c r="P806" s="203">
        <f t="shared" si="205"/>
        <v>358</v>
      </c>
      <c r="Q806" s="203">
        <f t="shared" si="205"/>
        <v>296</v>
      </c>
      <c r="R806" s="210">
        <f>ENPRJ3!R334</f>
        <v>14</v>
      </c>
      <c r="S806" s="203">
        <f t="shared" si="203"/>
        <v>916</v>
      </c>
    </row>
    <row r="807" spans="1:19" ht="15.6">
      <c r="A807" s="204" t="s">
        <v>48</v>
      </c>
      <c r="B807" s="204"/>
      <c r="C807" s="203"/>
      <c r="D807" s="203"/>
      <c r="E807" s="203"/>
      <c r="F807" s="203"/>
      <c r="G807" s="203"/>
      <c r="H807" s="203"/>
      <c r="I807" s="203"/>
      <c r="J807" s="203"/>
      <c r="K807" s="203"/>
      <c r="L807" s="203"/>
      <c r="M807" s="203"/>
      <c r="N807" s="203"/>
      <c r="O807" s="203">
        <f t="shared" si="205"/>
        <v>234</v>
      </c>
      <c r="P807" s="203">
        <f t="shared" si="205"/>
        <v>373</v>
      </c>
      <c r="Q807" s="203">
        <f t="shared" si="205"/>
        <v>349</v>
      </c>
      <c r="R807" s="210">
        <f>ENPRJ3!R335</f>
        <v>14</v>
      </c>
      <c r="S807" s="203">
        <f t="shared" si="203"/>
        <v>970</v>
      </c>
    </row>
    <row r="808" spans="1:19" ht="15.6">
      <c r="A808" s="204" t="s">
        <v>49</v>
      </c>
      <c r="B808" s="204"/>
      <c r="C808" s="203"/>
      <c r="D808" s="203"/>
      <c r="E808" s="203"/>
      <c r="F808" s="203"/>
      <c r="G808" s="203"/>
      <c r="H808" s="203"/>
      <c r="I808" s="203"/>
      <c r="J808" s="203"/>
      <c r="K808" s="203"/>
      <c r="L808" s="203"/>
      <c r="M808" s="203"/>
      <c r="N808" s="203"/>
      <c r="O808" s="203">
        <f t="shared" si="205"/>
        <v>223</v>
      </c>
      <c r="P808" s="203">
        <f t="shared" si="205"/>
        <v>319</v>
      </c>
      <c r="Q808" s="203">
        <f t="shared" si="205"/>
        <v>338</v>
      </c>
      <c r="R808" s="210">
        <f>ENPRJ3!R336</f>
        <v>13</v>
      </c>
      <c r="S808" s="203">
        <f t="shared" si="203"/>
        <v>893</v>
      </c>
    </row>
    <row r="809" spans="1:19" ht="15.6">
      <c r="A809" s="204" t="s">
        <v>50</v>
      </c>
      <c r="B809" s="82">
        <f t="shared" ref="B809:Q809" si="206">ROUND((B780/SUM($S$767:$S$779))*SUM($S$796:$S$808),0)</f>
        <v>0</v>
      </c>
      <c r="C809" s="82">
        <f t="shared" si="206"/>
        <v>0</v>
      </c>
      <c r="D809" s="82">
        <f t="shared" si="206"/>
        <v>0</v>
      </c>
      <c r="E809" s="82">
        <f t="shared" si="206"/>
        <v>0</v>
      </c>
      <c r="F809" s="82">
        <f t="shared" si="206"/>
        <v>0</v>
      </c>
      <c r="G809" s="82">
        <f t="shared" si="206"/>
        <v>0</v>
      </c>
      <c r="H809" s="82">
        <f t="shared" si="206"/>
        <v>0</v>
      </c>
      <c r="I809" s="82">
        <f t="shared" si="206"/>
        <v>0</v>
      </c>
      <c r="J809" s="82">
        <f t="shared" si="206"/>
        <v>0</v>
      </c>
      <c r="K809" s="82">
        <f t="shared" si="206"/>
        <v>0</v>
      </c>
      <c r="L809" s="61">
        <f t="shared" si="206"/>
        <v>0</v>
      </c>
      <c r="M809" s="61">
        <f t="shared" si="206"/>
        <v>0</v>
      </c>
      <c r="N809" s="61">
        <f t="shared" si="206"/>
        <v>0</v>
      </c>
      <c r="O809" s="61">
        <f t="shared" si="206"/>
        <v>6</v>
      </c>
      <c r="P809" s="61">
        <f t="shared" si="206"/>
        <v>9</v>
      </c>
      <c r="Q809" s="61">
        <f t="shared" si="206"/>
        <v>7</v>
      </c>
      <c r="R809" s="210">
        <f>ENPRJ3!R337</f>
        <v>0</v>
      </c>
      <c r="S809" s="203">
        <f t="shared" si="203"/>
        <v>22</v>
      </c>
    </row>
    <row r="810" spans="1:19" ht="15.6">
      <c r="A810" s="205"/>
      <c r="B810" s="155"/>
      <c r="C810" s="155"/>
      <c r="D810" s="155"/>
      <c r="E810" s="155"/>
      <c r="F810" s="155"/>
      <c r="G810" s="155"/>
      <c r="H810" s="155"/>
      <c r="I810" s="155"/>
      <c r="J810" s="155"/>
      <c r="K810" s="155"/>
      <c r="L810" s="155"/>
      <c r="M810" s="155"/>
      <c r="N810" s="155"/>
      <c r="O810" s="155"/>
      <c r="P810" s="155"/>
      <c r="Q810" s="155"/>
      <c r="R810" s="155"/>
      <c r="S810" s="206"/>
    </row>
    <row r="811" spans="1:19" ht="15.6">
      <c r="A811" s="207" t="s">
        <v>51</v>
      </c>
      <c r="B811" s="208">
        <f t="shared" ref="B811:S811" si="207">SUM(B796:B809)</f>
        <v>580</v>
      </c>
      <c r="C811" s="208">
        <f t="shared" si="207"/>
        <v>438</v>
      </c>
      <c r="D811" s="208">
        <f t="shared" si="207"/>
        <v>556</v>
      </c>
      <c r="E811" s="208">
        <f t="shared" si="207"/>
        <v>503</v>
      </c>
      <c r="F811" s="208">
        <f t="shared" si="207"/>
        <v>599</v>
      </c>
      <c r="G811" s="208">
        <f t="shared" si="207"/>
        <v>535</v>
      </c>
      <c r="H811" s="208">
        <f t="shared" si="207"/>
        <v>587</v>
      </c>
      <c r="I811" s="208">
        <f t="shared" si="207"/>
        <v>439</v>
      </c>
      <c r="J811" s="208">
        <f t="shared" si="207"/>
        <v>607</v>
      </c>
      <c r="K811" s="208">
        <f t="shared" si="207"/>
        <v>541.87648054145518</v>
      </c>
      <c r="L811" s="208">
        <f t="shared" si="207"/>
        <v>731.87701672657636</v>
      </c>
      <c r="M811" s="208">
        <f t="shared" si="207"/>
        <v>722.53898768809859</v>
      </c>
      <c r="N811" s="208">
        <f t="shared" si="207"/>
        <v>865.94857142857154</v>
      </c>
      <c r="O811" s="208">
        <f t="shared" si="207"/>
        <v>980.78166431593797</v>
      </c>
      <c r="P811" s="208">
        <f t="shared" si="207"/>
        <v>1459.757479956831</v>
      </c>
      <c r="Q811" s="208">
        <f t="shared" si="207"/>
        <v>1292.3548387096773</v>
      </c>
      <c r="R811" s="208">
        <f>SUM(R802:R809)</f>
        <v>68</v>
      </c>
      <c r="S811" s="209">
        <f t="shared" si="207"/>
        <v>11507.135039367147</v>
      </c>
    </row>
    <row r="812" spans="1:19" ht="15.6">
      <c r="A812" s="203"/>
      <c r="B812" s="203"/>
      <c r="C812" s="210"/>
      <c r="D812" s="210"/>
      <c r="E812" s="210"/>
      <c r="F812" s="210"/>
      <c r="G812" s="210"/>
      <c r="H812" s="210"/>
      <c r="I812" s="210"/>
      <c r="J812" s="210"/>
      <c r="K812" s="210"/>
      <c r="L812" s="210"/>
      <c r="M812" s="210"/>
      <c r="N812" s="210"/>
      <c r="O812" s="210"/>
      <c r="P812" s="210"/>
      <c r="Q812" s="210"/>
      <c r="R812" s="203"/>
      <c r="S812" s="210"/>
    </row>
    <row r="813" spans="1:19" ht="15.6">
      <c r="A813" s="204" t="s">
        <v>93</v>
      </c>
      <c r="B813" s="210">
        <f t="shared" ref="B813:Q813" si="208">B784</f>
        <v>625</v>
      </c>
      <c r="C813" s="210">
        <f t="shared" si="208"/>
        <v>575</v>
      </c>
      <c r="D813" s="210">
        <f t="shared" si="208"/>
        <v>600</v>
      </c>
      <c r="E813" s="210">
        <f t="shared" si="208"/>
        <v>725</v>
      </c>
      <c r="F813" s="210">
        <f t="shared" si="208"/>
        <v>725</v>
      </c>
      <c r="G813" s="210">
        <f t="shared" si="208"/>
        <v>625</v>
      </c>
      <c r="H813" s="210">
        <f t="shared" si="208"/>
        <v>700</v>
      </c>
      <c r="I813" s="210">
        <f t="shared" si="208"/>
        <v>593</v>
      </c>
      <c r="J813" s="210">
        <f t="shared" si="208"/>
        <v>750</v>
      </c>
      <c r="K813" s="210">
        <f t="shared" si="208"/>
        <v>667</v>
      </c>
      <c r="L813" s="210">
        <f t="shared" si="208"/>
        <v>864</v>
      </c>
      <c r="M813" s="210">
        <f t="shared" si="208"/>
        <v>779</v>
      </c>
      <c r="N813" s="210">
        <f t="shared" si="208"/>
        <v>756</v>
      </c>
      <c r="O813" s="210">
        <f t="shared" si="208"/>
        <v>1267</v>
      </c>
      <c r="P813" s="210">
        <f t="shared" si="208"/>
        <v>1495</v>
      </c>
      <c r="Q813" s="210">
        <f t="shared" si="208"/>
        <v>1019</v>
      </c>
      <c r="R813" s="210">
        <v>100</v>
      </c>
      <c r="S813" s="210">
        <f>SUM(B813:R813)</f>
        <v>12865</v>
      </c>
    </row>
    <row r="814" spans="1:19" ht="15.6">
      <c r="A814" s="203"/>
      <c r="B814" s="203"/>
      <c r="C814" s="203"/>
      <c r="D814" s="203"/>
      <c r="E814" s="203"/>
      <c r="F814" s="203"/>
      <c r="G814" s="203"/>
      <c r="H814" s="203"/>
      <c r="I814" s="203"/>
      <c r="J814" s="203"/>
      <c r="K814" s="203"/>
      <c r="L814" s="203"/>
      <c r="M814" s="203"/>
      <c r="N814" s="211"/>
      <c r="O814" s="203"/>
      <c r="P814" s="203"/>
      <c r="Q814" s="203"/>
      <c r="R814" s="203"/>
      <c r="S814" s="203"/>
    </row>
    <row r="815" spans="1:19" ht="15.6">
      <c r="A815" s="204" t="s">
        <v>94</v>
      </c>
      <c r="B815" s="211">
        <f t="shared" ref="B815:Q815" si="209">B811/B813</f>
        <v>0.92800000000000005</v>
      </c>
      <c r="C815" s="211">
        <f t="shared" si="209"/>
        <v>0.76173913043478259</v>
      </c>
      <c r="D815" s="211">
        <f t="shared" si="209"/>
        <v>0.92666666666666664</v>
      </c>
      <c r="E815" s="211">
        <f t="shared" si="209"/>
        <v>0.69379310344827583</v>
      </c>
      <c r="F815" s="211">
        <f t="shared" si="209"/>
        <v>0.82620689655172419</v>
      </c>
      <c r="G815" s="211">
        <f t="shared" si="209"/>
        <v>0.85599999999999998</v>
      </c>
      <c r="H815" s="211">
        <f t="shared" si="209"/>
        <v>0.83857142857142852</v>
      </c>
      <c r="I815" s="211">
        <f t="shared" si="209"/>
        <v>0.7403035413153457</v>
      </c>
      <c r="J815" s="211">
        <f t="shared" si="209"/>
        <v>0.80933333333333335</v>
      </c>
      <c r="K815" s="211">
        <f t="shared" si="209"/>
        <v>0.81240851655390578</v>
      </c>
      <c r="L815" s="211">
        <f t="shared" si="209"/>
        <v>0.84707988047057448</v>
      </c>
      <c r="M815" s="211">
        <f t="shared" si="209"/>
        <v>0.92752116519653216</v>
      </c>
      <c r="N815" s="211">
        <f t="shared" si="209"/>
        <v>1.1454346182917612</v>
      </c>
      <c r="O815" s="211">
        <f t="shared" si="209"/>
        <v>0.77409760403783578</v>
      </c>
      <c r="P815" s="211">
        <f t="shared" si="209"/>
        <v>0.97642640799788027</v>
      </c>
      <c r="Q815" s="211">
        <f t="shared" si="209"/>
        <v>1.2682579378897716</v>
      </c>
      <c r="R815" s="211">
        <f>R811/R813</f>
        <v>0.68</v>
      </c>
      <c r="S815" s="211">
        <f>S811/S813</f>
        <v>0.8944527819173842</v>
      </c>
    </row>
    <row r="816" spans="1:19" ht="15.6">
      <c r="A816" s="204"/>
      <c r="B816" s="211"/>
      <c r="C816" s="211"/>
      <c r="D816" s="211"/>
      <c r="E816" s="211"/>
      <c r="F816" s="211"/>
      <c r="G816" s="211"/>
      <c r="H816" s="211"/>
      <c r="I816" s="211"/>
      <c r="J816" s="211"/>
      <c r="K816" s="211"/>
      <c r="L816" s="211"/>
      <c r="M816" s="211"/>
      <c r="N816" s="211"/>
      <c r="O816" s="211"/>
      <c r="P816" s="211"/>
      <c r="Q816" s="211"/>
      <c r="R816" s="203"/>
      <c r="S816" s="211"/>
    </row>
    <row r="817" spans="1:20">
      <c r="A817" s="212"/>
      <c r="B817" s="128"/>
      <c r="C817" s="128"/>
      <c r="D817" s="128"/>
      <c r="E817" s="128"/>
      <c r="F817" s="128"/>
      <c r="G817" s="128"/>
      <c r="H817" s="128"/>
      <c r="I817" s="128"/>
      <c r="J817" s="128"/>
      <c r="K817" s="128"/>
      <c r="L817" s="128"/>
      <c r="M817" s="128"/>
      <c r="N817" s="128"/>
      <c r="O817" s="128"/>
      <c r="P817" s="128"/>
      <c r="Q817" s="128"/>
      <c r="S817" s="128"/>
    </row>
    <row r="819" spans="1:20" ht="17.399999999999999">
      <c r="B819" s="121" t="s">
        <v>339</v>
      </c>
      <c r="M819" s="258"/>
      <c r="N819" s="67" t="s">
        <v>435</v>
      </c>
    </row>
    <row r="820" spans="1:20">
      <c r="C820" s="198" t="s">
        <v>92</v>
      </c>
    </row>
    <row r="822" spans="1:20">
      <c r="A822" s="68" t="s">
        <v>24</v>
      </c>
      <c r="B822" s="790" t="s">
        <v>25</v>
      </c>
      <c r="C822" s="790"/>
      <c r="D822" s="790"/>
      <c r="E822" s="790"/>
      <c r="F822" s="790"/>
      <c r="G822" s="790"/>
      <c r="H822" s="790"/>
      <c r="I822" s="790"/>
      <c r="J822" s="790"/>
      <c r="K822" s="790" t="s">
        <v>323</v>
      </c>
      <c r="L822" s="790"/>
      <c r="M822" s="790"/>
      <c r="N822" s="790"/>
      <c r="O822" s="790" t="s">
        <v>26</v>
      </c>
      <c r="P822" s="790"/>
      <c r="Q822" s="790"/>
      <c r="R822" s="199"/>
      <c r="S822" s="200" t="s">
        <v>27</v>
      </c>
      <c r="T822" s="70"/>
    </row>
    <row r="823" spans="1:20">
      <c r="A823" s="73"/>
      <c r="B823" s="74" t="s">
        <v>333</v>
      </c>
      <c r="C823" s="74" t="s">
        <v>334</v>
      </c>
      <c r="D823" s="74" t="s">
        <v>270</v>
      </c>
      <c r="E823" s="74" t="s">
        <v>271</v>
      </c>
      <c r="F823" s="74" t="s">
        <v>35</v>
      </c>
      <c r="G823" s="74" t="s">
        <v>370</v>
      </c>
      <c r="H823" s="74" t="s">
        <v>356</v>
      </c>
      <c r="I823" s="74" t="s">
        <v>361</v>
      </c>
      <c r="J823" s="74" t="s">
        <v>406</v>
      </c>
      <c r="K823" s="74" t="s">
        <v>363</v>
      </c>
      <c r="L823" s="74" t="s">
        <v>36</v>
      </c>
      <c r="M823" s="74" t="s">
        <v>86</v>
      </c>
      <c r="N823" s="74" t="s">
        <v>99</v>
      </c>
      <c r="O823" s="74" t="s">
        <v>346</v>
      </c>
      <c r="P823" s="74" t="s">
        <v>90</v>
      </c>
      <c r="Q823" s="74" t="s">
        <v>103</v>
      </c>
      <c r="R823" s="76" t="s">
        <v>343</v>
      </c>
      <c r="S823" s="77"/>
      <c r="T823" s="70"/>
    </row>
    <row r="825" spans="1:20" ht="15.6">
      <c r="A825" s="539" t="s">
        <v>391</v>
      </c>
      <c r="B825" s="202">
        <f>B432</f>
        <v>96</v>
      </c>
      <c r="C825" s="203">
        <f>E432</f>
        <v>70</v>
      </c>
      <c r="D825" s="203">
        <f>H432</f>
        <v>94</v>
      </c>
      <c r="E825" s="203">
        <f>K432</f>
        <v>88</v>
      </c>
      <c r="F825" s="203">
        <f>N432</f>
        <v>99</v>
      </c>
      <c r="G825" s="203">
        <f>Q432</f>
        <v>89</v>
      </c>
      <c r="H825" s="203">
        <f>T432</f>
        <v>90</v>
      </c>
      <c r="I825" s="203">
        <f>W432</f>
        <v>79</v>
      </c>
      <c r="J825" s="203">
        <f>Z432</f>
        <v>101</v>
      </c>
      <c r="K825" s="203"/>
      <c r="L825" s="203"/>
      <c r="M825" s="203"/>
      <c r="N825" s="203"/>
      <c r="O825" s="203"/>
      <c r="P825" s="203"/>
      <c r="Q825" s="203"/>
      <c r="R825" s="203"/>
      <c r="S825" s="203">
        <f t="shared" ref="S825:S830" si="210">SUM(B825:R825)</f>
        <v>806</v>
      </c>
    </row>
    <row r="826" spans="1:20" ht="15.6">
      <c r="A826" s="539">
        <v>1</v>
      </c>
      <c r="B826" s="203">
        <f t="shared" ref="B826:I830" si="211">ROUND(B796*B747,0)</f>
        <v>94</v>
      </c>
      <c r="C826" s="203">
        <f t="shared" si="211"/>
        <v>73</v>
      </c>
      <c r="D826" s="203">
        <f t="shared" si="211"/>
        <v>93</v>
      </c>
      <c r="E826" s="203">
        <f t="shared" si="211"/>
        <v>81</v>
      </c>
      <c r="F826" s="203">
        <f t="shared" si="211"/>
        <v>98</v>
      </c>
      <c r="G826" s="203">
        <f>ROUND(G796*G747,0)</f>
        <v>87</v>
      </c>
      <c r="H826" s="203">
        <f t="shared" si="211"/>
        <v>92</v>
      </c>
      <c r="I826" s="203">
        <f t="shared" si="211"/>
        <v>72</v>
      </c>
      <c r="J826" s="203">
        <f t="shared" ref="J826:J830" si="212">ROUND(J796*J747,0)</f>
        <v>99</v>
      </c>
      <c r="K826" s="203"/>
      <c r="L826" s="203"/>
      <c r="M826" s="203"/>
      <c r="N826" s="203"/>
      <c r="O826" s="203"/>
      <c r="P826" s="203"/>
      <c r="Q826" s="203"/>
      <c r="R826" s="203"/>
      <c r="S826" s="203">
        <f t="shared" si="210"/>
        <v>789</v>
      </c>
    </row>
    <row r="827" spans="1:20" ht="15.6">
      <c r="A827" s="539">
        <v>2</v>
      </c>
      <c r="B827" s="203">
        <f t="shared" si="211"/>
        <v>100</v>
      </c>
      <c r="C827" s="203">
        <f t="shared" si="211"/>
        <v>73</v>
      </c>
      <c r="D827" s="203">
        <f t="shared" si="211"/>
        <v>95</v>
      </c>
      <c r="E827" s="203">
        <f t="shared" si="211"/>
        <v>85</v>
      </c>
      <c r="F827" s="203">
        <f t="shared" si="211"/>
        <v>103</v>
      </c>
      <c r="G827" s="203">
        <f>ROUND(G797*G748,0)</f>
        <v>88</v>
      </c>
      <c r="H827" s="203">
        <f t="shared" si="211"/>
        <v>99</v>
      </c>
      <c r="I827" s="203">
        <f t="shared" si="211"/>
        <v>76</v>
      </c>
      <c r="J827" s="203">
        <f t="shared" si="212"/>
        <v>105</v>
      </c>
      <c r="K827" s="203"/>
      <c r="L827" s="203"/>
      <c r="M827" s="203"/>
      <c r="N827" s="203"/>
      <c r="O827" s="203"/>
      <c r="P827" s="203"/>
      <c r="Q827" s="203"/>
      <c r="R827" s="203"/>
      <c r="S827" s="203">
        <f t="shared" si="210"/>
        <v>824</v>
      </c>
    </row>
    <row r="828" spans="1:20" ht="15.6">
      <c r="A828" s="539">
        <v>3</v>
      </c>
      <c r="B828" s="203">
        <f t="shared" si="211"/>
        <v>92</v>
      </c>
      <c r="C828" s="203">
        <f t="shared" si="211"/>
        <v>64</v>
      </c>
      <c r="D828" s="203">
        <f t="shared" si="211"/>
        <v>89</v>
      </c>
      <c r="E828" s="203">
        <f t="shared" si="211"/>
        <v>68</v>
      </c>
      <c r="F828" s="203">
        <f t="shared" si="211"/>
        <v>94</v>
      </c>
      <c r="G828" s="203">
        <f>ROUND(G798*G749,0)</f>
        <v>83</v>
      </c>
      <c r="H828" s="203">
        <f t="shared" si="211"/>
        <v>90</v>
      </c>
      <c r="I828" s="203">
        <f t="shared" si="211"/>
        <v>72</v>
      </c>
      <c r="J828" s="203">
        <f t="shared" si="212"/>
        <v>109</v>
      </c>
      <c r="K828" s="203"/>
      <c r="L828" s="203"/>
      <c r="M828" s="203"/>
      <c r="N828" s="203"/>
      <c r="O828" s="203"/>
      <c r="P828" s="203"/>
      <c r="Q828" s="203"/>
      <c r="R828" s="203"/>
      <c r="S828" s="203">
        <f t="shared" si="210"/>
        <v>761</v>
      </c>
    </row>
    <row r="829" spans="1:20" ht="15.6">
      <c r="A829" s="204" t="s">
        <v>41</v>
      </c>
      <c r="B829" s="203">
        <f t="shared" si="211"/>
        <v>93</v>
      </c>
      <c r="C829" s="203">
        <f t="shared" si="211"/>
        <v>71</v>
      </c>
      <c r="D829" s="203">
        <f t="shared" si="211"/>
        <v>90</v>
      </c>
      <c r="E829" s="203">
        <f t="shared" si="211"/>
        <v>81</v>
      </c>
      <c r="F829" s="203">
        <f t="shared" si="211"/>
        <v>93</v>
      </c>
      <c r="G829" s="203">
        <f>ROUND(G799*G750,0)</f>
        <v>93</v>
      </c>
      <c r="H829" s="203">
        <f t="shared" si="211"/>
        <v>97</v>
      </c>
      <c r="I829" s="203">
        <f t="shared" si="211"/>
        <v>75</v>
      </c>
      <c r="J829" s="203">
        <f t="shared" si="212"/>
        <v>91</v>
      </c>
      <c r="K829" s="203"/>
      <c r="L829" s="203"/>
      <c r="M829" s="203"/>
      <c r="N829" s="203"/>
      <c r="O829" s="203"/>
      <c r="P829" s="203"/>
      <c r="Q829" s="203"/>
      <c r="R829" s="203"/>
      <c r="S829" s="203">
        <f t="shared" si="210"/>
        <v>784</v>
      </c>
    </row>
    <row r="830" spans="1:20" ht="15.6">
      <c r="A830" s="204" t="s">
        <v>42</v>
      </c>
      <c r="B830" s="203">
        <f t="shared" si="211"/>
        <v>111</v>
      </c>
      <c r="C830" s="203">
        <f t="shared" si="211"/>
        <v>78</v>
      </c>
      <c r="D830" s="203">
        <f t="shared" si="211"/>
        <v>97</v>
      </c>
      <c r="E830" s="203">
        <f t="shared" si="211"/>
        <v>102</v>
      </c>
      <c r="F830" s="203">
        <f>ROUND(F800*F751,0)</f>
        <v>108</v>
      </c>
      <c r="G830" s="203">
        <f>ROUND(G800*G751,0)</f>
        <v>85</v>
      </c>
      <c r="H830" s="203">
        <f t="shared" si="211"/>
        <v>102</v>
      </c>
      <c r="I830" s="203">
        <f t="shared" si="211"/>
        <v>66</v>
      </c>
      <c r="J830" s="203">
        <f t="shared" si="212"/>
        <v>100</v>
      </c>
      <c r="K830" s="203"/>
      <c r="L830" s="203"/>
      <c r="M830" s="203"/>
      <c r="O830" s="203"/>
      <c r="P830" s="203"/>
      <c r="Q830" s="203"/>
      <c r="R830" s="203"/>
      <c r="S830" s="203">
        <f t="shared" si="210"/>
        <v>849</v>
      </c>
    </row>
    <row r="831" spans="1:20" ht="15.6">
      <c r="A831" s="204" t="s">
        <v>43</v>
      </c>
      <c r="B831" s="204"/>
      <c r="C831" s="203"/>
      <c r="D831" s="203"/>
      <c r="E831" s="203"/>
      <c r="F831" s="203"/>
      <c r="G831" s="203"/>
      <c r="H831" s="203"/>
      <c r="I831" s="203"/>
      <c r="J831" s="203"/>
      <c r="K831" s="214">
        <f>J1013*K752</f>
        <v>188.53779143590049</v>
      </c>
      <c r="L831" s="214">
        <f>K1013*L752</f>
        <v>245.79861547031933</v>
      </c>
      <c r="M831" s="214">
        <f>L1013*M752</f>
        <v>239.26351405879404</v>
      </c>
      <c r="N831" s="214">
        <f>M1013*N752</f>
        <v>281.48462125151678</v>
      </c>
      <c r="O831" s="203"/>
      <c r="P831" s="203"/>
      <c r="Q831" s="203"/>
      <c r="R831" s="210">
        <f>ENPRJ3!R360</f>
        <v>2</v>
      </c>
      <c r="S831" s="214">
        <f t="shared" ref="S831:S838" si="213">SUM(C831:R831)</f>
        <v>957.08454221653074</v>
      </c>
    </row>
    <row r="832" spans="1:20" ht="15.6">
      <c r="A832" s="204" t="s">
        <v>44</v>
      </c>
      <c r="B832" s="204"/>
      <c r="C832" s="203"/>
      <c r="D832" s="203"/>
      <c r="E832" s="203"/>
      <c r="F832" s="203"/>
      <c r="G832" s="203"/>
      <c r="H832" s="203"/>
      <c r="I832" s="203"/>
      <c r="J832" s="203"/>
      <c r="K832" s="203">
        <f t="shared" ref="K832:N833" si="214">ROUND(K802*K753,0)</f>
        <v>180</v>
      </c>
      <c r="L832" s="203">
        <f t="shared" si="214"/>
        <v>240</v>
      </c>
      <c r="M832" s="203">
        <f t="shared" si="214"/>
        <v>240</v>
      </c>
      <c r="N832" s="203">
        <f t="shared" si="214"/>
        <v>278</v>
      </c>
      <c r="O832" s="203"/>
      <c r="P832" s="203"/>
      <c r="Q832" s="203"/>
      <c r="R832" s="210">
        <f>ENPRJ3!R361</f>
        <v>-2</v>
      </c>
      <c r="S832" s="203">
        <f t="shared" si="213"/>
        <v>936</v>
      </c>
    </row>
    <row r="833" spans="1:19" ht="15.6">
      <c r="A833" s="204" t="s">
        <v>45</v>
      </c>
      <c r="B833" s="204"/>
      <c r="C833" s="203"/>
      <c r="D833" s="203"/>
      <c r="E833" s="203"/>
      <c r="F833" s="203"/>
      <c r="G833" s="203"/>
      <c r="H833" s="203"/>
      <c r="I833" s="203"/>
      <c r="J833" s="203"/>
      <c r="K833" s="203">
        <f t="shared" si="214"/>
        <v>186</v>
      </c>
      <c r="L833" s="203">
        <f t="shared" si="214"/>
        <v>245</v>
      </c>
      <c r="M833" s="203">
        <f t="shared" si="214"/>
        <v>251</v>
      </c>
      <c r="N833" s="203">
        <f t="shared" si="214"/>
        <v>290</v>
      </c>
      <c r="O833" s="203"/>
      <c r="P833" s="203"/>
      <c r="Q833" s="203"/>
      <c r="R833" s="210">
        <f>ENPRJ3!R362</f>
        <v>1</v>
      </c>
      <c r="S833" s="203">
        <f t="shared" si="213"/>
        <v>973</v>
      </c>
    </row>
    <row r="834" spans="1:19" ht="15.6">
      <c r="A834" s="204" t="s">
        <v>46</v>
      </c>
      <c r="B834" s="204"/>
      <c r="C834" s="203"/>
      <c r="D834" s="203"/>
      <c r="E834" s="203"/>
      <c r="F834" s="203"/>
      <c r="G834" s="203"/>
      <c r="H834" s="203"/>
      <c r="I834" s="203"/>
      <c r="J834" s="203"/>
      <c r="K834" s="203"/>
      <c r="L834" s="203"/>
      <c r="M834" s="203"/>
      <c r="N834" s="203"/>
      <c r="O834" s="214">
        <f>J1176*O755</f>
        <v>269.08724561757009</v>
      </c>
      <c r="P834" s="214">
        <f>K1176*P755</f>
        <v>386.66379806528187</v>
      </c>
      <c r="Q834" s="214">
        <f>L1176*Q755</f>
        <v>284.68720146568086</v>
      </c>
      <c r="R834" s="210">
        <f>ENPRJ3!R363</f>
        <v>27</v>
      </c>
      <c r="S834" s="214">
        <f t="shared" si="213"/>
        <v>967.43824514853281</v>
      </c>
    </row>
    <row r="835" spans="1:19" ht="15.6">
      <c r="A835" s="204" t="s">
        <v>47</v>
      </c>
      <c r="B835" s="204"/>
      <c r="C835" s="203"/>
      <c r="D835" s="203"/>
      <c r="E835" s="203"/>
      <c r="F835" s="203"/>
      <c r="G835" s="203"/>
      <c r="H835" s="203"/>
      <c r="I835" s="203"/>
      <c r="J835" s="203"/>
      <c r="K835" s="203"/>
      <c r="L835" s="203"/>
      <c r="M835" s="203"/>
      <c r="N835" s="203"/>
      <c r="O835" s="203">
        <f t="shared" ref="O835:Q837" si="215">ROUND(O805*O756,0)</f>
        <v>266</v>
      </c>
      <c r="P835" s="203">
        <f t="shared" si="215"/>
        <v>372</v>
      </c>
      <c r="Q835" s="203">
        <f t="shared" si="215"/>
        <v>294</v>
      </c>
      <c r="R835" s="210">
        <f>ENPRJ3!R364</f>
        <v>26</v>
      </c>
      <c r="S835" s="203">
        <f t="shared" si="213"/>
        <v>958</v>
      </c>
    </row>
    <row r="836" spans="1:19" ht="15.6">
      <c r="A836" s="204" t="s">
        <v>48</v>
      </c>
      <c r="B836" s="204"/>
      <c r="C836" s="203"/>
      <c r="D836" s="203"/>
      <c r="E836" s="203"/>
      <c r="F836" s="203"/>
      <c r="G836" s="203"/>
      <c r="H836" s="203"/>
      <c r="I836" s="203"/>
      <c r="J836" s="203"/>
      <c r="K836" s="203"/>
      <c r="L836" s="203"/>
      <c r="M836" s="203"/>
      <c r="N836" s="203"/>
      <c r="O836" s="203">
        <f t="shared" si="215"/>
        <v>246</v>
      </c>
      <c r="P836" s="203">
        <f t="shared" si="215"/>
        <v>349</v>
      </c>
      <c r="Q836" s="203">
        <f t="shared" si="215"/>
        <v>287</v>
      </c>
      <c r="R836" s="210">
        <f>ENPRJ3!R365</f>
        <v>14</v>
      </c>
      <c r="S836" s="203">
        <f t="shared" si="213"/>
        <v>896</v>
      </c>
    </row>
    <row r="837" spans="1:19" ht="15.6">
      <c r="A837" s="204" t="s">
        <v>49</v>
      </c>
      <c r="B837" s="204"/>
      <c r="C837" s="203"/>
      <c r="D837" s="203"/>
      <c r="E837" s="203"/>
      <c r="F837" s="203"/>
      <c r="G837" s="203"/>
      <c r="H837" s="203"/>
      <c r="I837" s="203"/>
      <c r="J837" s="203"/>
      <c r="K837" s="203"/>
      <c r="L837" s="203"/>
      <c r="M837" s="203"/>
      <c r="N837" s="203"/>
      <c r="O837" s="203">
        <f t="shared" si="215"/>
        <v>225</v>
      </c>
      <c r="P837" s="203">
        <f t="shared" si="215"/>
        <v>348</v>
      </c>
      <c r="Q837" s="203">
        <f t="shared" si="215"/>
        <v>343</v>
      </c>
      <c r="R837" s="210">
        <f>ENPRJ3!R366</f>
        <v>13</v>
      </c>
      <c r="S837" s="203">
        <f t="shared" si="213"/>
        <v>929</v>
      </c>
    </row>
    <row r="838" spans="1:19" ht="15.6">
      <c r="A838" s="204" t="s">
        <v>50</v>
      </c>
      <c r="B838" s="61">
        <f t="shared" ref="B838:Q838" si="216">ROUND((B809/SUM($S$796:$S$808))*SUM($S$825:$S$837),0)</f>
        <v>0</v>
      </c>
      <c r="C838" s="61">
        <f t="shared" si="216"/>
        <v>0</v>
      </c>
      <c r="D838" s="61">
        <f t="shared" si="216"/>
        <v>0</v>
      </c>
      <c r="E838" s="61">
        <f t="shared" si="216"/>
        <v>0</v>
      </c>
      <c r="F838" s="61">
        <f t="shared" si="216"/>
        <v>0</v>
      </c>
      <c r="G838" s="61">
        <f t="shared" si="216"/>
        <v>0</v>
      </c>
      <c r="H838" s="61">
        <f t="shared" si="216"/>
        <v>0</v>
      </c>
      <c r="I838" s="61">
        <f t="shared" si="216"/>
        <v>0</v>
      </c>
      <c r="J838" s="61">
        <f t="shared" si="216"/>
        <v>0</v>
      </c>
      <c r="K838" s="61">
        <f t="shared" si="216"/>
        <v>0</v>
      </c>
      <c r="L838" s="61">
        <f t="shared" si="216"/>
        <v>0</v>
      </c>
      <c r="M838" s="61">
        <f t="shared" si="216"/>
        <v>0</v>
      </c>
      <c r="N838" s="61">
        <f t="shared" si="216"/>
        <v>0</v>
      </c>
      <c r="O838" s="61">
        <f t="shared" si="216"/>
        <v>6</v>
      </c>
      <c r="P838" s="61">
        <f t="shared" si="216"/>
        <v>9</v>
      </c>
      <c r="Q838" s="61">
        <f t="shared" si="216"/>
        <v>7</v>
      </c>
      <c r="R838" s="210">
        <f>ENPRJ3!R367</f>
        <v>0</v>
      </c>
      <c r="S838" s="203">
        <f t="shared" si="213"/>
        <v>22</v>
      </c>
    </row>
    <row r="839" spans="1:19" ht="15.6">
      <c r="A839" s="205"/>
      <c r="B839" s="155"/>
      <c r="C839" s="155"/>
      <c r="D839" s="155"/>
      <c r="E839" s="155"/>
      <c r="F839" s="155"/>
      <c r="G839" s="155"/>
      <c r="H839" s="155"/>
      <c r="I839" s="155"/>
      <c r="J839" s="155"/>
      <c r="K839" s="155"/>
      <c r="L839" s="155"/>
      <c r="M839" s="155"/>
      <c r="N839" s="155"/>
      <c r="O839" s="155"/>
      <c r="P839" s="155"/>
      <c r="Q839" s="155"/>
      <c r="R839" s="155"/>
      <c r="S839" s="206"/>
    </row>
    <row r="840" spans="1:19" ht="15.6">
      <c r="A840" s="207" t="s">
        <v>51</v>
      </c>
      <c r="B840" s="208">
        <f t="shared" ref="B840:S840" si="217">SUM(B825:B838)</f>
        <v>586</v>
      </c>
      <c r="C840" s="208">
        <f t="shared" si="217"/>
        <v>429</v>
      </c>
      <c r="D840" s="208">
        <f t="shared" si="217"/>
        <v>558</v>
      </c>
      <c r="E840" s="208">
        <f t="shared" si="217"/>
        <v>505</v>
      </c>
      <c r="F840" s="208">
        <f t="shared" si="217"/>
        <v>595</v>
      </c>
      <c r="G840" s="208">
        <f t="shared" si="217"/>
        <v>525</v>
      </c>
      <c r="H840" s="208">
        <f t="shared" si="217"/>
        <v>570</v>
      </c>
      <c r="I840" s="208">
        <f t="shared" si="217"/>
        <v>440</v>
      </c>
      <c r="J840" s="208">
        <f t="shared" si="217"/>
        <v>605</v>
      </c>
      <c r="K840" s="208">
        <f t="shared" si="217"/>
        <v>554.53779143590054</v>
      </c>
      <c r="L840" s="208">
        <f t="shared" si="217"/>
        <v>730.79861547031931</v>
      </c>
      <c r="M840" s="208">
        <f t="shared" si="217"/>
        <v>730.26351405879404</v>
      </c>
      <c r="N840" s="208">
        <f t="shared" si="217"/>
        <v>849.48462125151673</v>
      </c>
      <c r="O840" s="208">
        <f t="shared" si="217"/>
        <v>1012.08724561757</v>
      </c>
      <c r="P840" s="208">
        <f t="shared" si="217"/>
        <v>1464.6637980652818</v>
      </c>
      <c r="Q840" s="208">
        <f t="shared" si="217"/>
        <v>1215.6872014656808</v>
      </c>
      <c r="R840" s="208">
        <f t="shared" si="217"/>
        <v>81</v>
      </c>
      <c r="S840" s="209">
        <f t="shared" si="217"/>
        <v>11451.522787365064</v>
      </c>
    </row>
    <row r="841" spans="1:19" ht="15.6">
      <c r="A841" s="203"/>
      <c r="B841" s="203"/>
      <c r="C841" s="210"/>
      <c r="D841" s="210"/>
      <c r="E841" s="210"/>
      <c r="F841" s="210"/>
      <c r="G841" s="210"/>
      <c r="H841" s="210"/>
      <c r="I841" s="210"/>
      <c r="J841" s="210"/>
      <c r="K841" s="210"/>
      <c r="L841" s="210"/>
      <c r="M841" s="210"/>
      <c r="N841" s="210"/>
      <c r="O841" s="210"/>
      <c r="P841" s="210"/>
      <c r="Q841" s="210"/>
      <c r="R841" s="203"/>
      <c r="S841" s="210"/>
    </row>
    <row r="842" spans="1:19" ht="15.6">
      <c r="A842" s="204" t="s">
        <v>93</v>
      </c>
      <c r="B842" s="210">
        <f t="shared" ref="B842:Q842" si="218">B784</f>
        <v>625</v>
      </c>
      <c r="C842" s="210">
        <f t="shared" si="218"/>
        <v>575</v>
      </c>
      <c r="D842" s="210">
        <f t="shared" si="218"/>
        <v>600</v>
      </c>
      <c r="E842" s="210">
        <f t="shared" si="218"/>
        <v>725</v>
      </c>
      <c r="F842" s="210">
        <f t="shared" si="218"/>
        <v>725</v>
      </c>
      <c r="G842" s="210">
        <f t="shared" si="218"/>
        <v>625</v>
      </c>
      <c r="H842" s="210">
        <f t="shared" si="218"/>
        <v>700</v>
      </c>
      <c r="I842" s="210">
        <f t="shared" si="218"/>
        <v>593</v>
      </c>
      <c r="J842" s="210">
        <f t="shared" si="218"/>
        <v>750</v>
      </c>
      <c r="K842" s="210">
        <f t="shared" si="218"/>
        <v>667</v>
      </c>
      <c r="L842" s="210">
        <f t="shared" si="218"/>
        <v>864</v>
      </c>
      <c r="M842" s="210">
        <f t="shared" si="218"/>
        <v>779</v>
      </c>
      <c r="N842" s="210">
        <f t="shared" si="218"/>
        <v>756</v>
      </c>
      <c r="O842" s="210">
        <f t="shared" si="218"/>
        <v>1267</v>
      </c>
      <c r="P842" s="210">
        <f t="shared" si="218"/>
        <v>1495</v>
      </c>
      <c r="Q842" s="210">
        <f t="shared" si="218"/>
        <v>1019</v>
      </c>
      <c r="R842" s="210">
        <v>100</v>
      </c>
      <c r="S842" s="210">
        <f>SUM(B842:R842)</f>
        <v>12865</v>
      </c>
    </row>
    <row r="843" spans="1:19" ht="15.6">
      <c r="A843" s="203"/>
      <c r="B843" s="203"/>
      <c r="C843" s="203"/>
      <c r="D843" s="203"/>
      <c r="E843" s="203"/>
      <c r="F843" s="203"/>
      <c r="G843" s="203"/>
      <c r="H843" s="203"/>
      <c r="I843" s="203"/>
      <c r="J843" s="203"/>
      <c r="K843" s="203"/>
      <c r="L843" s="203"/>
      <c r="M843" s="203"/>
      <c r="N843" s="203"/>
      <c r="O843" s="203"/>
      <c r="P843" s="203"/>
      <c r="Q843" s="203"/>
      <c r="R843" s="203"/>
      <c r="S843" s="203"/>
    </row>
    <row r="844" spans="1:19" ht="15.6">
      <c r="A844" s="204" t="s">
        <v>94</v>
      </c>
      <c r="B844" s="211">
        <f t="shared" ref="B844:R844" si="219">B840/B842</f>
        <v>0.93759999999999999</v>
      </c>
      <c r="C844" s="211">
        <f t="shared" si="219"/>
        <v>0.74608695652173918</v>
      </c>
      <c r="D844" s="211">
        <f t="shared" si="219"/>
        <v>0.93</v>
      </c>
      <c r="E844" s="211">
        <f t="shared" si="219"/>
        <v>0.69655172413793098</v>
      </c>
      <c r="F844" s="211">
        <f t="shared" si="219"/>
        <v>0.82068965517241377</v>
      </c>
      <c r="G844" s="211">
        <f t="shared" si="219"/>
        <v>0.84</v>
      </c>
      <c r="H844" s="211">
        <f t="shared" si="219"/>
        <v>0.81428571428571428</v>
      </c>
      <c r="I844" s="211">
        <f t="shared" si="219"/>
        <v>0.74198988195615512</v>
      </c>
      <c r="J844" s="211">
        <f t="shared" si="219"/>
        <v>0.80666666666666664</v>
      </c>
      <c r="K844" s="211">
        <f t="shared" si="219"/>
        <v>0.83139099165802177</v>
      </c>
      <c r="L844" s="211">
        <f t="shared" si="219"/>
        <v>0.84583173086842511</v>
      </c>
      <c r="M844" s="211">
        <f t="shared" si="219"/>
        <v>0.93743711689190501</v>
      </c>
      <c r="N844" s="211">
        <f t="shared" si="219"/>
        <v>1.1236569064173503</v>
      </c>
      <c r="O844" s="211">
        <f t="shared" si="219"/>
        <v>0.79880603442586429</v>
      </c>
      <c r="P844" s="211">
        <f t="shared" si="219"/>
        <v>0.97970822613062325</v>
      </c>
      <c r="Q844" s="211">
        <f t="shared" si="219"/>
        <v>1.1930198247945838</v>
      </c>
      <c r="R844" s="211">
        <f t="shared" si="219"/>
        <v>0.81</v>
      </c>
      <c r="S844" s="211">
        <f>S840/S842</f>
        <v>0.89013002622347948</v>
      </c>
    </row>
    <row r="846" spans="1:19">
      <c r="A846" s="212"/>
      <c r="B846" s="128"/>
      <c r="C846" s="128"/>
      <c r="D846" s="128"/>
      <c r="E846" s="128"/>
      <c r="F846" s="128"/>
      <c r="G846" s="128"/>
      <c r="H846" s="128"/>
      <c r="I846" s="128"/>
      <c r="J846" s="128"/>
      <c r="K846" s="128"/>
      <c r="L846" s="128"/>
      <c r="M846" s="128"/>
      <c r="N846" s="128"/>
      <c r="O846" s="128"/>
      <c r="P846" s="128"/>
      <c r="Q846" s="128"/>
      <c r="S846" s="128"/>
    </row>
    <row r="849" spans="1:20" ht="17.399999999999999">
      <c r="B849" s="342" t="s">
        <v>338</v>
      </c>
      <c r="M849" s="258"/>
      <c r="N849" s="67" t="str">
        <f>N761</f>
        <v>2026-27</v>
      </c>
    </row>
    <row r="850" spans="1:20">
      <c r="B850" s="198" t="s">
        <v>97</v>
      </c>
    </row>
    <row r="852" spans="1:20">
      <c r="A852" s="68" t="s">
        <v>24</v>
      </c>
      <c r="B852" s="790" t="s">
        <v>25</v>
      </c>
      <c r="C852" s="790"/>
      <c r="D852" s="790"/>
      <c r="E852" s="790"/>
      <c r="F852" s="790"/>
      <c r="G852" s="790"/>
      <c r="H852" s="790"/>
      <c r="I852" s="790"/>
      <c r="J852" s="790"/>
      <c r="K852" s="790" t="s">
        <v>323</v>
      </c>
      <c r="L852" s="790"/>
      <c r="M852" s="790"/>
      <c r="N852" s="790"/>
      <c r="O852" s="790" t="s">
        <v>26</v>
      </c>
      <c r="P852" s="790"/>
      <c r="Q852" s="790"/>
      <c r="R852" s="199"/>
      <c r="S852" s="200" t="s">
        <v>27</v>
      </c>
      <c r="T852" s="70"/>
    </row>
    <row r="853" spans="1:20">
      <c r="A853" s="73"/>
      <c r="B853" s="74" t="s">
        <v>333</v>
      </c>
      <c r="C853" s="74" t="s">
        <v>334</v>
      </c>
      <c r="D853" s="74" t="s">
        <v>270</v>
      </c>
      <c r="E853" s="74" t="s">
        <v>271</v>
      </c>
      <c r="F853" s="74" t="s">
        <v>35</v>
      </c>
      <c r="G853" s="74" t="s">
        <v>370</v>
      </c>
      <c r="H853" s="74" t="s">
        <v>356</v>
      </c>
      <c r="I853" s="74" t="s">
        <v>361</v>
      </c>
      <c r="J853" s="74" t="s">
        <v>406</v>
      </c>
      <c r="K853" s="74" t="s">
        <v>363</v>
      </c>
      <c r="L853" s="74" t="s">
        <v>36</v>
      </c>
      <c r="M853" s="74" t="s">
        <v>86</v>
      </c>
      <c r="N853" s="74" t="s">
        <v>99</v>
      </c>
      <c r="O853" s="74" t="s">
        <v>346</v>
      </c>
      <c r="P853" s="74" t="s">
        <v>90</v>
      </c>
      <c r="Q853" s="74" t="s">
        <v>103</v>
      </c>
      <c r="R853" s="76" t="s">
        <v>343</v>
      </c>
      <c r="S853" s="77"/>
      <c r="T853" s="70"/>
    </row>
    <row r="855" spans="1:20" ht="15.6">
      <c r="A855" s="539" t="s">
        <v>391</v>
      </c>
      <c r="B855" s="215">
        <f t="shared" ref="B855:I855" si="220">ROUND((B767*0.5)*0.96,1)</f>
        <v>45.1</v>
      </c>
      <c r="C855" s="215">
        <f t="shared" si="220"/>
        <v>33.1</v>
      </c>
      <c r="D855" s="215">
        <f t="shared" si="220"/>
        <v>44.2</v>
      </c>
      <c r="E855" s="215">
        <f t="shared" si="220"/>
        <v>41.8</v>
      </c>
      <c r="F855" s="215">
        <f t="shared" si="220"/>
        <v>46.6</v>
      </c>
      <c r="G855" s="215">
        <f>ROUND((G767*0.5)*0.96,1)</f>
        <v>41.8</v>
      </c>
      <c r="H855" s="215">
        <f t="shared" si="220"/>
        <v>42.2</v>
      </c>
      <c r="I855" s="215">
        <f t="shared" si="220"/>
        <v>37.4</v>
      </c>
      <c r="J855" s="215">
        <f>ROUND((J767*0.5)*0.96,1)</f>
        <v>47.5</v>
      </c>
      <c r="K855" s="215"/>
      <c r="R855" s="215"/>
      <c r="S855" s="215">
        <f t="shared" ref="S855:S868" si="221">SUM(B855:R855)</f>
        <v>379.69999999999993</v>
      </c>
    </row>
    <row r="856" spans="1:20" ht="15.6">
      <c r="A856" s="539">
        <v>1</v>
      </c>
      <c r="B856" s="215">
        <f t="shared" ref="B856:I860" si="222">ROUND(B768*0.96,1)</f>
        <v>82.6</v>
      </c>
      <c r="C856" s="215">
        <f t="shared" si="222"/>
        <v>63.4</v>
      </c>
      <c r="D856" s="215">
        <f t="shared" si="222"/>
        <v>84.5</v>
      </c>
      <c r="E856" s="215">
        <f t="shared" si="222"/>
        <v>63.4</v>
      </c>
      <c r="F856" s="215">
        <f t="shared" si="222"/>
        <v>87.4</v>
      </c>
      <c r="G856" s="215">
        <f>ROUND(G768*0.96,1)</f>
        <v>76.8</v>
      </c>
      <c r="H856" s="215">
        <f t="shared" si="222"/>
        <v>80.599999999999994</v>
      </c>
      <c r="I856" s="215">
        <f t="shared" si="222"/>
        <v>66.2</v>
      </c>
      <c r="J856" s="215">
        <f t="shared" ref="J856:J860" si="223">ROUND(J768*0.96,1)</f>
        <v>99.8</v>
      </c>
      <c r="K856" s="215"/>
      <c r="R856" s="215"/>
      <c r="S856" s="215">
        <f t="shared" si="221"/>
        <v>704.69999999999993</v>
      </c>
    </row>
    <row r="857" spans="1:20" ht="15.6">
      <c r="A857" s="539">
        <v>2</v>
      </c>
      <c r="B857" s="215">
        <f t="shared" si="222"/>
        <v>83.5</v>
      </c>
      <c r="C857" s="215">
        <f t="shared" si="222"/>
        <v>65.3</v>
      </c>
      <c r="D857" s="215">
        <f t="shared" si="222"/>
        <v>84.5</v>
      </c>
      <c r="E857" s="215">
        <f t="shared" si="222"/>
        <v>73.900000000000006</v>
      </c>
      <c r="F857" s="215">
        <f t="shared" si="222"/>
        <v>85.4</v>
      </c>
      <c r="G857" s="215">
        <f>ROUND(G769*0.96,1)</f>
        <v>84.5</v>
      </c>
      <c r="H857" s="215">
        <f t="shared" si="222"/>
        <v>91.2</v>
      </c>
      <c r="I857" s="215">
        <f t="shared" si="222"/>
        <v>71</v>
      </c>
      <c r="J857" s="215">
        <f t="shared" si="223"/>
        <v>84.5</v>
      </c>
      <c r="K857" s="215"/>
      <c r="R857" s="215"/>
      <c r="S857" s="215">
        <f t="shared" si="221"/>
        <v>723.80000000000007</v>
      </c>
    </row>
    <row r="858" spans="1:20" ht="15.6">
      <c r="A858" s="539">
        <v>3</v>
      </c>
      <c r="B858" s="215">
        <f t="shared" si="222"/>
        <v>101.8</v>
      </c>
      <c r="C858" s="215">
        <f t="shared" si="222"/>
        <v>68.2</v>
      </c>
      <c r="D858" s="215">
        <f t="shared" si="222"/>
        <v>91.2</v>
      </c>
      <c r="E858" s="215">
        <f t="shared" si="222"/>
        <v>89.3</v>
      </c>
      <c r="F858" s="215">
        <f t="shared" si="222"/>
        <v>98.9</v>
      </c>
      <c r="G858" s="215">
        <f>ROUND(G770*0.96,1)</f>
        <v>79.7</v>
      </c>
      <c r="H858" s="215">
        <f t="shared" si="222"/>
        <v>95</v>
      </c>
      <c r="I858" s="215">
        <f t="shared" si="222"/>
        <v>66.2</v>
      </c>
      <c r="J858" s="215">
        <f t="shared" si="223"/>
        <v>93.1</v>
      </c>
      <c r="K858" s="215"/>
      <c r="R858" s="215"/>
      <c r="S858" s="215">
        <f t="shared" si="221"/>
        <v>783.40000000000009</v>
      </c>
    </row>
    <row r="859" spans="1:20" ht="15.6">
      <c r="A859" s="204" t="s">
        <v>41</v>
      </c>
      <c r="B859" s="215">
        <f t="shared" si="222"/>
        <v>97.9</v>
      </c>
      <c r="C859" s="215">
        <f t="shared" si="222"/>
        <v>82.6</v>
      </c>
      <c r="D859" s="215">
        <f t="shared" si="222"/>
        <v>93.1</v>
      </c>
      <c r="E859" s="215">
        <f t="shared" si="222"/>
        <v>85.4</v>
      </c>
      <c r="F859" s="215">
        <f t="shared" si="222"/>
        <v>108.5</v>
      </c>
      <c r="G859" s="215">
        <f>ROUND(G771*0.96,1)</f>
        <v>98.9</v>
      </c>
      <c r="H859" s="215">
        <f t="shared" si="222"/>
        <v>115.2</v>
      </c>
      <c r="I859" s="215">
        <f t="shared" si="222"/>
        <v>73.900000000000006</v>
      </c>
      <c r="J859" s="215">
        <f t="shared" si="223"/>
        <v>107.5</v>
      </c>
      <c r="K859" s="215"/>
      <c r="R859" s="215"/>
      <c r="S859" s="215">
        <f t="shared" si="221"/>
        <v>863</v>
      </c>
    </row>
    <row r="860" spans="1:20" ht="15.6">
      <c r="A860" s="204" t="s">
        <v>42</v>
      </c>
      <c r="B860" s="215">
        <f t="shared" si="222"/>
        <v>128.6</v>
      </c>
      <c r="C860" s="215">
        <f t="shared" si="222"/>
        <v>78.7</v>
      </c>
      <c r="D860" s="215">
        <f t="shared" si="222"/>
        <v>76.8</v>
      </c>
      <c r="E860" s="215">
        <f t="shared" si="222"/>
        <v>103.7</v>
      </c>
      <c r="F860" s="215">
        <f>ROUND(F772*0.96,1)</f>
        <v>102.7</v>
      </c>
      <c r="G860" s="215">
        <f>ROUND(G772*0.96,1)</f>
        <v>86.4</v>
      </c>
      <c r="H860" s="215">
        <f t="shared" si="222"/>
        <v>96</v>
      </c>
      <c r="I860" s="215">
        <f t="shared" si="222"/>
        <v>86.4</v>
      </c>
      <c r="J860" s="215">
        <f t="shared" si="223"/>
        <v>90.2</v>
      </c>
      <c r="K860" s="215"/>
      <c r="R860" s="215"/>
      <c r="S860" s="215">
        <f t="shared" si="221"/>
        <v>849.5</v>
      </c>
    </row>
    <row r="861" spans="1:20" ht="15.6">
      <c r="A861" s="204" t="s">
        <v>43</v>
      </c>
      <c r="B861" s="122"/>
      <c r="K861" s="215">
        <f>ROUND(K773*0.96,1)</f>
        <v>182.4</v>
      </c>
      <c r="L861" s="215">
        <f t="shared" ref="L861:N863" si="224">ROUND(L773*0.96,1)</f>
        <v>235.2</v>
      </c>
      <c r="M861" s="215">
        <f t="shared" si="224"/>
        <v>235.2</v>
      </c>
      <c r="N861" s="215">
        <f t="shared" si="224"/>
        <v>272.60000000000002</v>
      </c>
      <c r="R861" s="215">
        <f t="shared" ref="R861:R868" si="225">ROUND(R773*0.96,1)</f>
        <v>1</v>
      </c>
      <c r="S861" s="215">
        <f t="shared" si="221"/>
        <v>926.4</v>
      </c>
    </row>
    <row r="862" spans="1:20" ht="15.6">
      <c r="A862" s="204" t="s">
        <v>44</v>
      </c>
      <c r="B862" s="122"/>
      <c r="K862" s="215">
        <f>ROUND(K774*0.96,1)</f>
        <v>166.1</v>
      </c>
      <c r="L862" s="215">
        <f t="shared" si="224"/>
        <v>240</v>
      </c>
      <c r="M862" s="215">
        <f t="shared" si="224"/>
        <v>227.5</v>
      </c>
      <c r="N862" s="215">
        <f t="shared" si="224"/>
        <v>290.89999999999998</v>
      </c>
      <c r="R862" s="215">
        <f t="shared" si="225"/>
        <v>1</v>
      </c>
      <c r="S862" s="215">
        <f t="shared" si="221"/>
        <v>925.5</v>
      </c>
    </row>
    <row r="863" spans="1:20" ht="15.6">
      <c r="A863" s="204" t="s">
        <v>45</v>
      </c>
      <c r="B863" s="122"/>
      <c r="K863" s="215">
        <f>ROUND(K775*0.96,1)</f>
        <v>184.3</v>
      </c>
      <c r="L863" s="215">
        <f t="shared" si="224"/>
        <v>223.7</v>
      </c>
      <c r="M863" s="215">
        <f t="shared" si="224"/>
        <v>258.2</v>
      </c>
      <c r="N863" s="215">
        <f t="shared" si="224"/>
        <v>285.10000000000002</v>
      </c>
      <c r="R863" s="215">
        <f t="shared" si="225"/>
        <v>1</v>
      </c>
      <c r="S863" s="215">
        <f t="shared" si="221"/>
        <v>952.30000000000007</v>
      </c>
    </row>
    <row r="864" spans="1:20" ht="15.6">
      <c r="A864" s="204" t="s">
        <v>46</v>
      </c>
      <c r="B864" s="122"/>
      <c r="O864" s="215">
        <f t="shared" ref="O864:Q868" si="226">ROUND(O776*0.96,1)</f>
        <v>241</v>
      </c>
      <c r="P864" s="215">
        <f t="shared" si="226"/>
        <v>369.6</v>
      </c>
      <c r="Q864" s="215">
        <f t="shared" si="226"/>
        <v>291.8</v>
      </c>
      <c r="R864" s="215">
        <f t="shared" si="225"/>
        <v>13.4</v>
      </c>
      <c r="S864" s="215">
        <f t="shared" si="221"/>
        <v>915.80000000000007</v>
      </c>
    </row>
    <row r="865" spans="1:29" ht="15.6">
      <c r="A865" s="204" t="s">
        <v>47</v>
      </c>
      <c r="B865" s="122"/>
      <c r="O865" s="215">
        <f t="shared" si="226"/>
        <v>226.6</v>
      </c>
      <c r="P865" s="215">
        <f t="shared" si="226"/>
        <v>367.7</v>
      </c>
      <c r="Q865" s="215">
        <f t="shared" si="226"/>
        <v>345.6</v>
      </c>
      <c r="R865" s="215">
        <f t="shared" si="225"/>
        <v>13.4</v>
      </c>
      <c r="S865" s="215">
        <f t="shared" si="221"/>
        <v>953.3</v>
      </c>
    </row>
    <row r="866" spans="1:29" ht="15.6">
      <c r="A866" s="204" t="s">
        <v>48</v>
      </c>
      <c r="B866" s="122"/>
      <c r="O866" s="215">
        <f t="shared" si="226"/>
        <v>222.7</v>
      </c>
      <c r="P866" s="215">
        <f t="shared" si="226"/>
        <v>328.3</v>
      </c>
      <c r="Q866" s="215">
        <f t="shared" si="226"/>
        <v>330.2</v>
      </c>
      <c r="R866" s="215">
        <f t="shared" si="225"/>
        <v>13.4</v>
      </c>
      <c r="S866" s="215">
        <f t="shared" si="221"/>
        <v>894.6</v>
      </c>
    </row>
    <row r="867" spans="1:29" ht="15.6">
      <c r="A867" s="204" t="s">
        <v>49</v>
      </c>
      <c r="B867" s="122"/>
      <c r="O867" s="215">
        <f t="shared" si="226"/>
        <v>227.5</v>
      </c>
      <c r="P867" s="215">
        <f t="shared" si="226"/>
        <v>354.2</v>
      </c>
      <c r="Q867" s="215">
        <f t="shared" si="226"/>
        <v>268.8</v>
      </c>
      <c r="R867" s="215">
        <f t="shared" si="225"/>
        <v>11.5</v>
      </c>
      <c r="S867" s="215">
        <f t="shared" si="221"/>
        <v>862</v>
      </c>
    </row>
    <row r="868" spans="1:29" ht="15.6">
      <c r="A868" s="204" t="s">
        <v>50</v>
      </c>
      <c r="B868" s="215">
        <f t="shared" ref="B868:N868" si="227">ROUND(B780*0.96,1)</f>
        <v>0</v>
      </c>
      <c r="C868" s="215">
        <f t="shared" si="227"/>
        <v>0</v>
      </c>
      <c r="D868" s="215">
        <f t="shared" si="227"/>
        <v>0</v>
      </c>
      <c r="E868" s="215">
        <f t="shared" si="227"/>
        <v>0</v>
      </c>
      <c r="F868" s="215">
        <f t="shared" si="227"/>
        <v>0</v>
      </c>
      <c r="G868" s="215">
        <f t="shared" si="227"/>
        <v>0</v>
      </c>
      <c r="H868" s="215">
        <f t="shared" si="227"/>
        <v>0</v>
      </c>
      <c r="I868" s="215">
        <f t="shared" si="227"/>
        <v>0</v>
      </c>
      <c r="J868" s="215">
        <f t="shared" si="227"/>
        <v>0</v>
      </c>
      <c r="K868" s="215">
        <f t="shared" si="227"/>
        <v>0</v>
      </c>
      <c r="L868" s="215">
        <f t="shared" si="227"/>
        <v>0</v>
      </c>
      <c r="M868" s="215">
        <f t="shared" si="227"/>
        <v>0</v>
      </c>
      <c r="N868" s="215">
        <f t="shared" si="227"/>
        <v>0</v>
      </c>
      <c r="O868" s="215">
        <f t="shared" si="226"/>
        <v>5.8</v>
      </c>
      <c r="P868" s="215">
        <f t="shared" si="226"/>
        <v>8.6</v>
      </c>
      <c r="Q868" s="215">
        <f t="shared" si="226"/>
        <v>6.7</v>
      </c>
      <c r="R868" s="215">
        <f t="shared" si="225"/>
        <v>0</v>
      </c>
      <c r="S868" s="215">
        <f t="shared" si="221"/>
        <v>21.099999999999998</v>
      </c>
      <c r="T868" s="216"/>
    </row>
    <row r="869" spans="1:29">
      <c r="A869" s="85"/>
      <c r="B869" s="87"/>
      <c r="C869" s="217"/>
      <c r="D869" s="217"/>
      <c r="E869" s="217"/>
      <c r="F869" s="217"/>
      <c r="G869" s="217"/>
      <c r="H869" s="217"/>
      <c r="I869" s="217"/>
      <c r="J869" s="217"/>
      <c r="K869" s="217"/>
      <c r="L869" s="217"/>
      <c r="M869" s="217"/>
      <c r="N869" s="217"/>
      <c r="O869" s="217"/>
      <c r="P869" s="217"/>
      <c r="Q869" s="217"/>
      <c r="R869" s="217"/>
      <c r="S869" s="218"/>
      <c r="T869" s="216"/>
    </row>
    <row r="870" spans="1:29">
      <c r="A870" s="124" t="s">
        <v>51</v>
      </c>
      <c r="B870" s="219">
        <f t="shared" ref="B870:S870" si="228">SUM(B855:B868)</f>
        <v>539.5</v>
      </c>
      <c r="C870" s="219">
        <f t="shared" si="228"/>
        <v>391.3</v>
      </c>
      <c r="D870" s="219">
        <f t="shared" si="228"/>
        <v>474.3</v>
      </c>
      <c r="E870" s="219">
        <f t="shared" si="228"/>
        <v>457.49999999999994</v>
      </c>
      <c r="F870" s="219">
        <f>SUM(F855:F868)</f>
        <v>529.5</v>
      </c>
      <c r="G870" s="219">
        <f>SUM(G855:G868)</f>
        <v>468.1</v>
      </c>
      <c r="H870" s="219">
        <f t="shared" si="228"/>
        <v>520.20000000000005</v>
      </c>
      <c r="I870" s="219">
        <f t="shared" si="228"/>
        <v>401.1</v>
      </c>
      <c r="J870" s="219">
        <f t="shared" si="228"/>
        <v>522.6</v>
      </c>
      <c r="K870" s="219">
        <f t="shared" si="228"/>
        <v>532.79999999999995</v>
      </c>
      <c r="L870" s="219">
        <f t="shared" si="228"/>
        <v>698.9</v>
      </c>
      <c r="M870" s="219">
        <f t="shared" si="228"/>
        <v>720.9</v>
      </c>
      <c r="N870" s="219">
        <f t="shared" si="228"/>
        <v>848.6</v>
      </c>
      <c r="O870" s="219">
        <f t="shared" si="228"/>
        <v>923.59999999999991</v>
      </c>
      <c r="P870" s="219">
        <f t="shared" si="228"/>
        <v>1428.3999999999999</v>
      </c>
      <c r="Q870" s="219">
        <f t="shared" si="228"/>
        <v>1243.1000000000001</v>
      </c>
      <c r="R870" s="219">
        <f t="shared" si="228"/>
        <v>54.699999999999996</v>
      </c>
      <c r="S870" s="220">
        <f t="shared" si="228"/>
        <v>10755.1</v>
      </c>
      <c r="T870" s="216"/>
    </row>
    <row r="871" spans="1:29">
      <c r="B871" s="94"/>
      <c r="C871" s="94"/>
      <c r="D871" s="94"/>
      <c r="E871" s="94"/>
      <c r="F871" s="94"/>
      <c r="G871" s="94"/>
      <c r="H871" s="94"/>
      <c r="I871" s="94"/>
      <c r="J871" s="94"/>
      <c r="L871" s="94"/>
    </row>
    <row r="872" spans="1:29">
      <c r="D872" s="163"/>
      <c r="E872" s="163"/>
    </row>
    <row r="874" spans="1:29">
      <c r="A874" s="165"/>
      <c r="B874" s="162"/>
      <c r="C874" s="162"/>
      <c r="D874" s="162"/>
      <c r="E874" s="162"/>
      <c r="F874" s="162"/>
      <c r="G874" s="162"/>
      <c r="H874" s="162"/>
      <c r="I874" s="162"/>
      <c r="J874" s="162"/>
      <c r="K874" s="162"/>
      <c r="L874" s="162"/>
      <c r="M874" s="162"/>
      <c r="N874" s="162"/>
    </row>
    <row r="875" spans="1:29">
      <c r="A875" s="162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162"/>
    </row>
    <row r="876" spans="1:29">
      <c r="A876" s="221" t="s">
        <v>98</v>
      </c>
      <c r="B876" s="162"/>
      <c r="C876" s="162"/>
      <c r="D876" s="162"/>
      <c r="E876" s="162"/>
      <c r="F876" s="221"/>
      <c r="G876" s="162"/>
      <c r="H876" s="162"/>
      <c r="I876" s="162"/>
      <c r="J876" s="162"/>
      <c r="K876" s="162"/>
      <c r="L876" s="162"/>
      <c r="M876" s="162"/>
    </row>
    <row r="877" spans="1:29">
      <c r="A877" s="29"/>
      <c r="B877" s="29"/>
    </row>
    <row r="878" spans="1:29" ht="13.8" thickBot="1">
      <c r="A878" s="156"/>
      <c r="B878" s="781" t="str">
        <f>N325</f>
        <v>2012-13</v>
      </c>
      <c r="C878" s="782"/>
      <c r="D878" s="782"/>
      <c r="E878" s="783"/>
      <c r="F878" s="781" t="str">
        <f>N303</f>
        <v>2013-14</v>
      </c>
      <c r="G878" s="782"/>
      <c r="H878" s="782"/>
      <c r="I878" s="783"/>
      <c r="J878" s="781" t="str">
        <f>N281</f>
        <v>2014-15</v>
      </c>
      <c r="K878" s="782"/>
      <c r="L878" s="782"/>
      <c r="M878" s="783"/>
      <c r="N878" s="781" t="str">
        <f>N259</f>
        <v>2015-16</v>
      </c>
      <c r="O878" s="782"/>
      <c r="P878" s="782"/>
      <c r="Q878" s="783"/>
      <c r="R878" s="784" t="str">
        <f>N237</f>
        <v>2016-17</v>
      </c>
      <c r="S878" s="785"/>
      <c r="T878" s="785"/>
      <c r="U878" s="786"/>
      <c r="V878" s="784" t="str">
        <f>N215</f>
        <v>2017-18</v>
      </c>
      <c r="W878" s="785"/>
      <c r="X878" s="785"/>
      <c r="Y878" s="786"/>
      <c r="Z878" s="784" t="str">
        <f>N193</f>
        <v>2018-19</v>
      </c>
      <c r="AA878" s="785"/>
      <c r="AB878" s="785"/>
      <c r="AC878" s="786"/>
    </row>
    <row r="879" spans="1:29" ht="13.8" thickTop="1">
      <c r="A879" s="222"/>
      <c r="B879" s="29"/>
      <c r="C879" s="29"/>
      <c r="D879" s="29"/>
      <c r="E879" s="442"/>
      <c r="F879" s="29"/>
      <c r="G879" s="29"/>
      <c r="H879" s="29"/>
      <c r="I879" s="29"/>
      <c r="J879" s="340"/>
      <c r="K879" s="29"/>
      <c r="L879" s="29"/>
      <c r="M879" s="226"/>
      <c r="N879" s="29"/>
      <c r="O879" s="29"/>
      <c r="P879" s="29"/>
      <c r="Q879" s="29"/>
      <c r="R879" s="194"/>
      <c r="S879" s="29"/>
      <c r="T879" s="29"/>
      <c r="U879" s="29"/>
      <c r="V879" s="194"/>
      <c r="W879" s="29"/>
      <c r="X879" s="29"/>
      <c r="Y879" s="29"/>
      <c r="Z879" s="194"/>
      <c r="AA879" s="29"/>
      <c r="AB879" s="29"/>
      <c r="AC879" s="226"/>
    </row>
    <row r="880" spans="1:29">
      <c r="A880" s="194"/>
      <c r="B880" s="438" t="s">
        <v>363</v>
      </c>
      <c r="C880" s="440" t="s">
        <v>36</v>
      </c>
      <c r="D880" s="440" t="s">
        <v>86</v>
      </c>
      <c r="E880" s="441" t="s">
        <v>99</v>
      </c>
      <c r="F880" s="438" t="s">
        <v>363</v>
      </c>
      <c r="G880" s="440" t="s">
        <v>36</v>
      </c>
      <c r="H880" s="440" t="s">
        <v>86</v>
      </c>
      <c r="I880" s="441" t="s">
        <v>99</v>
      </c>
      <c r="J880" s="438" t="s">
        <v>363</v>
      </c>
      <c r="K880" s="320" t="s">
        <v>36</v>
      </c>
      <c r="L880" s="320" t="s">
        <v>86</v>
      </c>
      <c r="M880" s="434" t="s">
        <v>99</v>
      </c>
      <c r="N880" s="430" t="s">
        <v>363</v>
      </c>
      <c r="O880" s="320" t="s">
        <v>36</v>
      </c>
      <c r="P880" s="320" t="s">
        <v>86</v>
      </c>
      <c r="Q880" s="320" t="s">
        <v>99</v>
      </c>
      <c r="R880" s="430" t="s">
        <v>363</v>
      </c>
      <c r="S880" s="320" t="s">
        <v>36</v>
      </c>
      <c r="T880" s="320" t="s">
        <v>86</v>
      </c>
      <c r="U880" s="320" t="s">
        <v>99</v>
      </c>
      <c r="V880" s="430" t="s">
        <v>363</v>
      </c>
      <c r="W880" s="320" t="s">
        <v>36</v>
      </c>
      <c r="X880" s="320" t="s">
        <v>86</v>
      </c>
      <c r="Y880" s="320" t="s">
        <v>99</v>
      </c>
      <c r="Z880" s="430" t="s">
        <v>363</v>
      </c>
      <c r="AA880" s="320" t="s">
        <v>36</v>
      </c>
      <c r="AB880" s="320" t="s">
        <v>86</v>
      </c>
      <c r="AC880" s="434" t="s">
        <v>99</v>
      </c>
    </row>
    <row r="881" spans="1:41">
      <c r="A881" s="431" t="s">
        <v>292</v>
      </c>
      <c r="B881" s="227">
        <f t="shared" ref="B881:B886" si="229">ROUND(S330*0.2175,0)</f>
        <v>160</v>
      </c>
      <c r="C881" s="435">
        <f t="shared" ref="C881:C886" si="230">ROUND(S330*0.265,0)</f>
        <v>195</v>
      </c>
      <c r="D881" s="435">
        <f t="shared" ref="D881:D886" si="231">ROUND(S330*0.27,0)</f>
        <v>199</v>
      </c>
      <c r="E881" s="436">
        <f t="shared" ref="E881:E886" si="232">ROUND(S330*0.2475,0)</f>
        <v>182</v>
      </c>
      <c r="F881" s="227">
        <f t="shared" ref="F881:F886" si="233">ROUND(S308*0.2175,0)</f>
        <v>182</v>
      </c>
      <c r="G881" s="435">
        <f t="shared" ref="G881:G886" si="234">ROUND(S308*0.265,0)</f>
        <v>222</v>
      </c>
      <c r="H881" s="435">
        <f t="shared" ref="H881:H886" si="235">ROUND(S308*0.27,0)</f>
        <v>226</v>
      </c>
      <c r="I881" s="436">
        <f t="shared" ref="I881:I886" si="236">ROUND(S308*0.2475,0)</f>
        <v>207</v>
      </c>
      <c r="J881" s="227">
        <f t="shared" ref="J881:J886" si="237">ROUND(S286*0.2175,0)</f>
        <v>162</v>
      </c>
      <c r="K881" s="435">
        <f t="shared" ref="K881:K886" si="238">ROUND(S286*0.265,0)</f>
        <v>197</v>
      </c>
      <c r="L881" s="435">
        <f t="shared" ref="L881:L886" si="239">ROUND(S286*0.27,0)</f>
        <v>201</v>
      </c>
      <c r="M881" s="436">
        <f t="shared" ref="M881:M886" si="240">ROUND(S286*0.2475,0)</f>
        <v>184</v>
      </c>
      <c r="N881" s="227">
        <f t="shared" ref="N881:N886" si="241">ROUND(S264*0.2175,0)</f>
        <v>169</v>
      </c>
      <c r="O881" s="435">
        <f t="shared" ref="O881:O886" si="242">ROUND(S264*0.265,0)</f>
        <v>206</v>
      </c>
      <c r="P881" s="435">
        <f t="shared" ref="P881:P886" si="243">ROUND(S264*0.27,0)</f>
        <v>210</v>
      </c>
      <c r="Q881" s="436">
        <f t="shared" ref="Q881:Q886" si="244">ROUND(S264*0.2475,0)</f>
        <v>193</v>
      </c>
      <c r="R881" s="227">
        <f t="shared" ref="R881:R886" si="245">ROUND(S242*0.2175,0)</f>
        <v>176</v>
      </c>
      <c r="S881" s="435">
        <f t="shared" ref="S881:S886" si="246">ROUND(S242*0.265,0)</f>
        <v>214</v>
      </c>
      <c r="T881" s="435">
        <f t="shared" ref="T881:T886" si="247">ROUND(S242*0.27,0)</f>
        <v>218</v>
      </c>
      <c r="U881" s="436">
        <f t="shared" ref="U881:U886" si="248">ROUND(S242*0.2475,0)</f>
        <v>200</v>
      </c>
      <c r="V881" s="227">
        <f t="shared" ref="V881:V886" si="249">ROUND(S220*0.2175,0)</f>
        <v>167</v>
      </c>
      <c r="W881" s="435">
        <f t="shared" ref="W881:W886" si="250">ROUND(S220*0.265,0)</f>
        <v>203</v>
      </c>
      <c r="X881" s="435">
        <f t="shared" ref="X881:X886" si="251">ROUND(S220*0.27,0)</f>
        <v>207</v>
      </c>
      <c r="Y881" s="436">
        <f t="shared" ref="Y881:Y886" si="252">ROUND(S220*0.2475,0)</f>
        <v>190</v>
      </c>
      <c r="Z881" s="227">
        <f t="shared" ref="Z881:Z886" si="253">ROUND(S198*0.2175,0)</f>
        <v>186</v>
      </c>
      <c r="AA881" s="435">
        <f t="shared" ref="AA881:AA886" si="254">ROUND(S198*0.265,0)</f>
        <v>227</v>
      </c>
      <c r="AB881" s="435">
        <f t="shared" ref="AB881:AB886" si="255">ROUND(S198*0.27,0)</f>
        <v>231</v>
      </c>
      <c r="AC881" s="436">
        <f t="shared" ref="AC881:AC886" si="256">ROUND(S198*0.2475,0)</f>
        <v>212</v>
      </c>
    </row>
    <row r="882" spans="1:41">
      <c r="A882" s="432" t="s">
        <v>293</v>
      </c>
      <c r="B882" s="227">
        <f t="shared" si="229"/>
        <v>180</v>
      </c>
      <c r="C882" s="435">
        <f t="shared" si="230"/>
        <v>219</v>
      </c>
      <c r="D882" s="435">
        <f t="shared" si="231"/>
        <v>223</v>
      </c>
      <c r="E882" s="436">
        <f t="shared" si="232"/>
        <v>204</v>
      </c>
      <c r="F882" s="227">
        <f t="shared" si="233"/>
        <v>173</v>
      </c>
      <c r="G882" s="435">
        <f t="shared" si="234"/>
        <v>211</v>
      </c>
      <c r="H882" s="435">
        <f t="shared" si="235"/>
        <v>215</v>
      </c>
      <c r="I882" s="436">
        <f t="shared" si="236"/>
        <v>197</v>
      </c>
      <c r="J882" s="227">
        <f t="shared" si="237"/>
        <v>187</v>
      </c>
      <c r="K882" s="435">
        <f t="shared" si="238"/>
        <v>228</v>
      </c>
      <c r="L882" s="435">
        <f t="shared" si="239"/>
        <v>232</v>
      </c>
      <c r="M882" s="436">
        <f t="shared" si="240"/>
        <v>213</v>
      </c>
      <c r="N882" s="227">
        <f t="shared" si="241"/>
        <v>172</v>
      </c>
      <c r="O882" s="435">
        <f t="shared" si="242"/>
        <v>210</v>
      </c>
      <c r="P882" s="435">
        <f t="shared" si="243"/>
        <v>214</v>
      </c>
      <c r="Q882" s="436">
        <f t="shared" si="244"/>
        <v>196</v>
      </c>
      <c r="R882" s="227">
        <f t="shared" si="245"/>
        <v>182</v>
      </c>
      <c r="S882" s="435">
        <f t="shared" si="246"/>
        <v>222</v>
      </c>
      <c r="T882" s="435">
        <f t="shared" si="247"/>
        <v>226</v>
      </c>
      <c r="U882" s="436">
        <f t="shared" si="248"/>
        <v>207</v>
      </c>
      <c r="V882" s="227">
        <f t="shared" si="249"/>
        <v>181</v>
      </c>
      <c r="W882" s="435">
        <f t="shared" si="250"/>
        <v>220</v>
      </c>
      <c r="X882" s="435">
        <f t="shared" si="251"/>
        <v>224</v>
      </c>
      <c r="Y882" s="436">
        <f t="shared" si="252"/>
        <v>206</v>
      </c>
      <c r="Z882" s="227">
        <f t="shared" si="253"/>
        <v>174</v>
      </c>
      <c r="AA882" s="435">
        <f t="shared" si="254"/>
        <v>212</v>
      </c>
      <c r="AB882" s="435">
        <f t="shared" si="255"/>
        <v>216</v>
      </c>
      <c r="AC882" s="436">
        <f t="shared" si="256"/>
        <v>198</v>
      </c>
    </row>
    <row r="883" spans="1:41">
      <c r="A883" s="429" t="s">
        <v>294</v>
      </c>
      <c r="B883" s="227">
        <f t="shared" si="229"/>
        <v>186</v>
      </c>
      <c r="C883" s="435">
        <f t="shared" si="230"/>
        <v>226</v>
      </c>
      <c r="D883" s="435">
        <f t="shared" si="231"/>
        <v>230</v>
      </c>
      <c r="E883" s="436">
        <f t="shared" si="232"/>
        <v>211</v>
      </c>
      <c r="F883" s="227">
        <f t="shared" si="233"/>
        <v>184</v>
      </c>
      <c r="G883" s="435">
        <f t="shared" si="234"/>
        <v>224</v>
      </c>
      <c r="H883" s="435">
        <f t="shared" si="235"/>
        <v>228</v>
      </c>
      <c r="I883" s="436">
        <f t="shared" si="236"/>
        <v>209</v>
      </c>
      <c r="J883" s="227">
        <f t="shared" si="237"/>
        <v>177</v>
      </c>
      <c r="K883" s="435">
        <f t="shared" si="238"/>
        <v>216</v>
      </c>
      <c r="L883" s="435">
        <f t="shared" si="239"/>
        <v>220</v>
      </c>
      <c r="M883" s="436">
        <f t="shared" si="240"/>
        <v>201</v>
      </c>
      <c r="N883" s="227">
        <f t="shared" si="241"/>
        <v>193</v>
      </c>
      <c r="O883" s="435">
        <f t="shared" si="242"/>
        <v>235</v>
      </c>
      <c r="P883" s="435">
        <f t="shared" si="243"/>
        <v>240</v>
      </c>
      <c r="Q883" s="436">
        <f t="shared" si="244"/>
        <v>220</v>
      </c>
      <c r="R883" s="227">
        <f t="shared" si="245"/>
        <v>185</v>
      </c>
      <c r="S883" s="435">
        <f t="shared" si="246"/>
        <v>226</v>
      </c>
      <c r="T883" s="435">
        <f t="shared" si="247"/>
        <v>230</v>
      </c>
      <c r="U883" s="436">
        <f t="shared" si="248"/>
        <v>211</v>
      </c>
      <c r="V883" s="227">
        <f t="shared" si="249"/>
        <v>187</v>
      </c>
      <c r="W883" s="435">
        <f t="shared" si="250"/>
        <v>228</v>
      </c>
      <c r="X883" s="435">
        <f t="shared" si="251"/>
        <v>232</v>
      </c>
      <c r="Y883" s="436">
        <f t="shared" si="252"/>
        <v>213</v>
      </c>
      <c r="Z883" s="227">
        <f t="shared" si="253"/>
        <v>190</v>
      </c>
      <c r="AA883" s="435">
        <f t="shared" si="254"/>
        <v>232</v>
      </c>
      <c r="AB883" s="435">
        <f t="shared" si="255"/>
        <v>236</v>
      </c>
      <c r="AC883" s="436">
        <f t="shared" si="256"/>
        <v>217</v>
      </c>
    </row>
    <row r="884" spans="1:41">
      <c r="A884" s="429" t="s">
        <v>295</v>
      </c>
      <c r="B884" s="227">
        <f t="shared" si="229"/>
        <v>192</v>
      </c>
      <c r="C884" s="435">
        <f t="shared" si="230"/>
        <v>234</v>
      </c>
      <c r="D884" s="435">
        <f t="shared" si="231"/>
        <v>238</v>
      </c>
      <c r="E884" s="436">
        <f t="shared" si="232"/>
        <v>218</v>
      </c>
      <c r="F884" s="227">
        <f t="shared" si="233"/>
        <v>191</v>
      </c>
      <c r="G884" s="435">
        <f t="shared" si="234"/>
        <v>233</v>
      </c>
      <c r="H884" s="435">
        <f t="shared" si="235"/>
        <v>237</v>
      </c>
      <c r="I884" s="436">
        <f t="shared" si="236"/>
        <v>218</v>
      </c>
      <c r="J884" s="227">
        <f t="shared" si="237"/>
        <v>197</v>
      </c>
      <c r="K884" s="435">
        <f t="shared" si="238"/>
        <v>241</v>
      </c>
      <c r="L884" s="435">
        <f t="shared" si="239"/>
        <v>245</v>
      </c>
      <c r="M884" s="436">
        <f t="shared" si="240"/>
        <v>225</v>
      </c>
      <c r="N884" s="227">
        <f t="shared" si="241"/>
        <v>184</v>
      </c>
      <c r="O884" s="435">
        <f t="shared" si="242"/>
        <v>224</v>
      </c>
      <c r="P884" s="435">
        <f t="shared" si="243"/>
        <v>228</v>
      </c>
      <c r="Q884" s="436">
        <f t="shared" si="244"/>
        <v>209</v>
      </c>
      <c r="R884" s="227">
        <f t="shared" si="245"/>
        <v>208</v>
      </c>
      <c r="S884" s="435">
        <f t="shared" si="246"/>
        <v>253</v>
      </c>
      <c r="T884" s="435">
        <f t="shared" si="247"/>
        <v>258</v>
      </c>
      <c r="U884" s="436">
        <f t="shared" si="248"/>
        <v>236</v>
      </c>
      <c r="V884" s="227">
        <f t="shared" si="249"/>
        <v>196</v>
      </c>
      <c r="W884" s="435">
        <f t="shared" si="250"/>
        <v>239</v>
      </c>
      <c r="X884" s="435">
        <f t="shared" si="251"/>
        <v>243</v>
      </c>
      <c r="Y884" s="436">
        <f t="shared" si="252"/>
        <v>223</v>
      </c>
      <c r="Z884" s="227">
        <f t="shared" si="253"/>
        <v>190</v>
      </c>
      <c r="AA884" s="435">
        <f t="shared" si="254"/>
        <v>231</v>
      </c>
      <c r="AB884" s="435">
        <f t="shared" si="255"/>
        <v>236</v>
      </c>
      <c r="AC884" s="436">
        <f t="shared" si="256"/>
        <v>216</v>
      </c>
    </row>
    <row r="885" spans="1:41">
      <c r="A885" s="257">
        <v>4</v>
      </c>
      <c r="B885" s="227">
        <f t="shared" si="229"/>
        <v>195</v>
      </c>
      <c r="C885" s="435">
        <f t="shared" si="230"/>
        <v>238</v>
      </c>
      <c r="D885" s="435">
        <f t="shared" si="231"/>
        <v>242</v>
      </c>
      <c r="E885" s="436">
        <f t="shared" si="232"/>
        <v>222</v>
      </c>
      <c r="F885" s="227">
        <f t="shared" si="233"/>
        <v>202</v>
      </c>
      <c r="G885" s="435">
        <f t="shared" si="234"/>
        <v>246</v>
      </c>
      <c r="H885" s="435">
        <f t="shared" si="235"/>
        <v>250</v>
      </c>
      <c r="I885" s="436">
        <f t="shared" si="236"/>
        <v>229</v>
      </c>
      <c r="J885" s="227">
        <f t="shared" si="237"/>
        <v>197</v>
      </c>
      <c r="K885" s="435">
        <f t="shared" si="238"/>
        <v>240</v>
      </c>
      <c r="L885" s="435">
        <f t="shared" si="239"/>
        <v>244</v>
      </c>
      <c r="M885" s="436">
        <f t="shared" si="240"/>
        <v>224</v>
      </c>
      <c r="N885" s="227">
        <f t="shared" si="241"/>
        <v>207</v>
      </c>
      <c r="O885" s="435">
        <f t="shared" si="242"/>
        <v>252</v>
      </c>
      <c r="P885" s="435">
        <f t="shared" si="243"/>
        <v>257</v>
      </c>
      <c r="Q885" s="436">
        <f t="shared" si="244"/>
        <v>235</v>
      </c>
      <c r="R885" s="227">
        <f t="shared" si="245"/>
        <v>193</v>
      </c>
      <c r="S885" s="435">
        <f t="shared" si="246"/>
        <v>235</v>
      </c>
      <c r="T885" s="435">
        <f t="shared" si="247"/>
        <v>239</v>
      </c>
      <c r="U885" s="436">
        <f t="shared" si="248"/>
        <v>219</v>
      </c>
      <c r="V885" s="227">
        <f t="shared" si="249"/>
        <v>217</v>
      </c>
      <c r="W885" s="435">
        <f t="shared" si="250"/>
        <v>264</v>
      </c>
      <c r="X885" s="435">
        <f t="shared" si="251"/>
        <v>269</v>
      </c>
      <c r="Y885" s="436">
        <f t="shared" si="252"/>
        <v>247</v>
      </c>
      <c r="Z885" s="227">
        <f t="shared" si="253"/>
        <v>203</v>
      </c>
      <c r="AA885" s="435">
        <f t="shared" si="254"/>
        <v>247</v>
      </c>
      <c r="AB885" s="435">
        <f t="shared" si="255"/>
        <v>252</v>
      </c>
      <c r="AC885" s="436">
        <f t="shared" si="256"/>
        <v>231</v>
      </c>
    </row>
    <row r="886" spans="1:41">
      <c r="A886" s="257">
        <v>5</v>
      </c>
      <c r="B886" s="374">
        <f t="shared" si="229"/>
        <v>198</v>
      </c>
      <c r="C886" s="443">
        <f t="shared" si="230"/>
        <v>242</v>
      </c>
      <c r="D886" s="443">
        <f t="shared" si="231"/>
        <v>246</v>
      </c>
      <c r="E886" s="436">
        <f t="shared" si="232"/>
        <v>226</v>
      </c>
      <c r="F886" s="227">
        <f t="shared" si="233"/>
        <v>202</v>
      </c>
      <c r="G886" s="435">
        <f t="shared" si="234"/>
        <v>246</v>
      </c>
      <c r="H886" s="435">
        <f t="shared" si="235"/>
        <v>251</v>
      </c>
      <c r="I886" s="436">
        <f t="shared" si="236"/>
        <v>230</v>
      </c>
      <c r="J886" s="227">
        <f t="shared" si="237"/>
        <v>209</v>
      </c>
      <c r="K886" s="435">
        <f t="shared" si="238"/>
        <v>255</v>
      </c>
      <c r="L886" s="435">
        <f t="shared" si="239"/>
        <v>259</v>
      </c>
      <c r="M886" s="436">
        <f t="shared" si="240"/>
        <v>238</v>
      </c>
      <c r="N886" s="227">
        <f t="shared" si="241"/>
        <v>202</v>
      </c>
      <c r="O886" s="435">
        <f t="shared" si="242"/>
        <v>246</v>
      </c>
      <c r="P886" s="435">
        <f t="shared" si="243"/>
        <v>250</v>
      </c>
      <c r="Q886" s="436">
        <f t="shared" si="244"/>
        <v>229</v>
      </c>
      <c r="R886" s="227">
        <f t="shared" si="245"/>
        <v>209</v>
      </c>
      <c r="S886" s="435">
        <f t="shared" si="246"/>
        <v>255</v>
      </c>
      <c r="T886" s="435">
        <f t="shared" si="247"/>
        <v>260</v>
      </c>
      <c r="U886" s="436">
        <f t="shared" si="248"/>
        <v>238</v>
      </c>
      <c r="V886" s="227">
        <f t="shared" si="249"/>
        <v>197</v>
      </c>
      <c r="W886" s="435">
        <f t="shared" si="250"/>
        <v>240</v>
      </c>
      <c r="X886" s="435">
        <f t="shared" si="251"/>
        <v>244</v>
      </c>
      <c r="Y886" s="436">
        <f t="shared" si="252"/>
        <v>224</v>
      </c>
      <c r="Z886" s="227">
        <f t="shared" si="253"/>
        <v>221</v>
      </c>
      <c r="AA886" s="435">
        <f t="shared" si="254"/>
        <v>270</v>
      </c>
      <c r="AB886" s="435">
        <f t="shared" si="255"/>
        <v>275</v>
      </c>
      <c r="AC886" s="436">
        <f t="shared" si="256"/>
        <v>252</v>
      </c>
    </row>
    <row r="887" spans="1:41">
      <c r="A887" s="433">
        <v>6</v>
      </c>
      <c r="B887" s="227">
        <f t="shared" ref="B887:E889" si="257">K336</f>
        <v>233</v>
      </c>
      <c r="C887" s="225">
        <f t="shared" si="257"/>
        <v>255</v>
      </c>
      <c r="D887" s="225">
        <f t="shared" si="257"/>
        <v>263</v>
      </c>
      <c r="E887" s="225">
        <f t="shared" si="257"/>
        <v>239</v>
      </c>
      <c r="F887" s="227">
        <f t="shared" ref="F887:I889" si="258">K314</f>
        <v>221</v>
      </c>
      <c r="G887" s="435">
        <f t="shared" si="258"/>
        <v>242</v>
      </c>
      <c r="H887" s="435">
        <f t="shared" si="258"/>
        <v>250</v>
      </c>
      <c r="I887" s="436">
        <f t="shared" si="258"/>
        <v>227</v>
      </c>
      <c r="J887" s="227">
        <f t="shared" ref="J887:M889" si="259">K292</f>
        <v>214</v>
      </c>
      <c r="K887" s="435">
        <f t="shared" si="259"/>
        <v>264</v>
      </c>
      <c r="L887" s="435">
        <f t="shared" si="259"/>
        <v>243</v>
      </c>
      <c r="M887" s="436">
        <f t="shared" si="259"/>
        <v>232</v>
      </c>
      <c r="N887" s="227">
        <f t="shared" ref="N887:Q889" si="260">K270</f>
        <v>194</v>
      </c>
      <c r="O887" s="435">
        <f t="shared" si="260"/>
        <v>279</v>
      </c>
      <c r="P887" s="435">
        <f t="shared" si="260"/>
        <v>268</v>
      </c>
      <c r="Q887" s="436">
        <f t="shared" si="260"/>
        <v>256</v>
      </c>
      <c r="R887" s="227">
        <f t="shared" ref="R887:U889" si="261">K248</f>
        <v>235</v>
      </c>
      <c r="S887" s="435">
        <f t="shared" si="261"/>
        <v>234</v>
      </c>
      <c r="T887" s="435">
        <f t="shared" si="261"/>
        <v>262</v>
      </c>
      <c r="U887" s="436">
        <f t="shared" si="261"/>
        <v>252</v>
      </c>
      <c r="V887" s="227">
        <f t="shared" ref="V887:Y889" si="262">K226</f>
        <v>224</v>
      </c>
      <c r="W887" s="435">
        <f t="shared" si="262"/>
        <v>284</v>
      </c>
      <c r="X887" s="435">
        <f t="shared" si="262"/>
        <v>260</v>
      </c>
      <c r="Y887" s="436">
        <f t="shared" si="262"/>
        <v>253</v>
      </c>
      <c r="Z887" s="227">
        <f t="shared" ref="Z887:AC889" si="263">K204</f>
        <v>217</v>
      </c>
      <c r="AA887" s="435">
        <f t="shared" si="263"/>
        <v>234</v>
      </c>
      <c r="AB887" s="435">
        <f t="shared" si="263"/>
        <v>240</v>
      </c>
      <c r="AC887" s="436">
        <f t="shared" si="263"/>
        <v>253</v>
      </c>
    </row>
    <row r="888" spans="1:41" ht="12.75" customHeight="1">
      <c r="A888" s="257">
        <v>7</v>
      </c>
      <c r="B888" s="227">
        <f t="shared" si="257"/>
        <v>243</v>
      </c>
      <c r="C888" s="225">
        <f t="shared" si="257"/>
        <v>231</v>
      </c>
      <c r="D888" s="225">
        <f t="shared" si="257"/>
        <v>287</v>
      </c>
      <c r="E888" s="225">
        <f t="shared" si="257"/>
        <v>236</v>
      </c>
      <c r="F888" s="227">
        <f t="shared" si="258"/>
        <v>242</v>
      </c>
      <c r="G888" s="435">
        <f t="shared" si="258"/>
        <v>230</v>
      </c>
      <c r="H888" s="435">
        <f t="shared" si="258"/>
        <v>285</v>
      </c>
      <c r="I888" s="436">
        <f t="shared" si="258"/>
        <v>235</v>
      </c>
      <c r="J888" s="227">
        <f t="shared" si="259"/>
        <v>210</v>
      </c>
      <c r="K888" s="435">
        <f t="shared" si="259"/>
        <v>265</v>
      </c>
      <c r="L888" s="435">
        <f t="shared" si="259"/>
        <v>254</v>
      </c>
      <c r="M888" s="436">
        <f t="shared" si="259"/>
        <v>230</v>
      </c>
      <c r="N888" s="227">
        <f t="shared" si="260"/>
        <v>217</v>
      </c>
      <c r="O888" s="435">
        <f t="shared" si="260"/>
        <v>262</v>
      </c>
      <c r="P888" s="435">
        <f t="shared" si="260"/>
        <v>246</v>
      </c>
      <c r="Q888" s="436">
        <f t="shared" si="260"/>
        <v>242</v>
      </c>
      <c r="R888" s="227">
        <f t="shared" si="261"/>
        <v>208</v>
      </c>
      <c r="S888" s="435">
        <f t="shared" si="261"/>
        <v>296</v>
      </c>
      <c r="T888" s="435">
        <f t="shared" si="261"/>
        <v>266</v>
      </c>
      <c r="U888" s="436">
        <f t="shared" si="261"/>
        <v>268</v>
      </c>
      <c r="V888" s="227">
        <f t="shared" si="262"/>
        <v>238</v>
      </c>
      <c r="W888" s="435">
        <f t="shared" si="262"/>
        <v>240</v>
      </c>
      <c r="X888" s="435">
        <f t="shared" si="262"/>
        <v>264</v>
      </c>
      <c r="Y888" s="436">
        <f t="shared" si="262"/>
        <v>255</v>
      </c>
      <c r="Z888" s="227">
        <f t="shared" si="263"/>
        <v>224</v>
      </c>
      <c r="AA888" s="435">
        <f t="shared" si="263"/>
        <v>294</v>
      </c>
      <c r="AB888" s="435">
        <f t="shared" si="263"/>
        <v>267</v>
      </c>
      <c r="AC888" s="436">
        <f t="shared" si="263"/>
        <v>255</v>
      </c>
    </row>
    <row r="889" spans="1:41">
      <c r="A889" s="257">
        <v>8</v>
      </c>
      <c r="B889" s="227">
        <f t="shared" si="257"/>
        <v>196</v>
      </c>
      <c r="C889" s="225">
        <f t="shared" si="257"/>
        <v>261</v>
      </c>
      <c r="D889" s="225">
        <f t="shared" si="257"/>
        <v>286</v>
      </c>
      <c r="E889" s="225">
        <f t="shared" si="257"/>
        <v>226</v>
      </c>
      <c r="F889" s="227">
        <f t="shared" si="258"/>
        <v>205</v>
      </c>
      <c r="G889" s="435">
        <f t="shared" si="258"/>
        <v>273</v>
      </c>
      <c r="H889" s="435">
        <f t="shared" si="258"/>
        <v>299</v>
      </c>
      <c r="I889" s="436">
        <f t="shared" si="258"/>
        <v>236</v>
      </c>
      <c r="J889" s="227">
        <f t="shared" si="259"/>
        <v>229</v>
      </c>
      <c r="K889" s="435">
        <f t="shared" si="259"/>
        <v>263</v>
      </c>
      <c r="L889" s="435">
        <f t="shared" si="259"/>
        <v>287</v>
      </c>
      <c r="M889" s="436">
        <f t="shared" si="259"/>
        <v>244</v>
      </c>
      <c r="N889" s="227">
        <f t="shared" si="260"/>
        <v>215</v>
      </c>
      <c r="O889" s="435">
        <f t="shared" si="260"/>
        <v>268</v>
      </c>
      <c r="P889" s="435">
        <f t="shared" si="260"/>
        <v>258</v>
      </c>
      <c r="Q889" s="436">
        <f t="shared" si="260"/>
        <v>237</v>
      </c>
      <c r="R889" s="227">
        <f t="shared" si="261"/>
        <v>213</v>
      </c>
      <c r="S889" s="435">
        <f t="shared" si="261"/>
        <v>268</v>
      </c>
      <c r="T889" s="435">
        <f t="shared" si="261"/>
        <v>258</v>
      </c>
      <c r="U889" s="436">
        <f t="shared" si="261"/>
        <v>241</v>
      </c>
      <c r="V889" s="227">
        <f t="shared" si="262"/>
        <v>212</v>
      </c>
      <c r="W889" s="435">
        <f t="shared" si="262"/>
        <v>308</v>
      </c>
      <c r="X889" s="435">
        <f t="shared" si="262"/>
        <v>264</v>
      </c>
      <c r="Y889" s="436">
        <f t="shared" si="262"/>
        <v>280</v>
      </c>
      <c r="Z889" s="227">
        <f t="shared" si="263"/>
        <v>249</v>
      </c>
      <c r="AA889" s="435">
        <f t="shared" si="263"/>
        <v>245</v>
      </c>
      <c r="AB889" s="435">
        <f t="shared" si="263"/>
        <v>274</v>
      </c>
      <c r="AC889" s="436">
        <f t="shared" si="263"/>
        <v>270</v>
      </c>
    </row>
    <row r="890" spans="1:41">
      <c r="A890" s="149"/>
      <c r="B890" s="149"/>
      <c r="C890" s="149"/>
      <c r="D890" s="149"/>
      <c r="E890" s="149"/>
      <c r="F890" s="149"/>
      <c r="G890" s="149"/>
      <c r="H890" s="149"/>
      <c r="I890" s="149"/>
      <c r="J890" s="149"/>
      <c r="K890" s="149"/>
      <c r="L890" s="165"/>
      <c r="M890" s="165"/>
      <c r="N890" s="165"/>
      <c r="O890" s="165"/>
      <c r="P890" s="165"/>
      <c r="Q890" s="165"/>
      <c r="R890" s="165"/>
      <c r="S890" s="165"/>
      <c r="T890" s="165"/>
      <c r="U890" s="165"/>
      <c r="V890" s="165"/>
      <c r="W890" s="165"/>
    </row>
    <row r="891" spans="1:41">
      <c r="A891" s="149"/>
      <c r="B891" s="149"/>
      <c r="C891" s="149"/>
      <c r="D891" s="149"/>
      <c r="E891" s="149"/>
      <c r="F891" s="149"/>
      <c r="G891" s="149"/>
      <c r="H891" s="149"/>
      <c r="I891" s="149"/>
      <c r="J891" s="149"/>
      <c r="K891" s="149"/>
      <c r="L891" s="165"/>
      <c r="M891" s="165"/>
      <c r="N891" s="165"/>
      <c r="O891" s="165"/>
      <c r="P891" s="165"/>
      <c r="Q891" s="165"/>
      <c r="R891" s="165"/>
      <c r="S891" s="165"/>
      <c r="T891" s="165"/>
      <c r="U891" s="165"/>
      <c r="V891" s="165"/>
      <c r="W891" s="165"/>
    </row>
    <row r="892" spans="1:41" ht="13.8" thickBot="1">
      <c r="A892" s="156"/>
      <c r="B892" s="784" t="str">
        <f>N171</f>
        <v>2019-20</v>
      </c>
      <c r="C892" s="785"/>
      <c r="D892" s="785"/>
      <c r="E892" s="786"/>
      <c r="F892" s="781" t="str">
        <f>N149</f>
        <v>2020-21</v>
      </c>
      <c r="G892" s="782"/>
      <c r="H892" s="782"/>
      <c r="I892" s="783"/>
      <c r="J892" s="781" t="str">
        <f>N127</f>
        <v>2021-22</v>
      </c>
      <c r="K892" s="782"/>
      <c r="L892" s="782"/>
      <c r="M892" s="782"/>
      <c r="N892" s="784" t="str">
        <f>N105</f>
        <v>2022-23</v>
      </c>
      <c r="O892" s="785"/>
      <c r="P892" s="785"/>
      <c r="Q892" s="785"/>
      <c r="R892" s="784" t="str">
        <f>N83</f>
        <v>2023-24</v>
      </c>
      <c r="S892" s="785"/>
      <c r="T892" s="785"/>
      <c r="U892" s="785"/>
      <c r="V892" s="784" t="str">
        <f>N61</f>
        <v>2024-25</v>
      </c>
      <c r="W892" s="785"/>
      <c r="X892" s="785"/>
      <c r="Y892" s="786"/>
      <c r="Z892" s="784" t="str">
        <f>K9</f>
        <v>2025-26</v>
      </c>
      <c r="AA892" s="785"/>
      <c r="AB892" s="785"/>
      <c r="AC892" s="786"/>
      <c r="AD892" s="165"/>
      <c r="AE892" s="165"/>
      <c r="AF892" s="165"/>
      <c r="AG892" s="165"/>
      <c r="AH892" s="165"/>
      <c r="AI892" s="29"/>
    </row>
    <row r="893" spans="1:41" ht="13.8" thickTop="1">
      <c r="A893" s="222"/>
      <c r="B893" s="194"/>
      <c r="C893" s="29"/>
      <c r="D893" s="29"/>
      <c r="E893" s="226"/>
      <c r="F893" s="29"/>
      <c r="G893" s="29"/>
      <c r="H893" s="29"/>
      <c r="I893" s="226"/>
      <c r="J893" s="29"/>
      <c r="K893" s="29"/>
      <c r="L893" s="29"/>
      <c r="M893" s="29"/>
      <c r="N893" s="194"/>
      <c r="O893" s="29"/>
      <c r="P893" s="29"/>
      <c r="Q893" s="29"/>
      <c r="R893" s="194"/>
      <c r="S893" s="29"/>
      <c r="T893" s="29"/>
      <c r="U893" s="29"/>
      <c r="V893" s="194"/>
      <c r="W893" s="29"/>
      <c r="X893" s="29"/>
      <c r="Y893" s="226"/>
      <c r="Z893" s="194"/>
      <c r="AA893" s="29"/>
      <c r="AB893" s="29"/>
      <c r="AC893" s="226"/>
      <c r="AD893" s="165"/>
      <c r="AE893" s="165"/>
      <c r="AF893" s="165"/>
      <c r="AG893" s="165"/>
      <c r="AH893" s="165"/>
      <c r="AI893" s="29"/>
      <c r="AJ893" s="165"/>
      <c r="AK893" s="165"/>
      <c r="AL893" s="165"/>
      <c r="AM893" s="165"/>
      <c r="AN893" s="165"/>
      <c r="AO893" s="29"/>
    </row>
    <row r="894" spans="1:41">
      <c r="A894" s="194"/>
      <c r="B894" s="430" t="s">
        <v>363</v>
      </c>
      <c r="C894" s="320" t="s">
        <v>36</v>
      </c>
      <c r="D894" s="320" t="s">
        <v>86</v>
      </c>
      <c r="E894" s="434" t="s">
        <v>99</v>
      </c>
      <c r="F894" s="430" t="s">
        <v>363</v>
      </c>
      <c r="G894" s="320" t="s">
        <v>36</v>
      </c>
      <c r="H894" s="320" t="s">
        <v>86</v>
      </c>
      <c r="I894" s="434" t="s">
        <v>99</v>
      </c>
      <c r="J894" s="430" t="s">
        <v>363</v>
      </c>
      <c r="K894" s="320" t="s">
        <v>36</v>
      </c>
      <c r="L894" s="320" t="s">
        <v>86</v>
      </c>
      <c r="M894" s="320" t="s">
        <v>99</v>
      </c>
      <c r="N894" s="430" t="s">
        <v>363</v>
      </c>
      <c r="O894" s="320" t="s">
        <v>36</v>
      </c>
      <c r="P894" s="320" t="s">
        <v>86</v>
      </c>
      <c r="Q894" s="320" t="s">
        <v>99</v>
      </c>
      <c r="R894" s="430" t="s">
        <v>363</v>
      </c>
      <c r="S894" s="320" t="s">
        <v>36</v>
      </c>
      <c r="T894" s="320" t="s">
        <v>86</v>
      </c>
      <c r="U894" s="320" t="s">
        <v>99</v>
      </c>
      <c r="V894" s="430" t="s">
        <v>363</v>
      </c>
      <c r="W894" s="320" t="s">
        <v>36</v>
      </c>
      <c r="X894" s="320" t="s">
        <v>86</v>
      </c>
      <c r="Y894" s="434" t="s">
        <v>99</v>
      </c>
      <c r="Z894" s="430" t="s">
        <v>363</v>
      </c>
      <c r="AA894" s="320" t="s">
        <v>36</v>
      </c>
      <c r="AB894" s="320" t="s">
        <v>86</v>
      </c>
      <c r="AC894" s="434" t="s">
        <v>99</v>
      </c>
      <c r="AD894" s="165"/>
      <c r="AE894" s="165"/>
      <c r="AF894" s="165"/>
      <c r="AG894" s="165"/>
      <c r="AH894" s="165"/>
      <c r="AI894" s="29"/>
      <c r="AJ894" s="165"/>
      <c r="AK894" s="165"/>
      <c r="AL894" s="165"/>
      <c r="AM894" s="165"/>
      <c r="AN894" s="165"/>
      <c r="AO894" s="29"/>
    </row>
    <row r="895" spans="1:41">
      <c r="A895" s="431" t="s">
        <v>292</v>
      </c>
      <c r="B895" s="227">
        <f t="shared" ref="B895:B900" si="264">ROUND(S176*0.2175,0)</f>
        <v>178</v>
      </c>
      <c r="C895" s="435">
        <f t="shared" ref="C895:C900" si="265">ROUND(S176*0.265,0)</f>
        <v>217</v>
      </c>
      <c r="D895" s="435">
        <f t="shared" ref="D895:D900" si="266">ROUND(S176*0.27,0)</f>
        <v>221</v>
      </c>
      <c r="E895" s="436">
        <f t="shared" ref="E895:E900" si="267">ROUND(S176*0.2475,0)</f>
        <v>203</v>
      </c>
      <c r="F895" s="227">
        <f t="shared" ref="F895:F900" si="268">ROUND(S154*0.2175,0)</f>
        <v>173</v>
      </c>
      <c r="G895" s="435">
        <f t="shared" ref="G895:G900" si="269">ROUND(S154*0.265,0)</f>
        <v>211</v>
      </c>
      <c r="H895" s="435">
        <f t="shared" ref="H895:H900" si="270">ROUND(S154*0.27,0)</f>
        <v>215</v>
      </c>
      <c r="I895" s="436">
        <f t="shared" ref="I895:I900" si="271">ROUND(S154*0.2475,0)</f>
        <v>197</v>
      </c>
      <c r="J895" s="227">
        <f t="shared" ref="J895:J900" si="272">ROUND(S132*0.2175,0)</f>
        <v>170</v>
      </c>
      <c r="K895" s="435">
        <f t="shared" ref="K895:K900" si="273">ROUND(S132*0.265,0)</f>
        <v>207</v>
      </c>
      <c r="L895" s="435">
        <f t="shared" ref="L895:L900" si="274">ROUND(S132*0.27,0)</f>
        <v>211</v>
      </c>
      <c r="M895" s="436">
        <f t="shared" ref="M895:M900" si="275">ROUND(S132*0.2475,0)</f>
        <v>194</v>
      </c>
      <c r="N895" s="227">
        <f t="shared" ref="N895:N900" si="276">ROUND(S110*0.2175,0)</f>
        <v>175</v>
      </c>
      <c r="O895" s="435">
        <f t="shared" ref="O895:O900" si="277">ROUND(S110*0.265,0)</f>
        <v>213</v>
      </c>
      <c r="P895" s="435">
        <f t="shared" ref="P895:P900" si="278">ROUND(S110*0.27,0)</f>
        <v>217</v>
      </c>
      <c r="Q895" s="436">
        <f t="shared" ref="Q895:Q900" si="279">ROUND(S110*0.2475,0)</f>
        <v>199</v>
      </c>
      <c r="R895" s="227">
        <f t="shared" ref="R895:R900" si="280">ROUND(S88*0.2175,0)</f>
        <v>166</v>
      </c>
      <c r="S895" s="435">
        <f t="shared" ref="S895:S900" si="281">ROUND(S88*0.265,0)</f>
        <v>202</v>
      </c>
      <c r="T895" s="435">
        <f t="shared" ref="T895:T900" si="282">ROUND(S88*0.27,0)</f>
        <v>206</v>
      </c>
      <c r="U895" s="436">
        <f t="shared" ref="U895:U900" si="283">ROUND(S88*0.2475,0)</f>
        <v>189</v>
      </c>
      <c r="V895" s="227">
        <f t="shared" ref="V895:V900" si="284">ROUND(S66*0.2175,0)</f>
        <v>161</v>
      </c>
      <c r="W895" s="435">
        <f t="shared" ref="W895:W900" si="285">ROUND(S66*0.27,0)</f>
        <v>200</v>
      </c>
      <c r="X895" s="435">
        <f t="shared" ref="X895:X900" si="286">ROUND(S66*0.265,0)</f>
        <v>197</v>
      </c>
      <c r="Y895" s="436">
        <f t="shared" ref="Y895:Y900" si="287">ROUND(S66*0.2475,0)</f>
        <v>184</v>
      </c>
      <c r="Z895" s="227">
        <f t="shared" ref="Z895:Z900" si="288">ROUND(S14*0.2175,0)</f>
        <v>157</v>
      </c>
      <c r="AA895" s="435">
        <f t="shared" ref="AA895:AA900" si="289">ROUND(S14*0.27,0)</f>
        <v>195</v>
      </c>
      <c r="AB895" s="435">
        <f t="shared" ref="AB895:AB900" si="290">ROUND(S14*0.265,0)</f>
        <v>192</v>
      </c>
      <c r="AC895" s="436">
        <f t="shared" ref="AC895:AC900" si="291">ROUND(S14*0.2475,0)</f>
        <v>179</v>
      </c>
      <c r="AD895" s="165"/>
      <c r="AE895" s="165"/>
      <c r="AF895" s="165"/>
      <c r="AG895" s="165"/>
      <c r="AH895" s="165"/>
      <c r="AI895" s="29"/>
      <c r="AJ895" s="165"/>
      <c r="AK895" s="165"/>
      <c r="AL895" s="165"/>
      <c r="AM895" s="165"/>
      <c r="AN895" s="165"/>
      <c r="AO895" s="29"/>
    </row>
    <row r="896" spans="1:41">
      <c r="A896" s="432" t="s">
        <v>293</v>
      </c>
      <c r="B896" s="227">
        <f t="shared" si="264"/>
        <v>198</v>
      </c>
      <c r="C896" s="435">
        <f t="shared" si="265"/>
        <v>241</v>
      </c>
      <c r="D896" s="435">
        <f t="shared" si="266"/>
        <v>245</v>
      </c>
      <c r="E896" s="436">
        <f t="shared" si="267"/>
        <v>225</v>
      </c>
      <c r="F896" s="227">
        <f t="shared" si="268"/>
        <v>175</v>
      </c>
      <c r="G896" s="435">
        <f t="shared" si="269"/>
        <v>214</v>
      </c>
      <c r="H896" s="435">
        <f t="shared" si="270"/>
        <v>218</v>
      </c>
      <c r="I896" s="436">
        <f t="shared" si="271"/>
        <v>199</v>
      </c>
      <c r="J896" s="227">
        <f t="shared" si="272"/>
        <v>190</v>
      </c>
      <c r="K896" s="435">
        <f t="shared" si="273"/>
        <v>232</v>
      </c>
      <c r="L896" s="435">
        <f t="shared" si="274"/>
        <v>236</v>
      </c>
      <c r="M896" s="436">
        <f t="shared" si="275"/>
        <v>217</v>
      </c>
      <c r="N896" s="227">
        <f t="shared" si="276"/>
        <v>178</v>
      </c>
      <c r="O896" s="435">
        <f t="shared" si="277"/>
        <v>217</v>
      </c>
      <c r="P896" s="435">
        <f t="shared" si="278"/>
        <v>221</v>
      </c>
      <c r="Q896" s="436">
        <f t="shared" si="279"/>
        <v>203</v>
      </c>
      <c r="R896" s="227">
        <f t="shared" si="280"/>
        <v>180</v>
      </c>
      <c r="S896" s="435">
        <f t="shared" si="281"/>
        <v>219</v>
      </c>
      <c r="T896" s="435">
        <f t="shared" si="282"/>
        <v>223</v>
      </c>
      <c r="U896" s="436">
        <f t="shared" si="283"/>
        <v>205</v>
      </c>
      <c r="V896" s="227">
        <f t="shared" si="284"/>
        <v>171</v>
      </c>
      <c r="W896" s="435">
        <f t="shared" si="285"/>
        <v>212</v>
      </c>
      <c r="X896" s="435">
        <f t="shared" si="286"/>
        <v>208</v>
      </c>
      <c r="Y896" s="436">
        <f t="shared" si="287"/>
        <v>194</v>
      </c>
      <c r="Z896" s="227">
        <f t="shared" si="288"/>
        <v>160</v>
      </c>
      <c r="AA896" s="435">
        <f t="shared" si="289"/>
        <v>198</v>
      </c>
      <c r="AB896" s="435">
        <f t="shared" si="290"/>
        <v>195</v>
      </c>
      <c r="AC896" s="436">
        <f t="shared" si="291"/>
        <v>182</v>
      </c>
      <c r="AD896" s="165"/>
      <c r="AE896" s="165"/>
      <c r="AF896" s="165"/>
      <c r="AG896" s="165"/>
      <c r="AH896" s="165"/>
      <c r="AI896" s="29"/>
      <c r="AJ896" s="165"/>
      <c r="AK896" s="165"/>
      <c r="AL896" s="165"/>
      <c r="AM896" s="165"/>
      <c r="AN896" s="165"/>
      <c r="AO896" s="29"/>
    </row>
    <row r="897" spans="1:41">
      <c r="A897" s="429" t="s">
        <v>294</v>
      </c>
      <c r="B897" s="227">
        <f t="shared" si="264"/>
        <v>181</v>
      </c>
      <c r="C897" s="435">
        <f t="shared" si="265"/>
        <v>220</v>
      </c>
      <c r="D897" s="435">
        <f t="shared" si="266"/>
        <v>224</v>
      </c>
      <c r="E897" s="436">
        <f t="shared" si="267"/>
        <v>205</v>
      </c>
      <c r="F897" s="227">
        <f t="shared" si="268"/>
        <v>194</v>
      </c>
      <c r="G897" s="435">
        <f t="shared" si="269"/>
        <v>236</v>
      </c>
      <c r="H897" s="435">
        <f t="shared" si="270"/>
        <v>241</v>
      </c>
      <c r="I897" s="436">
        <f t="shared" si="271"/>
        <v>221</v>
      </c>
      <c r="J897" s="227">
        <f t="shared" si="272"/>
        <v>178</v>
      </c>
      <c r="K897" s="435">
        <f t="shared" si="273"/>
        <v>217</v>
      </c>
      <c r="L897" s="435">
        <f t="shared" si="274"/>
        <v>221</v>
      </c>
      <c r="M897" s="436">
        <f t="shared" si="275"/>
        <v>203</v>
      </c>
      <c r="N897" s="227">
        <f t="shared" si="276"/>
        <v>193</v>
      </c>
      <c r="O897" s="435">
        <f t="shared" si="277"/>
        <v>235</v>
      </c>
      <c r="P897" s="435">
        <f t="shared" si="278"/>
        <v>240</v>
      </c>
      <c r="Q897" s="436">
        <f t="shared" si="279"/>
        <v>220</v>
      </c>
      <c r="R897" s="227">
        <f t="shared" si="280"/>
        <v>182</v>
      </c>
      <c r="S897" s="435">
        <f t="shared" si="281"/>
        <v>222</v>
      </c>
      <c r="T897" s="435">
        <f t="shared" si="282"/>
        <v>226</v>
      </c>
      <c r="U897" s="436">
        <f t="shared" si="283"/>
        <v>207</v>
      </c>
      <c r="V897" s="227">
        <f t="shared" si="284"/>
        <v>185</v>
      </c>
      <c r="W897" s="435">
        <f t="shared" si="285"/>
        <v>230</v>
      </c>
      <c r="X897" s="435">
        <f t="shared" si="286"/>
        <v>225</v>
      </c>
      <c r="Y897" s="436">
        <f t="shared" si="287"/>
        <v>210</v>
      </c>
      <c r="Z897" s="227">
        <f t="shared" si="288"/>
        <v>176</v>
      </c>
      <c r="AA897" s="435">
        <f t="shared" si="289"/>
        <v>218</v>
      </c>
      <c r="AB897" s="435">
        <f t="shared" si="290"/>
        <v>214</v>
      </c>
      <c r="AC897" s="436">
        <f t="shared" si="291"/>
        <v>200</v>
      </c>
      <c r="AD897" s="165"/>
      <c r="AE897" s="165"/>
      <c r="AF897" s="165"/>
      <c r="AG897" s="165"/>
      <c r="AH897" s="165"/>
      <c r="AI897" s="29"/>
      <c r="AJ897" s="165"/>
      <c r="AK897" s="165"/>
      <c r="AL897" s="165"/>
      <c r="AM897" s="165"/>
      <c r="AN897" s="165"/>
      <c r="AO897" s="29"/>
    </row>
    <row r="898" spans="1:41">
      <c r="A898" s="429" t="s">
        <v>295</v>
      </c>
      <c r="B898" s="227">
        <f t="shared" si="264"/>
        <v>198</v>
      </c>
      <c r="C898" s="435">
        <f t="shared" si="265"/>
        <v>241</v>
      </c>
      <c r="D898" s="435">
        <f t="shared" si="266"/>
        <v>246</v>
      </c>
      <c r="E898" s="436">
        <f t="shared" si="267"/>
        <v>225</v>
      </c>
      <c r="F898" s="227">
        <f t="shared" si="268"/>
        <v>180</v>
      </c>
      <c r="G898" s="435">
        <f t="shared" si="269"/>
        <v>220</v>
      </c>
      <c r="H898" s="435">
        <f t="shared" si="270"/>
        <v>224</v>
      </c>
      <c r="I898" s="436">
        <f t="shared" si="271"/>
        <v>205</v>
      </c>
      <c r="J898" s="227">
        <f t="shared" si="272"/>
        <v>200</v>
      </c>
      <c r="K898" s="435">
        <f t="shared" si="273"/>
        <v>244</v>
      </c>
      <c r="L898" s="435">
        <f t="shared" si="274"/>
        <v>248</v>
      </c>
      <c r="M898" s="436">
        <f t="shared" si="275"/>
        <v>228</v>
      </c>
      <c r="N898" s="227">
        <f t="shared" si="276"/>
        <v>186</v>
      </c>
      <c r="O898" s="435">
        <f t="shared" si="277"/>
        <v>227</v>
      </c>
      <c r="P898" s="435">
        <f t="shared" si="278"/>
        <v>231</v>
      </c>
      <c r="Q898" s="436">
        <f t="shared" si="279"/>
        <v>212</v>
      </c>
      <c r="R898" s="227">
        <f t="shared" si="280"/>
        <v>192</v>
      </c>
      <c r="S898" s="435">
        <f t="shared" si="281"/>
        <v>235</v>
      </c>
      <c r="T898" s="435">
        <f t="shared" si="282"/>
        <v>239</v>
      </c>
      <c r="U898" s="436">
        <f t="shared" si="283"/>
        <v>219</v>
      </c>
      <c r="V898" s="227">
        <f t="shared" si="284"/>
        <v>184</v>
      </c>
      <c r="W898" s="435">
        <f t="shared" si="285"/>
        <v>229</v>
      </c>
      <c r="X898" s="435">
        <f t="shared" si="286"/>
        <v>225</v>
      </c>
      <c r="Y898" s="436">
        <f t="shared" si="287"/>
        <v>210</v>
      </c>
      <c r="Z898" s="227">
        <f t="shared" si="288"/>
        <v>191</v>
      </c>
      <c r="AA898" s="435">
        <f t="shared" si="289"/>
        <v>237</v>
      </c>
      <c r="AB898" s="435">
        <f t="shared" si="290"/>
        <v>232</v>
      </c>
      <c r="AC898" s="436">
        <f t="shared" si="291"/>
        <v>217</v>
      </c>
      <c r="AD898" s="165"/>
      <c r="AE898" s="165"/>
      <c r="AF898" s="165"/>
      <c r="AG898" s="165"/>
      <c r="AH898" s="165"/>
      <c r="AI898" s="29"/>
      <c r="AJ898" s="165"/>
      <c r="AK898" s="165"/>
      <c r="AL898" s="165"/>
      <c r="AM898" s="165"/>
      <c r="AN898" s="165"/>
      <c r="AO898" s="29"/>
    </row>
    <row r="899" spans="1:41">
      <c r="A899" s="257">
        <v>4</v>
      </c>
      <c r="B899" s="227">
        <f t="shared" si="264"/>
        <v>197</v>
      </c>
      <c r="C899" s="435">
        <f t="shared" si="265"/>
        <v>240</v>
      </c>
      <c r="D899" s="435">
        <f t="shared" si="266"/>
        <v>245</v>
      </c>
      <c r="E899" s="436">
        <f t="shared" si="267"/>
        <v>224</v>
      </c>
      <c r="F899" s="227">
        <f t="shared" si="268"/>
        <v>200</v>
      </c>
      <c r="G899" s="435">
        <f t="shared" si="269"/>
        <v>244</v>
      </c>
      <c r="H899" s="435">
        <f t="shared" si="270"/>
        <v>248</v>
      </c>
      <c r="I899" s="436">
        <f t="shared" si="271"/>
        <v>228</v>
      </c>
      <c r="J899" s="227">
        <f t="shared" si="272"/>
        <v>186</v>
      </c>
      <c r="K899" s="435">
        <f t="shared" si="273"/>
        <v>226</v>
      </c>
      <c r="L899" s="435">
        <f t="shared" si="274"/>
        <v>231</v>
      </c>
      <c r="M899" s="436">
        <f t="shared" si="275"/>
        <v>211</v>
      </c>
      <c r="N899" s="227">
        <f t="shared" si="276"/>
        <v>205</v>
      </c>
      <c r="O899" s="435">
        <f t="shared" si="277"/>
        <v>249</v>
      </c>
      <c r="P899" s="435">
        <f t="shared" si="278"/>
        <v>254</v>
      </c>
      <c r="Q899" s="436">
        <f t="shared" si="279"/>
        <v>233</v>
      </c>
      <c r="R899" s="227">
        <f t="shared" si="280"/>
        <v>190</v>
      </c>
      <c r="S899" s="435">
        <f t="shared" si="281"/>
        <v>232</v>
      </c>
      <c r="T899" s="435">
        <f t="shared" si="282"/>
        <v>236</v>
      </c>
      <c r="U899" s="436">
        <f t="shared" si="283"/>
        <v>217</v>
      </c>
      <c r="V899" s="227">
        <f t="shared" si="284"/>
        <v>198</v>
      </c>
      <c r="W899" s="435">
        <f t="shared" si="285"/>
        <v>246</v>
      </c>
      <c r="X899" s="435">
        <f t="shared" si="286"/>
        <v>241</v>
      </c>
      <c r="Y899" s="436">
        <f t="shared" si="287"/>
        <v>225</v>
      </c>
      <c r="Z899" s="227">
        <f t="shared" si="288"/>
        <v>190</v>
      </c>
      <c r="AA899" s="435">
        <f t="shared" si="289"/>
        <v>236</v>
      </c>
      <c r="AB899" s="435">
        <f t="shared" si="290"/>
        <v>232</v>
      </c>
      <c r="AC899" s="436">
        <f t="shared" si="291"/>
        <v>216</v>
      </c>
      <c r="AD899" s="165"/>
      <c r="AE899" s="165"/>
      <c r="AF899" s="165"/>
      <c r="AG899" s="165"/>
      <c r="AH899" s="165"/>
      <c r="AI899" s="29"/>
      <c r="AJ899" s="165"/>
      <c r="AK899" s="165"/>
      <c r="AL899" s="165"/>
      <c r="AM899" s="165"/>
      <c r="AN899" s="165"/>
      <c r="AO899" s="29"/>
    </row>
    <row r="900" spans="1:41">
      <c r="A900" s="257">
        <v>5</v>
      </c>
      <c r="B900" s="227">
        <f t="shared" si="264"/>
        <v>209</v>
      </c>
      <c r="C900" s="435">
        <f t="shared" si="265"/>
        <v>254</v>
      </c>
      <c r="D900" s="435">
        <f t="shared" si="266"/>
        <v>259</v>
      </c>
      <c r="E900" s="436">
        <f t="shared" si="267"/>
        <v>238</v>
      </c>
      <c r="F900" s="227">
        <f t="shared" si="268"/>
        <v>199</v>
      </c>
      <c r="G900" s="435">
        <f t="shared" si="269"/>
        <v>242</v>
      </c>
      <c r="H900" s="435">
        <f t="shared" si="270"/>
        <v>247</v>
      </c>
      <c r="I900" s="436">
        <f t="shared" si="271"/>
        <v>226</v>
      </c>
      <c r="J900" s="227">
        <f t="shared" si="272"/>
        <v>209</v>
      </c>
      <c r="K900" s="435">
        <f t="shared" si="273"/>
        <v>255</v>
      </c>
      <c r="L900" s="435">
        <f t="shared" si="274"/>
        <v>260</v>
      </c>
      <c r="M900" s="436">
        <f t="shared" si="275"/>
        <v>238</v>
      </c>
      <c r="N900" s="227">
        <f t="shared" si="276"/>
        <v>190</v>
      </c>
      <c r="O900" s="435">
        <f t="shared" si="277"/>
        <v>231</v>
      </c>
      <c r="P900" s="435">
        <f t="shared" si="278"/>
        <v>235</v>
      </c>
      <c r="Q900" s="436">
        <f t="shared" si="279"/>
        <v>216</v>
      </c>
      <c r="R900" s="227">
        <f t="shared" si="280"/>
        <v>204</v>
      </c>
      <c r="S900" s="435">
        <f t="shared" si="281"/>
        <v>249</v>
      </c>
      <c r="T900" s="435">
        <f t="shared" si="282"/>
        <v>254</v>
      </c>
      <c r="U900" s="436">
        <f t="shared" si="283"/>
        <v>232</v>
      </c>
      <c r="V900" s="227">
        <f t="shared" si="284"/>
        <v>197</v>
      </c>
      <c r="W900" s="435">
        <f t="shared" si="285"/>
        <v>244</v>
      </c>
      <c r="X900" s="435">
        <f t="shared" si="286"/>
        <v>240</v>
      </c>
      <c r="Y900" s="436">
        <f t="shared" si="287"/>
        <v>224</v>
      </c>
      <c r="Z900" s="227">
        <f t="shared" si="288"/>
        <v>201</v>
      </c>
      <c r="AA900" s="435">
        <f t="shared" si="289"/>
        <v>249</v>
      </c>
      <c r="AB900" s="435">
        <f t="shared" si="290"/>
        <v>245</v>
      </c>
      <c r="AC900" s="436">
        <f t="shared" si="291"/>
        <v>228</v>
      </c>
      <c r="AD900" s="165"/>
      <c r="AE900" s="165"/>
      <c r="AF900" s="165"/>
      <c r="AG900" s="165"/>
      <c r="AH900" s="165"/>
      <c r="AI900" s="29"/>
      <c r="AJ900" s="165"/>
      <c r="AK900" s="165"/>
      <c r="AL900" s="165"/>
      <c r="AM900" s="165"/>
      <c r="AN900" s="165"/>
      <c r="AO900" s="29"/>
    </row>
    <row r="901" spans="1:41">
      <c r="A901" s="257">
        <v>6</v>
      </c>
      <c r="B901" s="227">
        <f t="shared" ref="B901:E903" si="292">K182</f>
        <v>223</v>
      </c>
      <c r="C901" s="435">
        <f t="shared" si="292"/>
        <v>267</v>
      </c>
      <c r="D901" s="435">
        <f t="shared" si="292"/>
        <v>264</v>
      </c>
      <c r="E901" s="436">
        <f t="shared" si="292"/>
        <v>303</v>
      </c>
      <c r="F901" s="227">
        <f t="shared" ref="F901:I903" si="293">K160</f>
        <v>202</v>
      </c>
      <c r="G901" s="435">
        <f t="shared" si="293"/>
        <v>253</v>
      </c>
      <c r="H901" s="435">
        <f t="shared" si="293"/>
        <v>257</v>
      </c>
      <c r="I901" s="436">
        <f t="shared" si="293"/>
        <v>257</v>
      </c>
      <c r="J901" s="227">
        <f t="shared" ref="J901:M903" si="294">K138</f>
        <v>208</v>
      </c>
      <c r="K901" s="435">
        <f t="shared" si="294"/>
        <v>263</v>
      </c>
      <c r="L901" s="435">
        <f t="shared" si="294"/>
        <v>212</v>
      </c>
      <c r="M901" s="436">
        <f t="shared" si="294"/>
        <v>275</v>
      </c>
      <c r="N901" s="227">
        <f t="shared" ref="N901:Q903" si="295">K116</f>
        <v>211</v>
      </c>
      <c r="O901" s="435">
        <f t="shared" si="295"/>
        <v>254</v>
      </c>
      <c r="P901" s="435">
        <f t="shared" si="295"/>
        <v>254</v>
      </c>
      <c r="Q901" s="436">
        <f t="shared" si="295"/>
        <v>294</v>
      </c>
      <c r="R901" s="227">
        <f t="shared" ref="R901:U903" si="296">K94</f>
        <v>195</v>
      </c>
      <c r="S901" s="435">
        <f t="shared" si="296"/>
        <v>237</v>
      </c>
      <c r="T901" s="435">
        <f t="shared" si="296"/>
        <v>231</v>
      </c>
      <c r="U901" s="436">
        <f t="shared" si="296"/>
        <v>250</v>
      </c>
      <c r="V901" s="227">
        <f t="shared" ref="V901:Y903" si="297">K72</f>
        <v>189</v>
      </c>
      <c r="W901" s="435">
        <f t="shared" si="297"/>
        <v>229</v>
      </c>
      <c r="X901" s="435">
        <f t="shared" si="297"/>
        <v>266</v>
      </c>
      <c r="Y901" s="436">
        <f t="shared" si="297"/>
        <v>291</v>
      </c>
      <c r="Z901" s="227">
        <f t="shared" ref="Z901:AC903" si="298">K20</f>
        <v>176</v>
      </c>
      <c r="AA901" s="435">
        <f t="shared" si="298"/>
        <v>246</v>
      </c>
      <c r="AB901" s="435">
        <f t="shared" si="298"/>
        <v>232</v>
      </c>
      <c r="AC901" s="436">
        <f t="shared" si="298"/>
        <v>297</v>
      </c>
      <c r="AD901" s="165"/>
      <c r="AE901" s="165"/>
      <c r="AF901" s="165"/>
      <c r="AG901" s="165"/>
      <c r="AH901" s="165"/>
      <c r="AI901" s="29"/>
      <c r="AJ901" s="165"/>
      <c r="AK901" s="165"/>
      <c r="AL901" s="165"/>
      <c r="AM901" s="165"/>
      <c r="AN901" s="165"/>
      <c r="AO901" s="29"/>
    </row>
    <row r="902" spans="1:41">
      <c r="A902" s="257">
        <v>7</v>
      </c>
      <c r="B902" s="227">
        <f t="shared" si="292"/>
        <v>223</v>
      </c>
      <c r="C902" s="435">
        <f t="shared" si="292"/>
        <v>246</v>
      </c>
      <c r="D902" s="435">
        <f t="shared" si="292"/>
        <v>254</v>
      </c>
      <c r="E902" s="436">
        <f t="shared" si="292"/>
        <v>256</v>
      </c>
      <c r="F902" s="227">
        <f t="shared" si="293"/>
        <v>219</v>
      </c>
      <c r="G902" s="435">
        <f t="shared" si="293"/>
        <v>260</v>
      </c>
      <c r="H902" s="435">
        <f t="shared" si="293"/>
        <v>273</v>
      </c>
      <c r="I902" s="436">
        <f t="shared" si="293"/>
        <v>299</v>
      </c>
      <c r="J902" s="227">
        <f t="shared" si="294"/>
        <v>209</v>
      </c>
      <c r="K902" s="435">
        <f t="shared" si="294"/>
        <v>263</v>
      </c>
      <c r="L902" s="435">
        <f t="shared" si="294"/>
        <v>249</v>
      </c>
      <c r="M902" s="436">
        <f t="shared" si="294"/>
        <v>252</v>
      </c>
      <c r="N902" s="227">
        <f t="shared" si="295"/>
        <v>201</v>
      </c>
      <c r="O902" s="435">
        <f t="shared" si="295"/>
        <v>268</v>
      </c>
      <c r="P902" s="435">
        <f t="shared" si="295"/>
        <v>214</v>
      </c>
      <c r="Q902" s="436">
        <f t="shared" si="295"/>
        <v>290</v>
      </c>
      <c r="R902" s="227">
        <f t="shared" si="296"/>
        <v>205</v>
      </c>
      <c r="S902" s="435">
        <f t="shared" si="296"/>
        <v>259</v>
      </c>
      <c r="T902" s="435">
        <f t="shared" si="296"/>
        <v>258</v>
      </c>
      <c r="U902" s="436">
        <f t="shared" si="296"/>
        <v>289</v>
      </c>
      <c r="V902" s="227">
        <f t="shared" si="297"/>
        <v>187</v>
      </c>
      <c r="W902" s="435">
        <f t="shared" si="297"/>
        <v>236</v>
      </c>
      <c r="X902" s="435">
        <f t="shared" si="297"/>
        <v>241</v>
      </c>
      <c r="Y902" s="436">
        <f t="shared" si="297"/>
        <v>266</v>
      </c>
      <c r="Z902" s="227">
        <f t="shared" si="298"/>
        <v>193</v>
      </c>
      <c r="AA902" s="435">
        <f t="shared" si="298"/>
        <v>236</v>
      </c>
      <c r="AB902" s="435">
        <f t="shared" si="298"/>
        <v>269</v>
      </c>
      <c r="AC902" s="436">
        <f t="shared" si="298"/>
        <v>296</v>
      </c>
      <c r="AD902" s="165"/>
      <c r="AE902" s="165"/>
      <c r="AF902" s="165"/>
      <c r="AG902" s="165"/>
      <c r="AH902" s="165"/>
      <c r="AI902" s="29"/>
      <c r="AJ902" s="165"/>
      <c r="AK902" s="165"/>
      <c r="AL902" s="165"/>
      <c r="AM902" s="165"/>
      <c r="AN902" s="165"/>
      <c r="AO902" s="29"/>
    </row>
    <row r="903" spans="1:41">
      <c r="A903" s="257">
        <v>8</v>
      </c>
      <c r="B903" s="227">
        <f t="shared" si="292"/>
        <v>220</v>
      </c>
      <c r="C903" s="435">
        <f t="shared" si="292"/>
        <v>294</v>
      </c>
      <c r="D903" s="435">
        <f t="shared" si="292"/>
        <v>265</v>
      </c>
      <c r="E903" s="436">
        <f t="shared" si="292"/>
        <v>259</v>
      </c>
      <c r="F903" s="227">
        <f t="shared" si="293"/>
        <v>214</v>
      </c>
      <c r="G903" s="435">
        <f t="shared" si="293"/>
        <v>251</v>
      </c>
      <c r="H903" s="435">
        <f t="shared" si="293"/>
        <v>262</v>
      </c>
      <c r="I903" s="436">
        <f t="shared" si="293"/>
        <v>259</v>
      </c>
      <c r="J903" s="227">
        <f t="shared" si="294"/>
        <v>231</v>
      </c>
      <c r="K903" s="435">
        <f t="shared" si="294"/>
        <v>264</v>
      </c>
      <c r="L903" s="435">
        <f t="shared" si="294"/>
        <v>268</v>
      </c>
      <c r="M903" s="436">
        <f t="shared" si="294"/>
        <v>289</v>
      </c>
      <c r="N903" s="227">
        <f t="shared" si="295"/>
        <v>209</v>
      </c>
      <c r="O903" s="435">
        <f t="shared" si="295"/>
        <v>264</v>
      </c>
      <c r="P903" s="435">
        <f t="shared" si="295"/>
        <v>253</v>
      </c>
      <c r="Q903" s="436">
        <f t="shared" si="295"/>
        <v>261</v>
      </c>
      <c r="R903" s="227">
        <f t="shared" si="296"/>
        <v>201</v>
      </c>
      <c r="S903" s="435">
        <f t="shared" si="296"/>
        <v>257</v>
      </c>
      <c r="T903" s="435">
        <f t="shared" si="296"/>
        <v>209</v>
      </c>
      <c r="U903" s="436">
        <f t="shared" si="296"/>
        <v>285</v>
      </c>
      <c r="V903" s="227">
        <f t="shared" si="297"/>
        <v>199</v>
      </c>
      <c r="W903" s="435">
        <f t="shared" si="297"/>
        <v>257</v>
      </c>
      <c r="X903" s="435">
        <f t="shared" si="297"/>
        <v>258</v>
      </c>
      <c r="Y903" s="436">
        <f t="shared" si="297"/>
        <v>292</v>
      </c>
      <c r="Z903" s="227">
        <f t="shared" si="298"/>
        <v>189</v>
      </c>
      <c r="AA903" s="435">
        <f t="shared" si="298"/>
        <v>238</v>
      </c>
      <c r="AB903" s="435">
        <f t="shared" si="298"/>
        <v>247</v>
      </c>
      <c r="AC903" s="436">
        <f t="shared" si="298"/>
        <v>272</v>
      </c>
      <c r="AD903" s="165"/>
      <c r="AE903" s="165"/>
      <c r="AF903" s="165"/>
      <c r="AG903" s="165"/>
      <c r="AH903" s="165"/>
      <c r="AI903" s="29"/>
      <c r="AJ903" s="165"/>
      <c r="AK903" s="165"/>
      <c r="AL903" s="165"/>
      <c r="AM903" s="165"/>
      <c r="AN903" s="165"/>
      <c r="AO903" s="29"/>
    </row>
    <row r="906" spans="1:41">
      <c r="A906" s="803" t="s">
        <v>100</v>
      </c>
      <c r="B906" s="803"/>
      <c r="C906" s="803"/>
      <c r="D906" s="803"/>
      <c r="E906" s="803"/>
      <c r="F906" s="803"/>
      <c r="G906" s="803"/>
      <c r="H906" s="803"/>
      <c r="I906" s="803"/>
      <c r="J906" s="803"/>
      <c r="K906" s="803"/>
      <c r="L906" s="803"/>
      <c r="M906" s="803"/>
      <c r="N906" s="803"/>
      <c r="O906" s="803"/>
      <c r="P906" s="803"/>
    </row>
    <row r="908" spans="1:41">
      <c r="A908" s="182" t="s">
        <v>66</v>
      </c>
      <c r="B908" s="810" t="s">
        <v>363</v>
      </c>
      <c r="C908" s="801"/>
      <c r="D908" s="802"/>
      <c r="E908" s="800" t="s">
        <v>36</v>
      </c>
      <c r="F908" s="801"/>
      <c r="G908" s="802"/>
      <c r="H908" s="800" t="s">
        <v>86</v>
      </c>
      <c r="I908" s="801"/>
      <c r="J908" s="802"/>
      <c r="K908" s="800" t="s">
        <v>99</v>
      </c>
      <c r="L908" s="801"/>
      <c r="M908" s="811"/>
      <c r="N908" s="787" t="s">
        <v>52</v>
      </c>
      <c r="O908" s="788"/>
      <c r="P908" s="789"/>
    </row>
    <row r="909" spans="1:41" ht="13.8" thickBot="1">
      <c r="A909" s="186"/>
      <c r="B909" s="437" t="s">
        <v>83</v>
      </c>
      <c r="C909" s="229" t="s">
        <v>87</v>
      </c>
      <c r="D909" s="230" t="s">
        <v>71</v>
      </c>
      <c r="E909" s="229" t="s">
        <v>83</v>
      </c>
      <c r="F909" s="229" t="s">
        <v>87</v>
      </c>
      <c r="G909" s="230" t="s">
        <v>71</v>
      </c>
      <c r="H909" s="231" t="s">
        <v>83</v>
      </c>
      <c r="I909" s="229" t="s">
        <v>87</v>
      </c>
      <c r="J909" s="230" t="s">
        <v>71</v>
      </c>
      <c r="K909" s="229" t="s">
        <v>83</v>
      </c>
      <c r="L909" s="229" t="s">
        <v>87</v>
      </c>
      <c r="M909" s="229" t="s">
        <v>79</v>
      </c>
      <c r="N909" s="446" t="s">
        <v>83</v>
      </c>
      <c r="O909" s="379" t="s">
        <v>87</v>
      </c>
      <c r="P909" s="371" t="s">
        <v>71</v>
      </c>
    </row>
    <row r="910" spans="1:41" ht="13.8" thickTop="1">
      <c r="A910" s="232"/>
      <c r="D910" s="233"/>
      <c r="G910" s="233"/>
      <c r="J910" s="233"/>
      <c r="M910" s="252"/>
      <c r="N910" s="194"/>
      <c r="O910" s="29"/>
      <c r="P910" s="233"/>
    </row>
    <row r="911" spans="1:41">
      <c r="A911" s="232" t="str">
        <f>$A$397</f>
        <v>2012-13</v>
      </c>
      <c r="B911" s="61">
        <f>B886</f>
        <v>198</v>
      </c>
      <c r="D911" s="233"/>
      <c r="E911" s="61">
        <f>C886</f>
        <v>242</v>
      </c>
      <c r="G911" s="233"/>
      <c r="H911" s="61">
        <f>D886</f>
        <v>246</v>
      </c>
      <c r="J911" s="233"/>
      <c r="K911" s="61">
        <f>E886</f>
        <v>226</v>
      </c>
      <c r="M911" s="252"/>
      <c r="N911" s="194">
        <f t="shared" ref="N911:N917" si="299">B911+E911+H911+K911</f>
        <v>912</v>
      </c>
      <c r="O911" s="29"/>
      <c r="P911" s="233"/>
    </row>
    <row r="912" spans="1:41">
      <c r="A912" s="232" t="str">
        <f>$A$398</f>
        <v>2013-14</v>
      </c>
      <c r="B912" s="61">
        <f>F886</f>
        <v>202</v>
      </c>
      <c r="C912" s="61">
        <f>F887</f>
        <v>221</v>
      </c>
      <c r="D912" s="233">
        <f t="shared" ref="D912:D918" si="300">(C912/B911)</f>
        <v>1.1161616161616161</v>
      </c>
      <c r="E912" s="61">
        <f>G886</f>
        <v>246</v>
      </c>
      <c r="F912" s="61">
        <f>G887</f>
        <v>242</v>
      </c>
      <c r="G912" s="233">
        <f t="shared" ref="G912:G918" si="301">(F912/E911)</f>
        <v>1</v>
      </c>
      <c r="H912" s="61">
        <f>H886</f>
        <v>251</v>
      </c>
      <c r="I912" s="61">
        <f>H887</f>
        <v>250</v>
      </c>
      <c r="J912" s="233">
        <f t="shared" ref="J912:J918" si="302">(I912/H911)</f>
        <v>1.0162601626016261</v>
      </c>
      <c r="K912" s="61">
        <f>I886</f>
        <v>230</v>
      </c>
      <c r="L912" s="61">
        <f>I887</f>
        <v>227</v>
      </c>
      <c r="M912" s="252">
        <f t="shared" ref="M912:M918" si="303">(L912/K911)</f>
        <v>1.0044247787610618</v>
      </c>
      <c r="N912" s="194">
        <f t="shared" si="299"/>
        <v>929</v>
      </c>
      <c r="O912" s="29">
        <f t="shared" ref="O912:O922" si="304">C912+F912+I912+L912</f>
        <v>940</v>
      </c>
      <c r="P912" s="233">
        <f t="shared" ref="P912:P918" si="305">(O912/N911)</f>
        <v>1.0307017543859649</v>
      </c>
    </row>
    <row r="913" spans="1:16">
      <c r="A913" s="232" t="str">
        <f>$A$399</f>
        <v>2014-15</v>
      </c>
      <c r="B913" s="61">
        <f>J886</f>
        <v>209</v>
      </c>
      <c r="C913" s="61">
        <f>J887</f>
        <v>214</v>
      </c>
      <c r="D913" s="233">
        <f t="shared" si="300"/>
        <v>1.0594059405940595</v>
      </c>
      <c r="E913" s="61">
        <f>K886</f>
        <v>255</v>
      </c>
      <c r="F913" s="61">
        <f>K887</f>
        <v>264</v>
      </c>
      <c r="G913" s="233">
        <f t="shared" si="301"/>
        <v>1.0731707317073171</v>
      </c>
      <c r="H913" s="61">
        <f>L886</f>
        <v>259</v>
      </c>
      <c r="I913" s="61">
        <f>L887</f>
        <v>243</v>
      </c>
      <c r="J913" s="233">
        <f t="shared" si="302"/>
        <v>0.96812749003984067</v>
      </c>
      <c r="K913" s="61">
        <f>M886</f>
        <v>238</v>
      </c>
      <c r="L913" s="61">
        <f>M887</f>
        <v>232</v>
      </c>
      <c r="M913" s="252">
        <f t="shared" si="303"/>
        <v>1.008695652173913</v>
      </c>
      <c r="N913" s="194">
        <f t="shared" si="299"/>
        <v>961</v>
      </c>
      <c r="O913" s="29">
        <f t="shared" si="304"/>
        <v>953</v>
      </c>
      <c r="P913" s="233">
        <f t="shared" si="305"/>
        <v>1.0258342303552206</v>
      </c>
    </row>
    <row r="914" spans="1:16">
      <c r="A914" s="232" t="str">
        <f>$A$400</f>
        <v>2015-16</v>
      </c>
      <c r="B914" s="61">
        <f>N886</f>
        <v>202</v>
      </c>
      <c r="C914" s="61">
        <f>N887</f>
        <v>194</v>
      </c>
      <c r="D914" s="233">
        <f t="shared" si="300"/>
        <v>0.92822966507177029</v>
      </c>
      <c r="E914" s="61">
        <f>O886</f>
        <v>246</v>
      </c>
      <c r="F914" s="61">
        <f>O887</f>
        <v>279</v>
      </c>
      <c r="G914" s="233">
        <f t="shared" si="301"/>
        <v>1.0941176470588236</v>
      </c>
      <c r="H914" s="61">
        <f>P886</f>
        <v>250</v>
      </c>
      <c r="I914" s="61">
        <f>P887</f>
        <v>268</v>
      </c>
      <c r="J914" s="233">
        <f t="shared" si="302"/>
        <v>1.0347490347490347</v>
      </c>
      <c r="K914" s="61">
        <f>Q886</f>
        <v>229</v>
      </c>
      <c r="L914" s="61">
        <f>Q887</f>
        <v>256</v>
      </c>
      <c r="M914" s="252">
        <f t="shared" si="303"/>
        <v>1.0756302521008403</v>
      </c>
      <c r="N914" s="194">
        <f t="shared" si="299"/>
        <v>927</v>
      </c>
      <c r="O914" s="29">
        <f t="shared" si="304"/>
        <v>997</v>
      </c>
      <c r="P914" s="233">
        <f t="shared" si="305"/>
        <v>1.0374609781477628</v>
      </c>
    </row>
    <row r="915" spans="1:16">
      <c r="A915" s="232" t="str">
        <f>$A$401</f>
        <v>2016-17</v>
      </c>
      <c r="B915" s="61">
        <f>R886</f>
        <v>209</v>
      </c>
      <c r="C915" s="61">
        <f>R887</f>
        <v>235</v>
      </c>
      <c r="D915" s="233">
        <f t="shared" si="300"/>
        <v>1.1633663366336633</v>
      </c>
      <c r="E915" s="61">
        <f>S886</f>
        <v>255</v>
      </c>
      <c r="F915" s="61">
        <f>S887</f>
        <v>234</v>
      </c>
      <c r="G915" s="233">
        <f t="shared" si="301"/>
        <v>0.95121951219512191</v>
      </c>
      <c r="H915" s="61">
        <f>T886</f>
        <v>260</v>
      </c>
      <c r="I915" s="61">
        <f>T887</f>
        <v>262</v>
      </c>
      <c r="J915" s="233">
        <f t="shared" si="302"/>
        <v>1.048</v>
      </c>
      <c r="K915" s="61">
        <f>U886</f>
        <v>238</v>
      </c>
      <c r="L915" s="61">
        <f>U887</f>
        <v>252</v>
      </c>
      <c r="M915" s="252">
        <f t="shared" si="303"/>
        <v>1.1004366812227073</v>
      </c>
      <c r="N915" s="194">
        <f t="shared" si="299"/>
        <v>962</v>
      </c>
      <c r="O915" s="29">
        <f t="shared" si="304"/>
        <v>983</v>
      </c>
      <c r="P915" s="233">
        <f t="shared" si="305"/>
        <v>1.0604099244875944</v>
      </c>
    </row>
    <row r="916" spans="1:16">
      <c r="A916" s="232" t="str">
        <f>$A$402</f>
        <v>2017-18</v>
      </c>
      <c r="B916" s="61">
        <f>V886</f>
        <v>197</v>
      </c>
      <c r="C916" s="61">
        <f>V887</f>
        <v>224</v>
      </c>
      <c r="D916" s="233">
        <f t="shared" si="300"/>
        <v>1.0717703349282297</v>
      </c>
      <c r="E916" s="61">
        <f>W886</f>
        <v>240</v>
      </c>
      <c r="F916" s="61">
        <f>W887</f>
        <v>284</v>
      </c>
      <c r="G916" s="233">
        <f t="shared" si="301"/>
        <v>1.1137254901960785</v>
      </c>
      <c r="H916" s="61">
        <f>X886</f>
        <v>244</v>
      </c>
      <c r="I916" s="61">
        <f>X887</f>
        <v>260</v>
      </c>
      <c r="J916" s="233">
        <f t="shared" si="302"/>
        <v>1</v>
      </c>
      <c r="K916" s="61">
        <f>Y886</f>
        <v>224</v>
      </c>
      <c r="L916" s="61">
        <f>Y887</f>
        <v>253</v>
      </c>
      <c r="M916" s="252">
        <f t="shared" si="303"/>
        <v>1.0630252100840336</v>
      </c>
      <c r="N916" s="194">
        <f t="shared" si="299"/>
        <v>905</v>
      </c>
      <c r="O916" s="29">
        <f t="shared" si="304"/>
        <v>1021</v>
      </c>
      <c r="P916" s="233">
        <f t="shared" si="305"/>
        <v>1.0613305613305613</v>
      </c>
    </row>
    <row r="917" spans="1:16">
      <c r="A917" s="232" t="str">
        <f>$A$403</f>
        <v>2018-19</v>
      </c>
      <c r="B917" s="61">
        <f>Z886</f>
        <v>221</v>
      </c>
      <c r="C917" s="61">
        <f>Z887</f>
        <v>217</v>
      </c>
      <c r="D917" s="233">
        <f t="shared" si="300"/>
        <v>1.101522842639594</v>
      </c>
      <c r="E917" s="61">
        <f>AA886</f>
        <v>270</v>
      </c>
      <c r="F917" s="61">
        <f>AA887</f>
        <v>234</v>
      </c>
      <c r="G917" s="233">
        <f t="shared" si="301"/>
        <v>0.97499999999999998</v>
      </c>
      <c r="H917" s="61">
        <f>AB886</f>
        <v>275</v>
      </c>
      <c r="I917" s="61">
        <f>AB887</f>
        <v>240</v>
      </c>
      <c r="J917" s="233">
        <f t="shared" si="302"/>
        <v>0.98360655737704916</v>
      </c>
      <c r="K917" s="61">
        <f>AC886</f>
        <v>252</v>
      </c>
      <c r="L917" s="61">
        <f>AC887</f>
        <v>253</v>
      </c>
      <c r="M917" s="252">
        <f t="shared" si="303"/>
        <v>1.1294642857142858</v>
      </c>
      <c r="N917" s="194">
        <f t="shared" si="299"/>
        <v>1018</v>
      </c>
      <c r="O917" s="29">
        <f t="shared" si="304"/>
        <v>944</v>
      </c>
      <c r="P917" s="233">
        <f t="shared" si="305"/>
        <v>1.0430939226519338</v>
      </c>
    </row>
    <row r="918" spans="1:16">
      <c r="A918" s="232" t="str">
        <f>$A$404</f>
        <v>2019-20</v>
      </c>
      <c r="B918" s="61">
        <f>B900</f>
        <v>209</v>
      </c>
      <c r="C918" s="61">
        <f>B901</f>
        <v>223</v>
      </c>
      <c r="D918" s="233">
        <f t="shared" si="300"/>
        <v>1.0090497737556561</v>
      </c>
      <c r="E918" s="61">
        <f>C900</f>
        <v>254</v>
      </c>
      <c r="F918" s="61">
        <f>C901</f>
        <v>267</v>
      </c>
      <c r="G918" s="233">
        <f t="shared" si="301"/>
        <v>0.98888888888888893</v>
      </c>
      <c r="H918" s="61">
        <f>D900</f>
        <v>259</v>
      </c>
      <c r="I918" s="61">
        <f>D901</f>
        <v>264</v>
      </c>
      <c r="J918" s="233">
        <f t="shared" si="302"/>
        <v>0.96</v>
      </c>
      <c r="K918" s="61">
        <f>E900</f>
        <v>238</v>
      </c>
      <c r="L918" s="61">
        <f>E901</f>
        <v>303</v>
      </c>
      <c r="M918" s="252">
        <f t="shared" si="303"/>
        <v>1.2023809523809523</v>
      </c>
      <c r="N918" s="194">
        <f>B918+E918+H918+K918</f>
        <v>960</v>
      </c>
      <c r="O918" s="29">
        <f t="shared" si="304"/>
        <v>1057</v>
      </c>
      <c r="P918" s="233">
        <f t="shared" si="305"/>
        <v>1.038310412573674</v>
      </c>
    </row>
    <row r="919" spans="1:16">
      <c r="A919" s="232" t="str">
        <f>$A$405</f>
        <v>2020-21</v>
      </c>
      <c r="B919" s="61">
        <f>F900</f>
        <v>199</v>
      </c>
      <c r="C919" s="61">
        <f>F901</f>
        <v>202</v>
      </c>
      <c r="D919" s="233">
        <f t="shared" ref="D919:D924" si="306">(C919/B918)</f>
        <v>0.96650717703349287</v>
      </c>
      <c r="E919" s="61">
        <f>G900</f>
        <v>242</v>
      </c>
      <c r="F919" s="61">
        <f>G901</f>
        <v>253</v>
      </c>
      <c r="G919" s="233">
        <f t="shared" ref="G919:G924" si="307">(F919/E918)</f>
        <v>0.99606299212598426</v>
      </c>
      <c r="H919" s="61">
        <f>H900</f>
        <v>247</v>
      </c>
      <c r="I919" s="61">
        <f>H901</f>
        <v>257</v>
      </c>
      <c r="J919" s="233">
        <f t="shared" ref="J919:J924" si="308">(I919/H918)</f>
        <v>0.99227799227799229</v>
      </c>
      <c r="K919" s="61">
        <f>I900</f>
        <v>226</v>
      </c>
      <c r="L919" s="61">
        <f>I901</f>
        <v>257</v>
      </c>
      <c r="M919" s="252">
        <f t="shared" ref="M919:M924" si="309">(L919/K918)</f>
        <v>1.0798319327731092</v>
      </c>
      <c r="N919" s="194">
        <f t="shared" ref="N919:N924" si="310">B919+E919+H919+K919</f>
        <v>914</v>
      </c>
      <c r="O919" s="29">
        <f t="shared" si="304"/>
        <v>969</v>
      </c>
      <c r="P919" s="233">
        <f t="shared" ref="P919:P924" si="311">(O919/N918)</f>
        <v>1.0093749999999999</v>
      </c>
    </row>
    <row r="920" spans="1:16">
      <c r="A920" s="232" t="str">
        <f>$A$406</f>
        <v>2021-22</v>
      </c>
      <c r="B920" s="61">
        <f>J900</f>
        <v>209</v>
      </c>
      <c r="C920" s="61">
        <f>J901</f>
        <v>208</v>
      </c>
      <c r="D920" s="233">
        <f t="shared" si="306"/>
        <v>1.0452261306532664</v>
      </c>
      <c r="E920" s="61">
        <f>K900</f>
        <v>255</v>
      </c>
      <c r="F920" s="61">
        <f>K901</f>
        <v>263</v>
      </c>
      <c r="G920" s="233">
        <f t="shared" si="307"/>
        <v>1.0867768595041323</v>
      </c>
      <c r="H920" s="61">
        <f>L900</f>
        <v>260</v>
      </c>
      <c r="I920" s="61">
        <f>L901</f>
        <v>212</v>
      </c>
      <c r="J920" s="233">
        <f t="shared" si="308"/>
        <v>0.8582995951417004</v>
      </c>
      <c r="K920" s="61">
        <f>M900</f>
        <v>238</v>
      </c>
      <c r="L920" s="61">
        <f>M901</f>
        <v>275</v>
      </c>
      <c r="M920" s="252">
        <f t="shared" si="309"/>
        <v>1.2168141592920354</v>
      </c>
      <c r="N920" s="194">
        <f t="shared" si="310"/>
        <v>962</v>
      </c>
      <c r="O920" s="29">
        <f t="shared" si="304"/>
        <v>958</v>
      </c>
      <c r="P920" s="233">
        <f t="shared" si="311"/>
        <v>1.0481400437636761</v>
      </c>
    </row>
    <row r="921" spans="1:16">
      <c r="A921" s="232" t="str">
        <f>$A$407</f>
        <v>2022-23</v>
      </c>
      <c r="B921" s="194">
        <f>N900</f>
        <v>190</v>
      </c>
      <c r="C921" s="61">
        <f>N901</f>
        <v>211</v>
      </c>
      <c r="D921" s="233">
        <f t="shared" si="306"/>
        <v>1.0095693779904307</v>
      </c>
      <c r="E921" s="194">
        <f>O900</f>
        <v>231</v>
      </c>
      <c r="F921" s="61">
        <f>O901</f>
        <v>254</v>
      </c>
      <c r="G921" s="233">
        <f t="shared" si="307"/>
        <v>0.99607843137254903</v>
      </c>
      <c r="H921" s="61">
        <f>P900</f>
        <v>235</v>
      </c>
      <c r="I921" s="61">
        <f>P901</f>
        <v>254</v>
      </c>
      <c r="J921" s="233">
        <f t="shared" si="308"/>
        <v>0.97692307692307689</v>
      </c>
      <c r="K921" s="61">
        <f>Q900</f>
        <v>216</v>
      </c>
      <c r="L921" s="61">
        <f>Q901</f>
        <v>294</v>
      </c>
      <c r="M921" s="252">
        <f t="shared" si="309"/>
        <v>1.2352941176470589</v>
      </c>
      <c r="N921" s="194">
        <f t="shared" si="310"/>
        <v>872</v>
      </c>
      <c r="O921" s="29">
        <f t="shared" si="304"/>
        <v>1013</v>
      </c>
      <c r="P921" s="233">
        <f t="shared" si="311"/>
        <v>1.0530145530145529</v>
      </c>
    </row>
    <row r="922" spans="1:16">
      <c r="A922" s="232" t="str">
        <f>$A$408</f>
        <v>2023-24</v>
      </c>
      <c r="B922" s="29">
        <f>R900</f>
        <v>204</v>
      </c>
      <c r="C922" s="61">
        <f>R901</f>
        <v>195</v>
      </c>
      <c r="D922" s="233">
        <f t="shared" si="306"/>
        <v>1.0263157894736843</v>
      </c>
      <c r="E922" s="29">
        <f>S900</f>
        <v>249</v>
      </c>
      <c r="F922" s="61">
        <f>S901</f>
        <v>237</v>
      </c>
      <c r="G922" s="233">
        <f t="shared" si="307"/>
        <v>1.025974025974026</v>
      </c>
      <c r="H922" s="61">
        <f>T900</f>
        <v>254</v>
      </c>
      <c r="I922" s="61">
        <f>T901</f>
        <v>231</v>
      </c>
      <c r="J922" s="233">
        <f t="shared" si="308"/>
        <v>0.98297872340425529</v>
      </c>
      <c r="K922" s="61">
        <f>U900</f>
        <v>232</v>
      </c>
      <c r="L922" s="61">
        <f>U901</f>
        <v>250</v>
      </c>
      <c r="M922" s="252">
        <f t="shared" si="309"/>
        <v>1.1574074074074074</v>
      </c>
      <c r="N922" s="194">
        <f t="shared" si="310"/>
        <v>939</v>
      </c>
      <c r="O922" s="29">
        <f t="shared" si="304"/>
        <v>913</v>
      </c>
      <c r="P922" s="233">
        <f t="shared" si="311"/>
        <v>1.0470183486238531</v>
      </c>
    </row>
    <row r="923" spans="1:16">
      <c r="A923" s="232" t="str">
        <f>$A$409</f>
        <v>2024-25</v>
      </c>
      <c r="B923" s="29">
        <f>V900</f>
        <v>197</v>
      </c>
      <c r="C923" s="61">
        <f>V901</f>
        <v>189</v>
      </c>
      <c r="D923" s="233">
        <f t="shared" si="306"/>
        <v>0.92647058823529416</v>
      </c>
      <c r="E923" s="29">
        <f>W900</f>
        <v>244</v>
      </c>
      <c r="F923" s="61">
        <f>W901</f>
        <v>229</v>
      </c>
      <c r="G923" s="233">
        <f t="shared" si="307"/>
        <v>0.91967871485943775</v>
      </c>
      <c r="H923" s="61">
        <f>X900</f>
        <v>240</v>
      </c>
      <c r="I923" s="61">
        <f>X901</f>
        <v>266</v>
      </c>
      <c r="J923" s="233">
        <f t="shared" si="308"/>
        <v>1.0472440944881889</v>
      </c>
      <c r="K923" s="61">
        <f>Y900</f>
        <v>224</v>
      </c>
      <c r="L923" s="61">
        <f>Y901</f>
        <v>291</v>
      </c>
      <c r="M923" s="252">
        <f t="shared" si="309"/>
        <v>1.2543103448275863</v>
      </c>
      <c r="N923" s="194">
        <f t="shared" si="310"/>
        <v>905</v>
      </c>
      <c r="O923" s="29">
        <f>C923+F923+I923+L923</f>
        <v>975</v>
      </c>
      <c r="P923" s="233">
        <f t="shared" si="311"/>
        <v>1.0383386581469649</v>
      </c>
    </row>
    <row r="924" spans="1:16" ht="13.8" thickBot="1">
      <c r="A924" s="234" t="str">
        <f>$A$410</f>
        <v>2025-26</v>
      </c>
      <c r="B924" s="136">
        <f>Z900</f>
        <v>201</v>
      </c>
      <c r="C924" s="136">
        <f>Z901</f>
        <v>176</v>
      </c>
      <c r="D924" s="235">
        <f t="shared" si="306"/>
        <v>0.89340101522842641</v>
      </c>
      <c r="E924" s="136">
        <f>AA900</f>
        <v>249</v>
      </c>
      <c r="F924" s="136">
        <f>AA901</f>
        <v>246</v>
      </c>
      <c r="G924" s="235">
        <f t="shared" si="307"/>
        <v>1.0081967213114753</v>
      </c>
      <c r="H924" s="136">
        <f>AB900</f>
        <v>245</v>
      </c>
      <c r="I924" s="136">
        <f>AB901</f>
        <v>232</v>
      </c>
      <c r="J924" s="235">
        <f t="shared" si="308"/>
        <v>0.96666666666666667</v>
      </c>
      <c r="K924" s="136">
        <f>AC900</f>
        <v>228</v>
      </c>
      <c r="L924" s="136">
        <f>AC901</f>
        <v>297</v>
      </c>
      <c r="M924" s="326">
        <f t="shared" si="309"/>
        <v>1.3258928571428572</v>
      </c>
      <c r="N924" s="159">
        <f t="shared" si="310"/>
        <v>923</v>
      </c>
      <c r="O924" s="136">
        <f>C924+F924+I924+L924</f>
        <v>951</v>
      </c>
      <c r="P924" s="235">
        <f t="shared" si="311"/>
        <v>1.050828729281768</v>
      </c>
    </row>
    <row r="925" spans="1:16" ht="13.8" thickTop="1">
      <c r="A925" s="232"/>
      <c r="D925" s="226"/>
      <c r="G925" s="226"/>
      <c r="J925" s="226"/>
      <c r="M925" s="29"/>
      <c r="N925" s="194"/>
      <c r="O925" s="29"/>
      <c r="P925" s="226"/>
    </row>
    <row r="926" spans="1:16">
      <c r="A926" s="236" t="s">
        <v>72</v>
      </c>
      <c r="B926" s="61">
        <f>SUM(B921:B923)</f>
        <v>591</v>
      </c>
      <c r="C926" s="61">
        <f>SUM(C922:C924)</f>
        <v>560</v>
      </c>
      <c r="D926" s="237">
        <f>C926/B926</f>
        <v>0.94754653130287647</v>
      </c>
      <c r="E926" s="61">
        <f>SUM(E921:E923)</f>
        <v>724</v>
      </c>
      <c r="F926" s="61">
        <f>SUM(F922:F924)</f>
        <v>712</v>
      </c>
      <c r="G926" s="237">
        <f>F926/E926</f>
        <v>0.98342541436464093</v>
      </c>
      <c r="H926" s="61">
        <f>SUM(H921:H923)</f>
        <v>729</v>
      </c>
      <c r="I926" s="61">
        <f>SUM(I922:I924)</f>
        <v>729</v>
      </c>
      <c r="J926" s="237">
        <f>I926/H926</f>
        <v>1</v>
      </c>
      <c r="K926" s="61">
        <f>SUM(K921:K923)</f>
        <v>672</v>
      </c>
      <c r="L926" s="61">
        <f>SUM(L922:L924)</f>
        <v>838</v>
      </c>
      <c r="M926" s="444">
        <f>L926/K926</f>
        <v>1.2470238095238095</v>
      </c>
      <c r="N926" s="194">
        <f>SUM(N921:N923)</f>
        <v>2716</v>
      </c>
      <c r="O926" s="29">
        <f>SUM(O922:O924)</f>
        <v>2839</v>
      </c>
      <c r="P926" s="237">
        <f>O926/N926</f>
        <v>1.0452871870397644</v>
      </c>
    </row>
    <row r="927" spans="1:16">
      <c r="A927" s="236" t="s">
        <v>73</v>
      </c>
      <c r="B927" s="61">
        <f>SUM(B919:B923)</f>
        <v>999</v>
      </c>
      <c r="C927" s="61">
        <f>SUM(C920:C924)</f>
        <v>979</v>
      </c>
      <c r="D927" s="237">
        <f>C927/B927</f>
        <v>0.97997997997997999</v>
      </c>
      <c r="E927" s="61">
        <f>SUM(E919:E923)</f>
        <v>1221</v>
      </c>
      <c r="F927" s="61">
        <f>SUM(F920:F924)</f>
        <v>1229</v>
      </c>
      <c r="G927" s="237">
        <f>F927/E927</f>
        <v>1.0065520065520066</v>
      </c>
      <c r="H927" s="61">
        <f>SUM(H919:H923)</f>
        <v>1236</v>
      </c>
      <c r="I927" s="61">
        <f>SUM(I920:I924)</f>
        <v>1195</v>
      </c>
      <c r="J927" s="237">
        <f>I927/H927</f>
        <v>0.96682847896440127</v>
      </c>
      <c r="K927" s="61">
        <f>SUM(K919:K923)</f>
        <v>1136</v>
      </c>
      <c r="L927" s="61">
        <f>SUM(L920:L924)</f>
        <v>1407</v>
      </c>
      <c r="M927" s="444">
        <f>L927/K927</f>
        <v>1.238556338028169</v>
      </c>
      <c r="N927" s="194">
        <f>SUM(N919:N923)</f>
        <v>4592</v>
      </c>
      <c r="O927" s="29">
        <f>SUM(O920:O924)</f>
        <v>4810</v>
      </c>
      <c r="P927" s="237">
        <f>O927/N927</f>
        <v>1.0474738675958188</v>
      </c>
    </row>
    <row r="928" spans="1:16" ht="13.8" thickBot="1">
      <c r="A928" s="238" t="s">
        <v>74</v>
      </c>
      <c r="B928" s="136">
        <f>SUM(B913:B922)</f>
        <v>2049</v>
      </c>
      <c r="C928" s="136">
        <f>SUM(C915:C924)</f>
        <v>2080</v>
      </c>
      <c r="D928" s="239">
        <f>C928/B928</f>
        <v>1.0151293313811616</v>
      </c>
      <c r="E928" s="136">
        <f>SUM(E913:E922)</f>
        <v>2497</v>
      </c>
      <c r="F928" s="136">
        <f>SUM(F915:F924)</f>
        <v>2501</v>
      </c>
      <c r="G928" s="239">
        <f>F928/E928</f>
        <v>1.001601922306768</v>
      </c>
      <c r="H928" s="136">
        <f>SUM(H913:H922)</f>
        <v>2543</v>
      </c>
      <c r="I928" s="136">
        <f>SUM(I915:I924)</f>
        <v>2478</v>
      </c>
      <c r="J928" s="239">
        <f>I928/H928</f>
        <v>0.97443963822257174</v>
      </c>
      <c r="K928" s="136">
        <f>SUM(K913:K922)</f>
        <v>2331</v>
      </c>
      <c r="L928" s="136">
        <f>SUM(L915:L924)</f>
        <v>2725</v>
      </c>
      <c r="M928" s="445">
        <f>L928/K928</f>
        <v>1.169026169026169</v>
      </c>
      <c r="N928" s="159">
        <f>SUM(N913:N922)</f>
        <v>9420</v>
      </c>
      <c r="O928" s="136">
        <f>SUM(O915:O924)</f>
        <v>9784</v>
      </c>
      <c r="P928" s="239">
        <f>O928/N928</f>
        <v>1.0386411889596603</v>
      </c>
    </row>
    <row r="929" spans="1:16" ht="13.8" thickTop="1"/>
    <row r="932" spans="1:16">
      <c r="A932" s="803" t="s">
        <v>101</v>
      </c>
      <c r="B932" s="803"/>
      <c r="C932" s="803"/>
      <c r="D932" s="803"/>
      <c r="E932" s="803"/>
      <c r="F932" s="803"/>
      <c r="G932" s="803"/>
      <c r="H932" s="803"/>
      <c r="I932" s="803"/>
      <c r="J932" s="803"/>
      <c r="K932" s="803"/>
      <c r="L932" s="803"/>
      <c r="M932" s="803"/>
      <c r="N932" s="803"/>
      <c r="O932" s="803"/>
      <c r="P932" s="803"/>
    </row>
    <row r="934" spans="1:16">
      <c r="A934" s="240" t="s">
        <v>66</v>
      </c>
      <c r="B934" s="805" t="s">
        <v>363</v>
      </c>
      <c r="C934" s="801"/>
      <c r="D934" s="806"/>
      <c r="E934" s="183"/>
      <c r="F934" s="86" t="s">
        <v>36</v>
      </c>
      <c r="G934" s="88"/>
      <c r="H934" s="228"/>
      <c r="I934" s="87" t="s">
        <v>86</v>
      </c>
      <c r="J934" s="88"/>
      <c r="K934" s="87"/>
      <c r="L934" s="87" t="s">
        <v>36</v>
      </c>
      <c r="M934" s="87"/>
      <c r="N934" s="183"/>
      <c r="O934" s="184" t="s">
        <v>52</v>
      </c>
      <c r="P934" s="185"/>
    </row>
    <row r="935" spans="1:16" ht="13.8" thickBot="1">
      <c r="A935" s="186"/>
      <c r="B935" s="241" t="s">
        <v>82</v>
      </c>
      <c r="C935" s="242" t="s">
        <v>83</v>
      </c>
      <c r="D935" s="230" t="s">
        <v>71</v>
      </c>
      <c r="E935" s="241" t="s">
        <v>82</v>
      </c>
      <c r="F935" s="242" t="s">
        <v>83</v>
      </c>
      <c r="G935" s="230" t="s">
        <v>71</v>
      </c>
      <c r="H935" s="242" t="s">
        <v>82</v>
      </c>
      <c r="I935" s="242" t="s">
        <v>83</v>
      </c>
      <c r="J935" s="230" t="s">
        <v>71</v>
      </c>
      <c r="K935" s="242" t="s">
        <v>82</v>
      </c>
      <c r="L935" s="242" t="s">
        <v>83</v>
      </c>
      <c r="M935" s="229" t="s">
        <v>71</v>
      </c>
      <c r="N935" s="243" t="s">
        <v>82</v>
      </c>
      <c r="O935" s="242" t="s">
        <v>83</v>
      </c>
      <c r="P935" s="132" t="s">
        <v>71</v>
      </c>
    </row>
    <row r="936" spans="1:16" ht="13.8" thickTop="1">
      <c r="A936" s="232" t="str">
        <f>$A$396</f>
        <v>2011-12</v>
      </c>
      <c r="D936" s="233"/>
      <c r="G936" s="233"/>
      <c r="J936" s="233"/>
      <c r="M936" s="233"/>
      <c r="P936" s="233"/>
    </row>
    <row r="937" spans="1:16">
      <c r="A937" s="232" t="str">
        <f>$A$397</f>
        <v>2012-13</v>
      </c>
      <c r="B937" s="61">
        <f>B885</f>
        <v>195</v>
      </c>
      <c r="D937" s="233"/>
      <c r="E937" s="61">
        <f>C885</f>
        <v>238</v>
      </c>
      <c r="G937" s="233"/>
      <c r="H937" s="61">
        <f>D885</f>
        <v>242</v>
      </c>
      <c r="J937" s="233"/>
      <c r="K937" s="61">
        <f>E885</f>
        <v>222</v>
      </c>
      <c r="M937" s="233"/>
      <c r="N937" s="61">
        <f t="shared" ref="N937:N948" si="312">B937+E937+H937+K937</f>
        <v>897</v>
      </c>
      <c r="P937" s="233"/>
    </row>
    <row r="938" spans="1:16">
      <c r="A938" s="232" t="str">
        <f>$A$398</f>
        <v>2013-14</v>
      </c>
      <c r="B938" s="61">
        <f>F885</f>
        <v>202</v>
      </c>
      <c r="C938" s="61">
        <f>F886</f>
        <v>202</v>
      </c>
      <c r="D938" s="233">
        <f t="shared" ref="D938:D944" si="313">(C938/B937)</f>
        <v>1.035897435897436</v>
      </c>
      <c r="E938" s="61">
        <f>G885</f>
        <v>246</v>
      </c>
      <c r="F938" s="61">
        <f>G886</f>
        <v>246</v>
      </c>
      <c r="G938" s="233">
        <f t="shared" ref="G938:G944" si="314">(F938/E937)</f>
        <v>1.0336134453781514</v>
      </c>
      <c r="H938" s="61">
        <f>H885</f>
        <v>250</v>
      </c>
      <c r="I938" s="61">
        <f>H886</f>
        <v>251</v>
      </c>
      <c r="J938" s="233">
        <f t="shared" ref="J938:J944" si="315">(I938/H937)</f>
        <v>1.0371900826446281</v>
      </c>
      <c r="K938" s="61">
        <f>I885</f>
        <v>229</v>
      </c>
      <c r="L938" s="61">
        <f>I886</f>
        <v>230</v>
      </c>
      <c r="M938" s="233">
        <f t="shared" ref="M938:M944" si="316">(L938/K937)</f>
        <v>1.0360360360360361</v>
      </c>
      <c r="N938" s="61">
        <f t="shared" si="312"/>
        <v>927</v>
      </c>
      <c r="O938" s="61">
        <f t="shared" ref="O938:O948" si="317">C938+F938+I938+L938</f>
        <v>929</v>
      </c>
      <c r="P938" s="233">
        <f t="shared" ref="P938:P944" si="318">(O938/N937)</f>
        <v>1.0356744704570791</v>
      </c>
    </row>
    <row r="939" spans="1:16">
      <c r="A939" s="232" t="str">
        <f>$A$399</f>
        <v>2014-15</v>
      </c>
      <c r="B939" s="61">
        <f>J885</f>
        <v>197</v>
      </c>
      <c r="C939" s="61">
        <f>J886</f>
        <v>209</v>
      </c>
      <c r="D939" s="233">
        <f t="shared" si="313"/>
        <v>1.0346534653465347</v>
      </c>
      <c r="E939" s="61">
        <f>K885</f>
        <v>240</v>
      </c>
      <c r="F939" s="61">
        <f>K886</f>
        <v>255</v>
      </c>
      <c r="G939" s="233">
        <f t="shared" si="314"/>
        <v>1.0365853658536586</v>
      </c>
      <c r="H939" s="61">
        <f>L885</f>
        <v>244</v>
      </c>
      <c r="I939" s="61">
        <f>L886</f>
        <v>259</v>
      </c>
      <c r="J939" s="233">
        <f t="shared" si="315"/>
        <v>1.036</v>
      </c>
      <c r="K939" s="61">
        <f>M885</f>
        <v>224</v>
      </c>
      <c r="L939" s="61">
        <f>M886</f>
        <v>238</v>
      </c>
      <c r="M939" s="233">
        <f t="shared" si="316"/>
        <v>1.0393013100436681</v>
      </c>
      <c r="N939" s="61">
        <f t="shared" si="312"/>
        <v>905</v>
      </c>
      <c r="O939" s="61">
        <f t="shared" si="317"/>
        <v>961</v>
      </c>
      <c r="P939" s="233">
        <f t="shared" si="318"/>
        <v>1.0366774541531822</v>
      </c>
    </row>
    <row r="940" spans="1:16">
      <c r="A940" s="232" t="str">
        <f>$A$400</f>
        <v>2015-16</v>
      </c>
      <c r="B940" s="61">
        <f>N885</f>
        <v>207</v>
      </c>
      <c r="C940" s="61">
        <f>N886</f>
        <v>202</v>
      </c>
      <c r="D940" s="233">
        <f t="shared" si="313"/>
        <v>1.0253807106598984</v>
      </c>
      <c r="E940" s="61">
        <f>O885</f>
        <v>252</v>
      </c>
      <c r="F940" s="61">
        <f>O886</f>
        <v>246</v>
      </c>
      <c r="G940" s="233">
        <f t="shared" si="314"/>
        <v>1.0249999999999999</v>
      </c>
      <c r="H940" s="61">
        <f>P885</f>
        <v>257</v>
      </c>
      <c r="I940" s="61">
        <f>P886</f>
        <v>250</v>
      </c>
      <c r="J940" s="233">
        <f t="shared" si="315"/>
        <v>1.0245901639344261</v>
      </c>
      <c r="K940" s="61">
        <f>Q885</f>
        <v>235</v>
      </c>
      <c r="L940" s="61">
        <f>Q886</f>
        <v>229</v>
      </c>
      <c r="M940" s="233">
        <f t="shared" si="316"/>
        <v>1.0223214285714286</v>
      </c>
      <c r="N940" s="61">
        <f t="shared" si="312"/>
        <v>951</v>
      </c>
      <c r="O940" s="61">
        <f t="shared" si="317"/>
        <v>927</v>
      </c>
      <c r="P940" s="233">
        <f t="shared" si="318"/>
        <v>1.0243093922651934</v>
      </c>
    </row>
    <row r="941" spans="1:16">
      <c r="A941" s="232" t="str">
        <f>$A$401</f>
        <v>2016-17</v>
      </c>
      <c r="B941" s="61">
        <f>R885</f>
        <v>193</v>
      </c>
      <c r="C941" s="61">
        <f>R886</f>
        <v>209</v>
      </c>
      <c r="D941" s="233">
        <f t="shared" si="313"/>
        <v>1.0096618357487923</v>
      </c>
      <c r="E941" s="61">
        <f>S885</f>
        <v>235</v>
      </c>
      <c r="F941" s="61">
        <f>S886</f>
        <v>255</v>
      </c>
      <c r="G941" s="233">
        <f t="shared" si="314"/>
        <v>1.0119047619047619</v>
      </c>
      <c r="H941" s="61">
        <f>T885</f>
        <v>239</v>
      </c>
      <c r="I941" s="61">
        <f>T886</f>
        <v>260</v>
      </c>
      <c r="J941" s="233">
        <f t="shared" si="315"/>
        <v>1.0116731517509727</v>
      </c>
      <c r="K941" s="61">
        <f>U885</f>
        <v>219</v>
      </c>
      <c r="L941" s="61">
        <f>U886</f>
        <v>238</v>
      </c>
      <c r="M941" s="233">
        <f t="shared" si="316"/>
        <v>1.0127659574468084</v>
      </c>
      <c r="N941" s="61">
        <f t="shared" si="312"/>
        <v>886</v>
      </c>
      <c r="O941" s="61">
        <f t="shared" si="317"/>
        <v>962</v>
      </c>
      <c r="P941" s="233">
        <f t="shared" si="318"/>
        <v>1.0115667718191377</v>
      </c>
    </row>
    <row r="942" spans="1:16">
      <c r="A942" s="232" t="str">
        <f>$A$402</f>
        <v>2017-18</v>
      </c>
      <c r="B942" s="61">
        <f>V885</f>
        <v>217</v>
      </c>
      <c r="C942" s="61">
        <f>V886</f>
        <v>197</v>
      </c>
      <c r="D942" s="233">
        <f t="shared" si="313"/>
        <v>1.0207253886010363</v>
      </c>
      <c r="E942" s="61">
        <f>W885</f>
        <v>264</v>
      </c>
      <c r="F942" s="61">
        <f>W886</f>
        <v>240</v>
      </c>
      <c r="G942" s="233">
        <f t="shared" si="314"/>
        <v>1.0212765957446808</v>
      </c>
      <c r="H942" s="61">
        <f>X885</f>
        <v>269</v>
      </c>
      <c r="I942" s="61">
        <f>X886</f>
        <v>244</v>
      </c>
      <c r="J942" s="233">
        <f t="shared" si="315"/>
        <v>1.0209205020920502</v>
      </c>
      <c r="K942" s="61">
        <f>Y885</f>
        <v>247</v>
      </c>
      <c r="L942" s="61">
        <f>Y886</f>
        <v>224</v>
      </c>
      <c r="M942" s="233">
        <f t="shared" si="316"/>
        <v>1.0228310502283104</v>
      </c>
      <c r="N942" s="61">
        <f t="shared" si="312"/>
        <v>997</v>
      </c>
      <c r="O942" s="61">
        <f t="shared" si="317"/>
        <v>905</v>
      </c>
      <c r="P942" s="233">
        <f t="shared" si="318"/>
        <v>1.0214446952595937</v>
      </c>
    </row>
    <row r="943" spans="1:16">
      <c r="A943" s="232" t="str">
        <f>$A$403</f>
        <v>2018-19</v>
      </c>
      <c r="B943" s="61">
        <f>Z885</f>
        <v>203</v>
      </c>
      <c r="C943" s="61">
        <f>Z886</f>
        <v>221</v>
      </c>
      <c r="D943" s="233">
        <f t="shared" si="313"/>
        <v>1.0184331797235022</v>
      </c>
      <c r="E943" s="61">
        <f>AA885</f>
        <v>247</v>
      </c>
      <c r="F943" s="61">
        <f>AA886</f>
        <v>270</v>
      </c>
      <c r="G943" s="233">
        <f t="shared" si="314"/>
        <v>1.0227272727272727</v>
      </c>
      <c r="H943" s="61">
        <f>AB885</f>
        <v>252</v>
      </c>
      <c r="I943" s="61">
        <f>AB886</f>
        <v>275</v>
      </c>
      <c r="J943" s="233">
        <f t="shared" si="315"/>
        <v>1.0223048327137547</v>
      </c>
      <c r="K943" s="61">
        <f>AC885</f>
        <v>231</v>
      </c>
      <c r="L943" s="61">
        <f>AC886</f>
        <v>252</v>
      </c>
      <c r="M943" s="233">
        <f t="shared" si="316"/>
        <v>1.0202429149797572</v>
      </c>
      <c r="N943" s="61">
        <f t="shared" si="312"/>
        <v>933</v>
      </c>
      <c r="O943" s="61">
        <f t="shared" si="317"/>
        <v>1018</v>
      </c>
      <c r="P943" s="233">
        <f t="shared" si="318"/>
        <v>1.0210631895687061</v>
      </c>
    </row>
    <row r="944" spans="1:16">
      <c r="A944" s="232" t="str">
        <f>$A$404</f>
        <v>2019-20</v>
      </c>
      <c r="B944" s="61">
        <f>B899</f>
        <v>197</v>
      </c>
      <c r="C944" s="61">
        <f>B900</f>
        <v>209</v>
      </c>
      <c r="D944" s="233">
        <f t="shared" si="313"/>
        <v>1.0295566502463054</v>
      </c>
      <c r="E944" s="61">
        <f>C899</f>
        <v>240</v>
      </c>
      <c r="F944" s="61">
        <f>C900</f>
        <v>254</v>
      </c>
      <c r="G944" s="233">
        <f t="shared" si="314"/>
        <v>1.0283400809716599</v>
      </c>
      <c r="H944" s="61">
        <f>D899</f>
        <v>245</v>
      </c>
      <c r="I944" s="61">
        <f>D900</f>
        <v>259</v>
      </c>
      <c r="J944" s="233">
        <f t="shared" si="315"/>
        <v>1.0277777777777777</v>
      </c>
      <c r="K944" s="61">
        <f>E899</f>
        <v>224</v>
      </c>
      <c r="L944" s="61">
        <f>E900</f>
        <v>238</v>
      </c>
      <c r="M944" s="233">
        <f t="shared" si="316"/>
        <v>1.0303030303030303</v>
      </c>
      <c r="N944" s="61">
        <f t="shared" si="312"/>
        <v>906</v>
      </c>
      <c r="O944" s="61">
        <f t="shared" si="317"/>
        <v>960</v>
      </c>
      <c r="P944" s="233">
        <f t="shared" si="318"/>
        <v>1.0289389067524115</v>
      </c>
    </row>
    <row r="945" spans="1:16">
      <c r="A945" s="232" t="str">
        <f>$A$405</f>
        <v>2020-21</v>
      </c>
      <c r="B945" s="61">
        <f>F899</f>
        <v>200</v>
      </c>
      <c r="C945" s="61">
        <f>F900</f>
        <v>199</v>
      </c>
      <c r="D945" s="233">
        <f t="shared" ref="D945:D950" si="319">(C945/B944)</f>
        <v>1.0101522842639594</v>
      </c>
      <c r="E945" s="61">
        <f>G899</f>
        <v>244</v>
      </c>
      <c r="F945" s="61">
        <f>G900</f>
        <v>242</v>
      </c>
      <c r="G945" s="233">
        <f t="shared" ref="G945:G950" si="320">(F945/E944)</f>
        <v>1.0083333333333333</v>
      </c>
      <c r="H945" s="61">
        <f>H899</f>
        <v>248</v>
      </c>
      <c r="I945" s="61">
        <f>H900</f>
        <v>247</v>
      </c>
      <c r="J945" s="233">
        <f t="shared" ref="J945:J950" si="321">(I945/H944)</f>
        <v>1.0081632653061225</v>
      </c>
      <c r="K945" s="61">
        <f>I899</f>
        <v>228</v>
      </c>
      <c r="L945" s="61">
        <f>I900</f>
        <v>226</v>
      </c>
      <c r="M945" s="233">
        <f t="shared" ref="M945:M950" si="322">(L945/K944)</f>
        <v>1.0089285714285714</v>
      </c>
      <c r="N945" s="61">
        <f t="shared" si="312"/>
        <v>920</v>
      </c>
      <c r="O945" s="61">
        <f t="shared" si="317"/>
        <v>914</v>
      </c>
      <c r="P945" s="233">
        <f t="shared" ref="P945:P950" si="323">(O945/N944)</f>
        <v>1.0088300220750552</v>
      </c>
    </row>
    <row r="946" spans="1:16">
      <c r="A946" s="232" t="str">
        <f>$A$406</f>
        <v>2021-22</v>
      </c>
      <c r="B946" s="61">
        <f>J899</f>
        <v>186</v>
      </c>
      <c r="C946" s="61">
        <f>J900</f>
        <v>209</v>
      </c>
      <c r="D946" s="233">
        <f t="shared" si="319"/>
        <v>1.0449999999999999</v>
      </c>
      <c r="E946" s="61">
        <f>K899</f>
        <v>226</v>
      </c>
      <c r="F946" s="61">
        <f>K900</f>
        <v>255</v>
      </c>
      <c r="G946" s="233">
        <f t="shared" si="320"/>
        <v>1.0450819672131149</v>
      </c>
      <c r="H946" s="61">
        <f>L899</f>
        <v>231</v>
      </c>
      <c r="I946" s="61">
        <f>L900</f>
        <v>260</v>
      </c>
      <c r="J946" s="233">
        <f t="shared" si="321"/>
        <v>1.0483870967741935</v>
      </c>
      <c r="K946" s="61">
        <f>M899</f>
        <v>211</v>
      </c>
      <c r="L946" s="61">
        <f>M900</f>
        <v>238</v>
      </c>
      <c r="M946" s="233">
        <f t="shared" si="322"/>
        <v>1.0438596491228069</v>
      </c>
      <c r="N946" s="61">
        <f t="shared" si="312"/>
        <v>854</v>
      </c>
      <c r="O946" s="61">
        <f t="shared" si="317"/>
        <v>962</v>
      </c>
      <c r="P946" s="233">
        <f t="shared" si="323"/>
        <v>1.0456521739130435</v>
      </c>
    </row>
    <row r="947" spans="1:16">
      <c r="A947" s="232" t="str">
        <f>$A$407</f>
        <v>2022-23</v>
      </c>
      <c r="B947" s="61">
        <f>N899</f>
        <v>205</v>
      </c>
      <c r="C947" s="61">
        <f>N900</f>
        <v>190</v>
      </c>
      <c r="D947" s="233">
        <f t="shared" si="319"/>
        <v>1.021505376344086</v>
      </c>
      <c r="E947" s="61">
        <f>O899</f>
        <v>249</v>
      </c>
      <c r="F947" s="61">
        <f>O900</f>
        <v>231</v>
      </c>
      <c r="G947" s="233">
        <f t="shared" si="320"/>
        <v>1.0221238938053097</v>
      </c>
      <c r="H947" s="61">
        <f>P899</f>
        <v>254</v>
      </c>
      <c r="I947" s="61">
        <f>P900</f>
        <v>235</v>
      </c>
      <c r="J947" s="233">
        <f t="shared" si="321"/>
        <v>1.0173160173160174</v>
      </c>
      <c r="K947" s="61">
        <f>Q899</f>
        <v>233</v>
      </c>
      <c r="L947" s="61">
        <f>Q900</f>
        <v>216</v>
      </c>
      <c r="M947" s="233">
        <f t="shared" si="322"/>
        <v>1.0236966824644549</v>
      </c>
      <c r="N947" s="61">
        <f t="shared" si="312"/>
        <v>941</v>
      </c>
      <c r="O947" s="61">
        <f t="shared" si="317"/>
        <v>872</v>
      </c>
      <c r="P947" s="233">
        <f t="shared" si="323"/>
        <v>1.0210772833723654</v>
      </c>
    </row>
    <row r="948" spans="1:16">
      <c r="A948" s="232" t="str">
        <f>$A$408</f>
        <v>2023-24</v>
      </c>
      <c r="B948" s="61">
        <f>R899</f>
        <v>190</v>
      </c>
      <c r="C948" s="61">
        <f>R900</f>
        <v>204</v>
      </c>
      <c r="D948" s="233">
        <f t="shared" si="319"/>
        <v>0.99512195121951219</v>
      </c>
      <c r="E948" s="61">
        <f>S899</f>
        <v>232</v>
      </c>
      <c r="F948" s="61">
        <f>S900</f>
        <v>249</v>
      </c>
      <c r="G948" s="233">
        <f t="shared" si="320"/>
        <v>1</v>
      </c>
      <c r="H948" s="61">
        <f>T899</f>
        <v>236</v>
      </c>
      <c r="I948" s="61">
        <f>T900</f>
        <v>254</v>
      </c>
      <c r="J948" s="233">
        <f t="shared" si="321"/>
        <v>1</v>
      </c>
      <c r="K948" s="61">
        <f>U899</f>
        <v>217</v>
      </c>
      <c r="L948" s="61">
        <f>U900</f>
        <v>232</v>
      </c>
      <c r="M948" s="233">
        <f t="shared" si="322"/>
        <v>0.99570815450643779</v>
      </c>
      <c r="N948" s="61">
        <f t="shared" si="312"/>
        <v>875</v>
      </c>
      <c r="O948" s="61">
        <f t="shared" si="317"/>
        <v>939</v>
      </c>
      <c r="P948" s="233">
        <f t="shared" si="323"/>
        <v>0.99787460148777896</v>
      </c>
    </row>
    <row r="949" spans="1:16">
      <c r="A949" s="232" t="str">
        <f>$A$409</f>
        <v>2024-25</v>
      </c>
      <c r="B949" s="61">
        <f>V899</f>
        <v>198</v>
      </c>
      <c r="C949" s="61">
        <f>V900</f>
        <v>197</v>
      </c>
      <c r="D949" s="233">
        <f t="shared" si="319"/>
        <v>1.0368421052631578</v>
      </c>
      <c r="E949" s="61">
        <f>W899</f>
        <v>246</v>
      </c>
      <c r="F949" s="61">
        <f>W900</f>
        <v>244</v>
      </c>
      <c r="G949" s="233">
        <f t="shared" si="320"/>
        <v>1.0517241379310345</v>
      </c>
      <c r="H949" s="61">
        <f>X899</f>
        <v>241</v>
      </c>
      <c r="I949" s="61">
        <f>X900</f>
        <v>240</v>
      </c>
      <c r="J949" s="233">
        <f t="shared" si="321"/>
        <v>1.0169491525423728</v>
      </c>
      <c r="K949" s="61">
        <f>Y899</f>
        <v>225</v>
      </c>
      <c r="L949" s="61">
        <f>Y900</f>
        <v>224</v>
      </c>
      <c r="M949" s="233">
        <f t="shared" si="322"/>
        <v>1.032258064516129</v>
      </c>
      <c r="N949" s="61">
        <f>B949+E949+H949+K949</f>
        <v>910</v>
      </c>
      <c r="O949" s="61">
        <f>C949+F949+I949+L949</f>
        <v>905</v>
      </c>
      <c r="P949" s="233">
        <f t="shared" si="323"/>
        <v>1.0342857142857143</v>
      </c>
    </row>
    <row r="950" spans="1:16" ht="13.8" thickBot="1">
      <c r="A950" s="234" t="str">
        <f>$A$410</f>
        <v>2025-26</v>
      </c>
      <c r="B950" s="136">
        <f>Z899</f>
        <v>190</v>
      </c>
      <c r="C950" s="136">
        <f>Z900</f>
        <v>201</v>
      </c>
      <c r="D950" s="235">
        <f t="shared" si="319"/>
        <v>1.0151515151515151</v>
      </c>
      <c r="E950" s="136">
        <f>AA899</f>
        <v>236</v>
      </c>
      <c r="F950" s="136">
        <f>AA900</f>
        <v>249</v>
      </c>
      <c r="G950" s="235">
        <f t="shared" si="320"/>
        <v>1.0121951219512195</v>
      </c>
      <c r="H950" s="136">
        <f>AB899</f>
        <v>232</v>
      </c>
      <c r="I950" s="136">
        <f>AB900</f>
        <v>245</v>
      </c>
      <c r="J950" s="235">
        <f t="shared" si="321"/>
        <v>1.0165975103734439</v>
      </c>
      <c r="K950" s="136">
        <f>AC899</f>
        <v>216</v>
      </c>
      <c r="L950" s="136">
        <f>AC900</f>
        <v>228</v>
      </c>
      <c r="M950" s="235">
        <f t="shared" si="322"/>
        <v>1.0133333333333334</v>
      </c>
      <c r="N950" s="136">
        <f>B950+E950+H950+K950</f>
        <v>874</v>
      </c>
      <c r="O950" s="136">
        <f>C950+F950+I950+L950</f>
        <v>923</v>
      </c>
      <c r="P950" s="235">
        <f t="shared" si="323"/>
        <v>1.0142857142857142</v>
      </c>
    </row>
    <row r="951" spans="1:16" ht="13.8" thickTop="1">
      <c r="A951" s="232"/>
      <c r="D951" s="226"/>
      <c r="G951" s="226"/>
      <c r="J951" s="226"/>
      <c r="M951" s="226"/>
      <c r="P951" s="226"/>
    </row>
    <row r="952" spans="1:16">
      <c r="A952" s="236" t="s">
        <v>72</v>
      </c>
      <c r="B952" s="61">
        <f>SUM(B947:B949)</f>
        <v>593</v>
      </c>
      <c r="C952" s="61">
        <f>SUM(C948:C950)</f>
        <v>602</v>
      </c>
      <c r="D952" s="237">
        <f>C952/B952</f>
        <v>1.0151770657672849</v>
      </c>
      <c r="E952" s="61">
        <f>SUM(E947:E949)</f>
        <v>727</v>
      </c>
      <c r="F952" s="61">
        <f>SUM(F948:F950)</f>
        <v>742</v>
      </c>
      <c r="G952" s="237">
        <f>F952/E952</f>
        <v>1.0206327372764787</v>
      </c>
      <c r="H952" s="61">
        <f>SUM(H947:H949)</f>
        <v>731</v>
      </c>
      <c r="I952" s="61">
        <f>SUM(I948:I950)</f>
        <v>739</v>
      </c>
      <c r="J952" s="237">
        <f>I952/H952</f>
        <v>1.0109439124487005</v>
      </c>
      <c r="K952" s="61">
        <f>SUM(K947:K949)</f>
        <v>675</v>
      </c>
      <c r="L952" s="61">
        <f>SUM(L948:L950)</f>
        <v>684</v>
      </c>
      <c r="M952" s="237">
        <f>L952/K952</f>
        <v>1.0133333333333334</v>
      </c>
      <c r="N952" s="61">
        <f>SUM(N947:N949)</f>
        <v>2726</v>
      </c>
      <c r="O952" s="61">
        <f>SUM(O948:O950)</f>
        <v>2767</v>
      </c>
      <c r="P952" s="237">
        <f>O952/N952</f>
        <v>1.0150403521643434</v>
      </c>
    </row>
    <row r="953" spans="1:16">
      <c r="A953" s="236" t="s">
        <v>73</v>
      </c>
      <c r="B953" s="61">
        <f>SUM(B945:B949)</f>
        <v>979</v>
      </c>
      <c r="C953" s="61">
        <f>SUM(C946:C950)</f>
        <v>1001</v>
      </c>
      <c r="D953" s="237">
        <f>C953/B953</f>
        <v>1.0224719101123596</v>
      </c>
      <c r="E953" s="61">
        <f>SUM(E945:E949)</f>
        <v>1197</v>
      </c>
      <c r="F953" s="61">
        <f>SUM(F946:F950)</f>
        <v>1228</v>
      </c>
      <c r="G953" s="237">
        <f>F953/E953</f>
        <v>1.0258980785296574</v>
      </c>
      <c r="H953" s="61">
        <f>SUM(H945:H949)</f>
        <v>1210</v>
      </c>
      <c r="I953" s="61">
        <f>SUM(I946:I950)</f>
        <v>1234</v>
      </c>
      <c r="J953" s="237">
        <f>I953/H953</f>
        <v>1.0198347107438017</v>
      </c>
      <c r="K953" s="61">
        <f>SUM(K945:K949)</f>
        <v>1114</v>
      </c>
      <c r="L953" s="61">
        <f>SUM(L946:L950)</f>
        <v>1138</v>
      </c>
      <c r="M953" s="237">
        <f>L953/K953</f>
        <v>1.0215439856373429</v>
      </c>
      <c r="N953" s="61">
        <f>SUM(N945:N949)</f>
        <v>4500</v>
      </c>
      <c r="O953" s="61">
        <f>SUM(O946:O950)</f>
        <v>4601</v>
      </c>
      <c r="P953" s="237">
        <f>O953/N953</f>
        <v>1.0224444444444445</v>
      </c>
    </row>
    <row r="954" spans="1:16" ht="13.8" thickBot="1">
      <c r="A954" s="238" t="s">
        <v>74</v>
      </c>
      <c r="B954" s="136">
        <f>SUM(B940:B949)</f>
        <v>1996</v>
      </c>
      <c r="C954" s="136">
        <f>SUM(C941:C950)</f>
        <v>2036</v>
      </c>
      <c r="D954" s="239">
        <f>C954/B954</f>
        <v>1.0200400801603207</v>
      </c>
      <c r="E954" s="136">
        <f>SUM(E940:E949)</f>
        <v>2435</v>
      </c>
      <c r="F954" s="136">
        <f>SUM(F941:F950)</f>
        <v>2489</v>
      </c>
      <c r="G954" s="239">
        <f>F954/E954</f>
        <v>1.0221765913757701</v>
      </c>
      <c r="H954" s="136">
        <f>SUM(H940:H949)</f>
        <v>2472</v>
      </c>
      <c r="I954" s="136">
        <f>SUM(I941:I950)</f>
        <v>2519</v>
      </c>
      <c r="J954" s="239">
        <f>I954/H954</f>
        <v>1.0190129449838188</v>
      </c>
      <c r="K954" s="136">
        <f>SUM(K940:K949)</f>
        <v>2270</v>
      </c>
      <c r="L954" s="136">
        <f>SUM(L941:L950)</f>
        <v>2316</v>
      </c>
      <c r="M954" s="239">
        <f>L954/K954</f>
        <v>1.0202643171806167</v>
      </c>
      <c r="N954" s="136">
        <f>SUM(N940:N949)</f>
        <v>9173</v>
      </c>
      <c r="O954" s="136">
        <f>SUM(O941:O950)</f>
        <v>9360</v>
      </c>
      <c r="P954" s="239">
        <f>O954/N954</f>
        <v>1.0203859151858716</v>
      </c>
    </row>
    <row r="955" spans="1:16" ht="13.8" thickTop="1"/>
    <row r="957" spans="1:16">
      <c r="A957" s="803" t="s">
        <v>311</v>
      </c>
      <c r="B957" s="803"/>
      <c r="C957" s="803"/>
      <c r="D957" s="803"/>
      <c r="E957" s="803"/>
      <c r="F957" s="803"/>
      <c r="G957" s="803"/>
      <c r="H957" s="803"/>
      <c r="I957" s="803"/>
      <c r="J957" s="803"/>
      <c r="K957" s="803"/>
      <c r="L957" s="803"/>
      <c r="M957" s="803"/>
      <c r="N957" s="803"/>
      <c r="O957" s="803"/>
      <c r="P957" s="803"/>
    </row>
    <row r="959" spans="1:16">
      <c r="A959" s="351" t="s">
        <v>66</v>
      </c>
      <c r="B959" s="788" t="s">
        <v>363</v>
      </c>
      <c r="C959" s="788"/>
      <c r="D959" s="788"/>
      <c r="E959" s="788" t="s">
        <v>36</v>
      </c>
      <c r="F959" s="788"/>
      <c r="G959" s="788"/>
      <c r="H959" s="788" t="s">
        <v>86</v>
      </c>
      <c r="I959" s="788"/>
      <c r="J959" s="788"/>
      <c r="K959" s="788" t="s">
        <v>99</v>
      </c>
      <c r="L959" s="788"/>
      <c r="M959" s="788"/>
      <c r="N959" s="788" t="s">
        <v>52</v>
      </c>
      <c r="O959" s="788"/>
      <c r="P959" s="789"/>
    </row>
    <row r="960" spans="1:16" ht="13.8" thickBot="1">
      <c r="A960" s="447"/>
      <c r="B960" s="242" t="s">
        <v>291</v>
      </c>
      <c r="C960" s="242" t="s">
        <v>82</v>
      </c>
      <c r="D960" s="379" t="s">
        <v>71</v>
      </c>
      <c r="E960" s="242" t="s">
        <v>291</v>
      </c>
      <c r="F960" s="242" t="s">
        <v>82</v>
      </c>
      <c r="G960" s="379" t="s">
        <v>71</v>
      </c>
      <c r="H960" s="242" t="s">
        <v>291</v>
      </c>
      <c r="I960" s="242" t="s">
        <v>82</v>
      </c>
      <c r="J960" s="379" t="s">
        <v>71</v>
      </c>
      <c r="K960" s="242" t="s">
        <v>291</v>
      </c>
      <c r="L960" s="242" t="s">
        <v>82</v>
      </c>
      <c r="M960" s="379" t="s">
        <v>71</v>
      </c>
      <c r="N960" s="242" t="s">
        <v>291</v>
      </c>
      <c r="O960" s="242" t="s">
        <v>82</v>
      </c>
      <c r="P960" s="371" t="s">
        <v>71</v>
      </c>
    </row>
    <row r="961" spans="1:17" ht="13.8" thickTop="1">
      <c r="A961" s="222" t="str">
        <f>$A$396</f>
        <v>2011-12</v>
      </c>
      <c r="B961" s="194"/>
      <c r="C961" s="29"/>
      <c r="D961" s="252"/>
      <c r="E961" s="194"/>
      <c r="F961" s="29"/>
      <c r="G961" s="252"/>
      <c r="H961" s="194"/>
      <c r="I961" s="29"/>
      <c r="J961" s="252"/>
      <c r="K961" s="194"/>
      <c r="L961" s="29"/>
      <c r="M961" s="252"/>
      <c r="N961" s="194"/>
      <c r="O961" s="29"/>
      <c r="P961" s="252"/>
      <c r="Q961" s="194"/>
    </row>
    <row r="962" spans="1:17">
      <c r="A962" s="232" t="str">
        <f>$A$397</f>
        <v>2012-13</v>
      </c>
      <c r="B962" s="61">
        <f>B884</f>
        <v>192</v>
      </c>
      <c r="D962" s="233"/>
      <c r="E962" s="61">
        <f>C884</f>
        <v>234</v>
      </c>
      <c r="G962" s="233"/>
      <c r="H962" s="61">
        <f>D884</f>
        <v>238</v>
      </c>
      <c r="J962" s="233"/>
      <c r="K962" s="61">
        <f>E884</f>
        <v>218</v>
      </c>
      <c r="M962" s="233"/>
      <c r="N962" s="61">
        <f t="shared" ref="N962:N973" si="324">B962+E962+H962+K962</f>
        <v>882</v>
      </c>
      <c r="P962" s="233"/>
    </row>
    <row r="963" spans="1:17">
      <c r="A963" s="232" t="str">
        <f>$A$398</f>
        <v>2013-14</v>
      </c>
      <c r="B963" s="61">
        <f>F884</f>
        <v>191</v>
      </c>
      <c r="C963" s="61">
        <f>F885</f>
        <v>202</v>
      </c>
      <c r="D963" s="233">
        <f t="shared" ref="D963:D975" si="325">(C963/B962)</f>
        <v>1.0520833333333333</v>
      </c>
      <c r="E963" s="61">
        <f>G884</f>
        <v>233</v>
      </c>
      <c r="F963" s="61">
        <f>G885</f>
        <v>246</v>
      </c>
      <c r="G963" s="233">
        <f t="shared" ref="G963:G975" si="326">(F963/E962)</f>
        <v>1.0512820512820513</v>
      </c>
      <c r="H963" s="61">
        <f>H884</f>
        <v>237</v>
      </c>
      <c r="I963" s="61">
        <f>H885</f>
        <v>250</v>
      </c>
      <c r="J963" s="233">
        <f t="shared" ref="J963:J975" si="327">(I963/H962)</f>
        <v>1.0504201680672269</v>
      </c>
      <c r="K963" s="61">
        <f>I884</f>
        <v>218</v>
      </c>
      <c r="L963" s="61">
        <f>I885</f>
        <v>229</v>
      </c>
      <c r="M963" s="233">
        <f t="shared" ref="M963:M975" si="328">(L963/K962)</f>
        <v>1.0504587155963303</v>
      </c>
      <c r="N963" s="61">
        <f t="shared" si="324"/>
        <v>879</v>
      </c>
      <c r="O963" s="61">
        <f t="shared" ref="O963:O973" si="329">C963+F963+I963+L963</f>
        <v>927</v>
      </c>
      <c r="P963" s="233">
        <f t="shared" ref="P963:P969" si="330">(O963/N962)</f>
        <v>1.0510204081632653</v>
      </c>
    </row>
    <row r="964" spans="1:17">
      <c r="A964" s="232" t="str">
        <f>$A$399</f>
        <v>2014-15</v>
      </c>
      <c r="B964" s="61">
        <f>J884</f>
        <v>197</v>
      </c>
      <c r="C964" s="61">
        <f>J885</f>
        <v>197</v>
      </c>
      <c r="D964" s="233">
        <f t="shared" si="325"/>
        <v>1.0314136125654449</v>
      </c>
      <c r="E964" s="61">
        <f>K884</f>
        <v>241</v>
      </c>
      <c r="F964" s="61">
        <f>K885</f>
        <v>240</v>
      </c>
      <c r="G964" s="233">
        <f t="shared" si="326"/>
        <v>1.0300429184549356</v>
      </c>
      <c r="H964" s="61">
        <f>L884</f>
        <v>245</v>
      </c>
      <c r="I964" s="61">
        <f>L885</f>
        <v>244</v>
      </c>
      <c r="J964" s="233">
        <f t="shared" si="327"/>
        <v>1.029535864978903</v>
      </c>
      <c r="K964" s="61">
        <f>M884</f>
        <v>225</v>
      </c>
      <c r="L964" s="61">
        <f>M885</f>
        <v>224</v>
      </c>
      <c r="M964" s="233">
        <f t="shared" si="328"/>
        <v>1.0275229357798166</v>
      </c>
      <c r="N964" s="61">
        <f t="shared" si="324"/>
        <v>908</v>
      </c>
      <c r="O964" s="61">
        <f t="shared" si="329"/>
        <v>905</v>
      </c>
      <c r="P964" s="233">
        <f t="shared" si="330"/>
        <v>1.0295790671217293</v>
      </c>
    </row>
    <row r="965" spans="1:17">
      <c r="A965" s="232" t="str">
        <f>$A$400</f>
        <v>2015-16</v>
      </c>
      <c r="B965" s="61">
        <f>N884</f>
        <v>184</v>
      </c>
      <c r="C965" s="61">
        <f>N885</f>
        <v>207</v>
      </c>
      <c r="D965" s="233">
        <f t="shared" si="325"/>
        <v>1.0507614213197969</v>
      </c>
      <c r="E965" s="61">
        <f>O884</f>
        <v>224</v>
      </c>
      <c r="F965" s="61">
        <f>O885</f>
        <v>252</v>
      </c>
      <c r="G965" s="233">
        <f t="shared" si="326"/>
        <v>1.045643153526971</v>
      </c>
      <c r="H965" s="61">
        <f>P884</f>
        <v>228</v>
      </c>
      <c r="I965" s="61">
        <f>P885</f>
        <v>257</v>
      </c>
      <c r="J965" s="233">
        <f t="shared" si="327"/>
        <v>1.0489795918367346</v>
      </c>
      <c r="K965" s="61">
        <f>Q884</f>
        <v>209</v>
      </c>
      <c r="L965" s="61">
        <f>Q885</f>
        <v>235</v>
      </c>
      <c r="M965" s="233">
        <f t="shared" si="328"/>
        <v>1.0444444444444445</v>
      </c>
      <c r="N965" s="61">
        <f t="shared" si="324"/>
        <v>845</v>
      </c>
      <c r="O965" s="61">
        <f t="shared" si="329"/>
        <v>951</v>
      </c>
      <c r="P965" s="233">
        <f t="shared" si="330"/>
        <v>1.0473568281938326</v>
      </c>
    </row>
    <row r="966" spans="1:17">
      <c r="A966" s="232" t="str">
        <f>$A$401</f>
        <v>2016-17</v>
      </c>
      <c r="B966" s="61">
        <f>R884</f>
        <v>208</v>
      </c>
      <c r="C966" s="61">
        <f>R885</f>
        <v>193</v>
      </c>
      <c r="D966" s="233">
        <f t="shared" si="325"/>
        <v>1.048913043478261</v>
      </c>
      <c r="E966" s="61">
        <f>S884</f>
        <v>253</v>
      </c>
      <c r="F966" s="61">
        <f>S885</f>
        <v>235</v>
      </c>
      <c r="G966" s="233">
        <f t="shared" si="326"/>
        <v>1.0491071428571428</v>
      </c>
      <c r="H966" s="61">
        <f>T884</f>
        <v>258</v>
      </c>
      <c r="I966" s="61">
        <f>T885</f>
        <v>239</v>
      </c>
      <c r="J966" s="233">
        <f t="shared" si="327"/>
        <v>1.0482456140350878</v>
      </c>
      <c r="K966" s="61">
        <f>U884</f>
        <v>236</v>
      </c>
      <c r="L966" s="61">
        <f>U885</f>
        <v>219</v>
      </c>
      <c r="M966" s="233">
        <f t="shared" si="328"/>
        <v>1.0478468899521531</v>
      </c>
      <c r="N966" s="61">
        <f t="shared" si="324"/>
        <v>955</v>
      </c>
      <c r="O966" s="61">
        <f t="shared" si="329"/>
        <v>886</v>
      </c>
      <c r="P966" s="233">
        <f t="shared" si="330"/>
        <v>1.0485207100591716</v>
      </c>
    </row>
    <row r="967" spans="1:17">
      <c r="A967" s="232" t="str">
        <f>$A$402</f>
        <v>2017-18</v>
      </c>
      <c r="B967" s="61">
        <f>V884</f>
        <v>196</v>
      </c>
      <c r="C967" s="61">
        <f>V885</f>
        <v>217</v>
      </c>
      <c r="D967" s="233">
        <f t="shared" si="325"/>
        <v>1.0432692307692308</v>
      </c>
      <c r="E967" s="61">
        <f>W884</f>
        <v>239</v>
      </c>
      <c r="F967" s="61">
        <f>W885</f>
        <v>264</v>
      </c>
      <c r="G967" s="233">
        <f t="shared" si="326"/>
        <v>1.0434782608695652</v>
      </c>
      <c r="H967" s="61">
        <f>X884</f>
        <v>243</v>
      </c>
      <c r="I967" s="61">
        <f>X885</f>
        <v>269</v>
      </c>
      <c r="J967" s="233">
        <f t="shared" si="327"/>
        <v>1.0426356589147288</v>
      </c>
      <c r="K967" s="61">
        <f>Y884</f>
        <v>223</v>
      </c>
      <c r="L967" s="61">
        <f>Y885</f>
        <v>247</v>
      </c>
      <c r="M967" s="233">
        <f t="shared" si="328"/>
        <v>1.0466101694915255</v>
      </c>
      <c r="N967" s="61">
        <f t="shared" si="324"/>
        <v>901</v>
      </c>
      <c r="O967" s="61">
        <f t="shared" si="329"/>
        <v>997</v>
      </c>
      <c r="P967" s="233">
        <f t="shared" si="330"/>
        <v>1.043979057591623</v>
      </c>
    </row>
    <row r="968" spans="1:17">
      <c r="A968" s="232" t="str">
        <f>$A$403</f>
        <v>2018-19</v>
      </c>
      <c r="B968" s="61">
        <f>Z884</f>
        <v>190</v>
      </c>
      <c r="C968" s="61">
        <f>Z885</f>
        <v>203</v>
      </c>
      <c r="D968" s="233">
        <f t="shared" si="325"/>
        <v>1.0357142857142858</v>
      </c>
      <c r="E968" s="61">
        <f>AA884</f>
        <v>231</v>
      </c>
      <c r="F968" s="61">
        <f>AA885</f>
        <v>247</v>
      </c>
      <c r="G968" s="233">
        <f t="shared" si="326"/>
        <v>1.0334728033472804</v>
      </c>
      <c r="H968" s="61">
        <f>AB884</f>
        <v>236</v>
      </c>
      <c r="I968" s="61">
        <f>AB885</f>
        <v>252</v>
      </c>
      <c r="J968" s="233">
        <f t="shared" si="327"/>
        <v>1.037037037037037</v>
      </c>
      <c r="K968" s="61">
        <f>AC884</f>
        <v>216</v>
      </c>
      <c r="L968" s="61">
        <f>AC885</f>
        <v>231</v>
      </c>
      <c r="M968" s="233">
        <f t="shared" si="328"/>
        <v>1.0358744394618835</v>
      </c>
      <c r="N968" s="61">
        <f t="shared" si="324"/>
        <v>873</v>
      </c>
      <c r="O968" s="61">
        <f t="shared" si="329"/>
        <v>933</v>
      </c>
      <c r="P968" s="233">
        <f t="shared" si="330"/>
        <v>1.0355160932297447</v>
      </c>
    </row>
    <row r="969" spans="1:17">
      <c r="A969" s="232" t="str">
        <f>$A$404</f>
        <v>2019-20</v>
      </c>
      <c r="B969" s="61">
        <f>B898</f>
        <v>198</v>
      </c>
      <c r="C969" s="61">
        <f>B899</f>
        <v>197</v>
      </c>
      <c r="D969" s="233">
        <f t="shared" si="325"/>
        <v>1.0368421052631578</v>
      </c>
      <c r="E969" s="61">
        <f>C898</f>
        <v>241</v>
      </c>
      <c r="F969" s="61">
        <f>C899</f>
        <v>240</v>
      </c>
      <c r="G969" s="233">
        <f t="shared" si="326"/>
        <v>1.0389610389610389</v>
      </c>
      <c r="H969" s="61">
        <f>D898</f>
        <v>246</v>
      </c>
      <c r="I969" s="61">
        <f>D899</f>
        <v>245</v>
      </c>
      <c r="J969" s="233">
        <f t="shared" si="327"/>
        <v>1.0381355932203389</v>
      </c>
      <c r="K969" s="61">
        <f>E898</f>
        <v>225</v>
      </c>
      <c r="L969" s="61">
        <f>E899</f>
        <v>224</v>
      </c>
      <c r="M969" s="233">
        <f t="shared" si="328"/>
        <v>1.037037037037037</v>
      </c>
      <c r="N969" s="61">
        <f t="shared" si="324"/>
        <v>910</v>
      </c>
      <c r="O969" s="61">
        <f t="shared" si="329"/>
        <v>906</v>
      </c>
      <c r="P969" s="233">
        <f t="shared" si="330"/>
        <v>1.0378006872852235</v>
      </c>
    </row>
    <row r="970" spans="1:17">
      <c r="A970" s="232" t="str">
        <f>$A$405</f>
        <v>2020-21</v>
      </c>
      <c r="B970" s="61">
        <f>F898</f>
        <v>180</v>
      </c>
      <c r="C970" s="61">
        <f>F899</f>
        <v>200</v>
      </c>
      <c r="D970" s="233">
        <f t="shared" si="325"/>
        <v>1.0101010101010102</v>
      </c>
      <c r="E970" s="61">
        <f>G898</f>
        <v>220</v>
      </c>
      <c r="F970" s="61">
        <f>G899</f>
        <v>244</v>
      </c>
      <c r="G970" s="233">
        <f t="shared" si="326"/>
        <v>1.0124481327800829</v>
      </c>
      <c r="H970" s="61">
        <f>H898</f>
        <v>224</v>
      </c>
      <c r="I970" s="61">
        <f>H899</f>
        <v>248</v>
      </c>
      <c r="J970" s="233">
        <f t="shared" si="327"/>
        <v>1.0081300813008129</v>
      </c>
      <c r="K970" s="61">
        <f>I898</f>
        <v>205</v>
      </c>
      <c r="L970" s="61">
        <f>I899</f>
        <v>228</v>
      </c>
      <c r="M970" s="233">
        <f t="shared" si="328"/>
        <v>1.0133333333333334</v>
      </c>
      <c r="N970" s="61">
        <f t="shared" si="324"/>
        <v>829</v>
      </c>
      <c r="O970" s="61">
        <f t="shared" si="329"/>
        <v>920</v>
      </c>
      <c r="P970" s="233">
        <f t="shared" ref="P970:P975" si="331">(O970/N969)</f>
        <v>1.0109890109890109</v>
      </c>
    </row>
    <row r="971" spans="1:17">
      <c r="A971" s="232" t="str">
        <f>$A$406</f>
        <v>2021-22</v>
      </c>
      <c r="B971" s="61">
        <f>J898</f>
        <v>200</v>
      </c>
      <c r="C971" s="61">
        <f>J899</f>
        <v>186</v>
      </c>
      <c r="D971" s="233">
        <f t="shared" si="325"/>
        <v>1.0333333333333334</v>
      </c>
      <c r="E971" s="61">
        <f>K898</f>
        <v>244</v>
      </c>
      <c r="F971" s="61">
        <f>K899</f>
        <v>226</v>
      </c>
      <c r="G971" s="233">
        <f t="shared" si="326"/>
        <v>1.0272727272727273</v>
      </c>
      <c r="H971" s="61">
        <f>L898</f>
        <v>248</v>
      </c>
      <c r="I971" s="61">
        <f>L899</f>
        <v>231</v>
      </c>
      <c r="J971" s="233">
        <f t="shared" si="327"/>
        <v>1.03125</v>
      </c>
      <c r="K971" s="61">
        <f>M898</f>
        <v>228</v>
      </c>
      <c r="L971" s="61">
        <f>M899</f>
        <v>211</v>
      </c>
      <c r="M971" s="233">
        <f t="shared" si="328"/>
        <v>1.0292682926829269</v>
      </c>
      <c r="N971" s="61">
        <f t="shared" si="324"/>
        <v>920</v>
      </c>
      <c r="O971" s="61">
        <f t="shared" si="329"/>
        <v>854</v>
      </c>
      <c r="P971" s="233">
        <f t="shared" si="331"/>
        <v>1.0301568154402896</v>
      </c>
    </row>
    <row r="972" spans="1:17">
      <c r="A972" s="232" t="str">
        <f>$A$407</f>
        <v>2022-23</v>
      </c>
      <c r="B972" s="61">
        <f>N898</f>
        <v>186</v>
      </c>
      <c r="C972" s="61">
        <f>N899</f>
        <v>205</v>
      </c>
      <c r="D972" s="233">
        <f t="shared" si="325"/>
        <v>1.0249999999999999</v>
      </c>
      <c r="E972" s="61">
        <f>O898</f>
        <v>227</v>
      </c>
      <c r="F972" s="61">
        <f>O899</f>
        <v>249</v>
      </c>
      <c r="G972" s="233">
        <f t="shared" si="326"/>
        <v>1.0204918032786885</v>
      </c>
      <c r="H972" s="61">
        <f>P898</f>
        <v>231</v>
      </c>
      <c r="I972" s="61">
        <f>P899</f>
        <v>254</v>
      </c>
      <c r="J972" s="233">
        <f t="shared" si="327"/>
        <v>1.0241935483870968</v>
      </c>
      <c r="K972" s="61">
        <f>Q898</f>
        <v>212</v>
      </c>
      <c r="L972" s="61">
        <f>Q899</f>
        <v>233</v>
      </c>
      <c r="M972" s="233">
        <f t="shared" si="328"/>
        <v>1.0219298245614035</v>
      </c>
      <c r="N972" s="61">
        <f t="shared" si="324"/>
        <v>856</v>
      </c>
      <c r="O972" s="61">
        <f t="shared" si="329"/>
        <v>941</v>
      </c>
      <c r="P972" s="233">
        <f t="shared" si="331"/>
        <v>1.0228260869565218</v>
      </c>
    </row>
    <row r="973" spans="1:17">
      <c r="A973" s="232" t="str">
        <f>$A$408</f>
        <v>2023-24</v>
      </c>
      <c r="B973" s="61">
        <f>R898</f>
        <v>192</v>
      </c>
      <c r="C973" s="61">
        <f>R899</f>
        <v>190</v>
      </c>
      <c r="D973" s="233">
        <f t="shared" si="325"/>
        <v>1.021505376344086</v>
      </c>
      <c r="E973" s="61">
        <f>S898</f>
        <v>235</v>
      </c>
      <c r="F973" s="61">
        <f>S899</f>
        <v>232</v>
      </c>
      <c r="G973" s="233">
        <f t="shared" si="326"/>
        <v>1.0220264317180616</v>
      </c>
      <c r="H973" s="61">
        <f>T898</f>
        <v>239</v>
      </c>
      <c r="I973" s="61">
        <f>T899</f>
        <v>236</v>
      </c>
      <c r="J973" s="233">
        <f t="shared" si="327"/>
        <v>1.0216450216450217</v>
      </c>
      <c r="K973" s="61">
        <f>U898</f>
        <v>219</v>
      </c>
      <c r="L973" s="61">
        <f>U899</f>
        <v>217</v>
      </c>
      <c r="M973" s="233">
        <f t="shared" si="328"/>
        <v>1.0235849056603774</v>
      </c>
      <c r="N973" s="61">
        <f t="shared" si="324"/>
        <v>885</v>
      </c>
      <c r="O973" s="61">
        <f t="shared" si="329"/>
        <v>875</v>
      </c>
      <c r="P973" s="233">
        <f t="shared" si="331"/>
        <v>1.0221962616822431</v>
      </c>
    </row>
    <row r="974" spans="1:17">
      <c r="A974" s="232" t="str">
        <f>$A$409</f>
        <v>2024-25</v>
      </c>
      <c r="B974" s="61">
        <f>V898</f>
        <v>184</v>
      </c>
      <c r="C974" s="61">
        <f>V899</f>
        <v>198</v>
      </c>
      <c r="D974" s="233">
        <f t="shared" si="325"/>
        <v>1.03125</v>
      </c>
      <c r="E974" s="61">
        <f>W898</f>
        <v>229</v>
      </c>
      <c r="F974" s="61">
        <f>W899</f>
        <v>246</v>
      </c>
      <c r="G974" s="233">
        <f t="shared" si="326"/>
        <v>1.0468085106382978</v>
      </c>
      <c r="H974" s="61">
        <f>X898</f>
        <v>225</v>
      </c>
      <c r="I974" s="61">
        <f>X899</f>
        <v>241</v>
      </c>
      <c r="J974" s="233">
        <f t="shared" si="327"/>
        <v>1.00836820083682</v>
      </c>
      <c r="K974" s="61">
        <f>Y898</f>
        <v>210</v>
      </c>
      <c r="L974" s="61">
        <f>Y899</f>
        <v>225</v>
      </c>
      <c r="M974" s="233">
        <f t="shared" si="328"/>
        <v>1.0273972602739727</v>
      </c>
      <c r="N974" s="61">
        <f>B974+E974+H974+K974</f>
        <v>848</v>
      </c>
      <c r="O974" s="61">
        <f>C974+F974+I974+L974</f>
        <v>910</v>
      </c>
      <c r="P974" s="233">
        <f t="shared" si="331"/>
        <v>1.0282485875706215</v>
      </c>
    </row>
    <row r="975" spans="1:17" ht="13.8" thickBot="1">
      <c r="A975" s="234" t="str">
        <f>$A$410</f>
        <v>2025-26</v>
      </c>
      <c r="B975" s="136">
        <f>Z898</f>
        <v>191</v>
      </c>
      <c r="C975" s="136">
        <f>Z899</f>
        <v>190</v>
      </c>
      <c r="D975" s="235">
        <f t="shared" si="325"/>
        <v>1.0326086956521738</v>
      </c>
      <c r="E975" s="136">
        <f>AA898</f>
        <v>237</v>
      </c>
      <c r="F975" s="136">
        <f>AA899</f>
        <v>236</v>
      </c>
      <c r="G975" s="235">
        <f t="shared" si="326"/>
        <v>1.0305676855895196</v>
      </c>
      <c r="H975" s="136">
        <f>AB898</f>
        <v>232</v>
      </c>
      <c r="I975" s="136">
        <f>AB899</f>
        <v>232</v>
      </c>
      <c r="J975" s="235">
        <f t="shared" si="327"/>
        <v>1.0311111111111111</v>
      </c>
      <c r="K975" s="136">
        <f>AC898</f>
        <v>217</v>
      </c>
      <c r="L975" s="136">
        <f>AC899</f>
        <v>216</v>
      </c>
      <c r="M975" s="235">
        <f t="shared" si="328"/>
        <v>1.0285714285714285</v>
      </c>
      <c r="N975" s="136">
        <f>B975+E975+H975+K975</f>
        <v>877</v>
      </c>
      <c r="O975" s="136">
        <f>C975+F975+I975+L975</f>
        <v>874</v>
      </c>
      <c r="P975" s="235">
        <f t="shared" si="331"/>
        <v>1.0306603773584906</v>
      </c>
    </row>
    <row r="976" spans="1:17" ht="13.8" thickTop="1">
      <c r="A976" s="232"/>
      <c r="D976" s="226"/>
      <c r="G976" s="226"/>
      <c r="J976" s="226"/>
      <c r="M976" s="226"/>
      <c r="P976" s="226"/>
    </row>
    <row r="977" spans="1:16">
      <c r="A977" s="236" t="s">
        <v>72</v>
      </c>
      <c r="B977" s="61">
        <f>SUM(B972:B974)</f>
        <v>562</v>
      </c>
      <c r="C977" s="61">
        <f>SUM(C973:C975)</f>
        <v>578</v>
      </c>
      <c r="D977" s="237">
        <f>C977/B977</f>
        <v>1.0284697508896796</v>
      </c>
      <c r="E977" s="61">
        <f>SUM(E972:E974)</f>
        <v>691</v>
      </c>
      <c r="F977" s="61">
        <f>SUM(F973:F975)</f>
        <v>714</v>
      </c>
      <c r="G977" s="237">
        <f>F977/E977</f>
        <v>1.0332850940665701</v>
      </c>
      <c r="H977" s="61">
        <f>SUM(H972:H974)</f>
        <v>695</v>
      </c>
      <c r="I977" s="61">
        <f>SUM(I973:I975)</f>
        <v>709</v>
      </c>
      <c r="J977" s="237">
        <f>I977/H977</f>
        <v>1.0201438848920863</v>
      </c>
      <c r="K977" s="61">
        <f>SUM(K972:K974)</f>
        <v>641</v>
      </c>
      <c r="L977" s="61">
        <f>SUM(L973:L975)</f>
        <v>658</v>
      </c>
      <c r="M977" s="237">
        <f>L977/K977</f>
        <v>1.0265210608424338</v>
      </c>
      <c r="N977" s="61">
        <f>SUM(N972:N974)</f>
        <v>2589</v>
      </c>
      <c r="O977" s="61">
        <f>SUM(O973:O975)</f>
        <v>2659</v>
      </c>
      <c r="P977" s="237">
        <f>O977/N977</f>
        <v>1.0270374662031672</v>
      </c>
    </row>
    <row r="978" spans="1:16">
      <c r="A978" s="236" t="s">
        <v>73</v>
      </c>
      <c r="B978" s="61">
        <f>SUM(B970:B974)</f>
        <v>942</v>
      </c>
      <c r="C978" s="61">
        <f>SUM(C971:C975)</f>
        <v>969</v>
      </c>
      <c r="D978" s="237">
        <f>C978/B978</f>
        <v>1.0286624203821657</v>
      </c>
      <c r="E978" s="61">
        <f>SUM(E970:E974)</f>
        <v>1155</v>
      </c>
      <c r="F978" s="61">
        <f>SUM(F971:F975)</f>
        <v>1189</v>
      </c>
      <c r="G978" s="237">
        <f>F978/E978</f>
        <v>1.0294372294372294</v>
      </c>
      <c r="H978" s="61">
        <f>SUM(H970:H974)</f>
        <v>1167</v>
      </c>
      <c r="I978" s="61">
        <f>SUM(I971:I975)</f>
        <v>1194</v>
      </c>
      <c r="J978" s="237">
        <f>I978/H978</f>
        <v>1.0231362467866323</v>
      </c>
      <c r="K978" s="61">
        <f>SUM(K970:K974)</f>
        <v>1074</v>
      </c>
      <c r="L978" s="61">
        <f>SUM(L971:L975)</f>
        <v>1102</v>
      </c>
      <c r="M978" s="237">
        <f>L978/K978</f>
        <v>1.0260707635009312</v>
      </c>
      <c r="N978" s="61">
        <f>SUM(N970:N974)</f>
        <v>4338</v>
      </c>
      <c r="O978" s="61">
        <f>SUM(O971:O975)</f>
        <v>4454</v>
      </c>
      <c r="P978" s="237">
        <f>O978/N978</f>
        <v>1.0267404333794374</v>
      </c>
    </row>
    <row r="979" spans="1:16" ht="13.8" thickBot="1">
      <c r="A979" s="238" t="s">
        <v>74</v>
      </c>
      <c r="B979" s="136">
        <f>SUM(B965:B974)</f>
        <v>1918</v>
      </c>
      <c r="C979" s="136">
        <f>SUM(C966:C975)</f>
        <v>1979</v>
      </c>
      <c r="D979" s="239">
        <f>C979/B979</f>
        <v>1.0318039624608968</v>
      </c>
      <c r="E979" s="136">
        <f>SUM(E965:E974)</f>
        <v>2343</v>
      </c>
      <c r="F979" s="136">
        <f>SUM(F966:F975)</f>
        <v>2419</v>
      </c>
      <c r="G979" s="239">
        <f>F979/E979</f>
        <v>1.0324370465215535</v>
      </c>
      <c r="H979" s="136">
        <f>SUM(H965:H974)</f>
        <v>2378</v>
      </c>
      <c r="I979" s="136">
        <f>SUM(I966:I975)</f>
        <v>2447</v>
      </c>
      <c r="J979" s="239">
        <f>I979/H979</f>
        <v>1.0290159798149705</v>
      </c>
      <c r="K979" s="136">
        <f>SUM(K965:K974)</f>
        <v>2183</v>
      </c>
      <c r="L979" s="136">
        <f>SUM(L966:L975)</f>
        <v>2251</v>
      </c>
      <c r="M979" s="239">
        <f>L979/K979</f>
        <v>1.0311497938616583</v>
      </c>
      <c r="N979" s="136">
        <f>SUM(N965:N974)</f>
        <v>8822</v>
      </c>
      <c r="O979" s="136">
        <f>SUM(O966:O975)</f>
        <v>9096</v>
      </c>
      <c r="P979" s="239">
        <f>O979/N979</f>
        <v>1.0310587168442531</v>
      </c>
    </row>
    <row r="980" spans="1:16" ht="13.8" thickTop="1"/>
    <row r="982" spans="1:16">
      <c r="A982" s="803" t="s">
        <v>369</v>
      </c>
      <c r="B982" s="803"/>
      <c r="C982" s="803"/>
      <c r="D982" s="803"/>
      <c r="E982" s="803"/>
      <c r="F982" s="803"/>
      <c r="G982" s="803"/>
      <c r="H982" s="803"/>
      <c r="I982" s="803"/>
      <c r="J982" s="803"/>
      <c r="K982" s="803"/>
      <c r="L982" s="803"/>
      <c r="M982" s="803"/>
      <c r="N982" s="803"/>
      <c r="O982" s="803"/>
      <c r="P982" s="803"/>
    </row>
    <row r="984" spans="1:16">
      <c r="A984" s="351" t="s">
        <v>66</v>
      </c>
      <c r="B984" s="788" t="s">
        <v>363</v>
      </c>
      <c r="C984" s="788"/>
      <c r="D984" s="788"/>
      <c r="E984" s="788" t="s">
        <v>36</v>
      </c>
      <c r="F984" s="788"/>
      <c r="G984" s="788"/>
      <c r="H984" s="788" t="s">
        <v>86</v>
      </c>
      <c r="I984" s="788"/>
      <c r="J984" s="788"/>
      <c r="K984" s="788" t="s">
        <v>99</v>
      </c>
      <c r="L984" s="788"/>
      <c r="M984" s="788"/>
      <c r="N984" s="788" t="s">
        <v>52</v>
      </c>
      <c r="O984" s="788"/>
      <c r="P984" s="789"/>
    </row>
    <row r="985" spans="1:16" ht="13.8" thickBot="1">
      <c r="A985" s="447"/>
      <c r="B985" s="242" t="s">
        <v>81</v>
      </c>
      <c r="C985" s="242" t="s">
        <v>291</v>
      </c>
      <c r="D985" s="379" t="s">
        <v>71</v>
      </c>
      <c r="E985" s="242" t="s">
        <v>81</v>
      </c>
      <c r="F985" s="242" t="s">
        <v>291</v>
      </c>
      <c r="G985" s="379" t="s">
        <v>71</v>
      </c>
      <c r="H985" s="242" t="s">
        <v>81</v>
      </c>
      <c r="I985" s="242" t="s">
        <v>291</v>
      </c>
      <c r="J985" s="379" t="s">
        <v>71</v>
      </c>
      <c r="K985" s="242" t="s">
        <v>81</v>
      </c>
      <c r="L985" s="242" t="s">
        <v>291</v>
      </c>
      <c r="M985" s="379" t="s">
        <v>71</v>
      </c>
      <c r="N985" s="242" t="s">
        <v>81</v>
      </c>
      <c r="O985" s="242" t="s">
        <v>291</v>
      </c>
      <c r="P985" s="371" t="s">
        <v>71</v>
      </c>
    </row>
    <row r="986" spans="1:16" ht="13.8" thickTop="1">
      <c r="A986" s="222"/>
      <c r="B986" s="194"/>
      <c r="C986" s="29"/>
      <c r="D986" s="252"/>
      <c r="E986" s="194"/>
      <c r="F986" s="29"/>
      <c r="G986" s="252"/>
      <c r="H986" s="194"/>
      <c r="I986" s="29"/>
      <c r="J986" s="252"/>
      <c r="K986" s="194"/>
      <c r="L986" s="29"/>
      <c r="M986" s="252"/>
      <c r="N986" s="194"/>
      <c r="O986" s="29"/>
      <c r="P986" s="233"/>
    </row>
    <row r="987" spans="1:16">
      <c r="A987" s="232" t="str">
        <f>$A$397</f>
        <v>2012-13</v>
      </c>
      <c r="B987" s="61">
        <f>B883</f>
        <v>186</v>
      </c>
      <c r="D987" s="233"/>
      <c r="E987" s="61">
        <f>C883</f>
        <v>226</v>
      </c>
      <c r="G987" s="233"/>
      <c r="H987" s="61">
        <f>D883</f>
        <v>230</v>
      </c>
      <c r="J987" s="233"/>
      <c r="K987" s="61">
        <f>E883</f>
        <v>211</v>
      </c>
      <c r="M987" s="233"/>
      <c r="N987" s="61">
        <f t="shared" ref="N987:N998" si="332">B987+E987+H987+K987</f>
        <v>853</v>
      </c>
      <c r="P987" s="233"/>
    </row>
    <row r="988" spans="1:16">
      <c r="A988" s="232" t="str">
        <f>$A$398</f>
        <v>2013-14</v>
      </c>
      <c r="B988" s="61">
        <f>F883</f>
        <v>184</v>
      </c>
      <c r="C988" s="61">
        <f>B963</f>
        <v>191</v>
      </c>
      <c r="D988" s="233">
        <f t="shared" ref="D988:D1000" si="333">(C988/B987)</f>
        <v>1.0268817204301075</v>
      </c>
      <c r="E988" s="61">
        <f>G883</f>
        <v>224</v>
      </c>
      <c r="F988" s="61">
        <f>E963</f>
        <v>233</v>
      </c>
      <c r="G988" s="233">
        <f t="shared" ref="G988:G1000" si="334">(F988/E987)</f>
        <v>1.0309734513274336</v>
      </c>
      <c r="H988" s="61">
        <f>H883</f>
        <v>228</v>
      </c>
      <c r="I988" s="61">
        <f>H963</f>
        <v>237</v>
      </c>
      <c r="J988" s="233">
        <f t="shared" ref="J988:J1000" si="335">(I988/H987)</f>
        <v>1.0304347826086957</v>
      </c>
      <c r="K988" s="61">
        <f>I883</f>
        <v>209</v>
      </c>
      <c r="L988" s="61">
        <f>K963</f>
        <v>218</v>
      </c>
      <c r="M988" s="233">
        <f t="shared" ref="M988:M1000" si="336">(L988/K987)</f>
        <v>1.033175355450237</v>
      </c>
      <c r="N988" s="61">
        <f t="shared" si="332"/>
        <v>845</v>
      </c>
      <c r="O988" s="61">
        <f t="shared" ref="O988:O998" si="337">C988+F988+I988+L988</f>
        <v>879</v>
      </c>
      <c r="P988" s="233">
        <f t="shared" ref="P988:P1000" si="338">(O988/N987)</f>
        <v>1.0304806565064479</v>
      </c>
    </row>
    <row r="989" spans="1:16">
      <c r="A989" s="232" t="str">
        <f>$A$399</f>
        <v>2014-15</v>
      </c>
      <c r="B989" s="61">
        <f>J883</f>
        <v>177</v>
      </c>
      <c r="C989" s="61">
        <f t="shared" ref="C989:C1000" si="339">B964</f>
        <v>197</v>
      </c>
      <c r="D989" s="233">
        <f t="shared" si="333"/>
        <v>1.0706521739130435</v>
      </c>
      <c r="E989" s="61">
        <f>K883</f>
        <v>216</v>
      </c>
      <c r="F989" s="61">
        <f t="shared" ref="F989:F1000" si="340">E964</f>
        <v>241</v>
      </c>
      <c r="G989" s="233">
        <f t="shared" si="334"/>
        <v>1.0758928571428572</v>
      </c>
      <c r="H989" s="61">
        <f>L883</f>
        <v>220</v>
      </c>
      <c r="I989" s="61">
        <f t="shared" ref="I989:I1000" si="341">H964</f>
        <v>245</v>
      </c>
      <c r="J989" s="233">
        <f t="shared" si="335"/>
        <v>1.0745614035087718</v>
      </c>
      <c r="K989" s="61">
        <f>M883</f>
        <v>201</v>
      </c>
      <c r="L989" s="61">
        <f t="shared" ref="L989:L1000" si="342">K964</f>
        <v>225</v>
      </c>
      <c r="M989" s="233">
        <f t="shared" si="336"/>
        <v>1.0765550239234449</v>
      </c>
      <c r="N989" s="61">
        <f t="shared" si="332"/>
        <v>814</v>
      </c>
      <c r="O989" s="61">
        <f t="shared" si="337"/>
        <v>908</v>
      </c>
      <c r="P989" s="233">
        <f t="shared" si="338"/>
        <v>1.0745562130177515</v>
      </c>
    </row>
    <row r="990" spans="1:16">
      <c r="A990" s="232" t="str">
        <f>$A$400</f>
        <v>2015-16</v>
      </c>
      <c r="B990" s="61">
        <f>N883</f>
        <v>193</v>
      </c>
      <c r="C990" s="61">
        <f t="shared" si="339"/>
        <v>184</v>
      </c>
      <c r="D990" s="233">
        <f t="shared" si="333"/>
        <v>1.03954802259887</v>
      </c>
      <c r="E990" s="61">
        <f>O883</f>
        <v>235</v>
      </c>
      <c r="F990" s="61">
        <f t="shared" si="340"/>
        <v>224</v>
      </c>
      <c r="G990" s="233">
        <f t="shared" si="334"/>
        <v>1.037037037037037</v>
      </c>
      <c r="H990" s="61">
        <f>P883</f>
        <v>240</v>
      </c>
      <c r="I990" s="61">
        <f t="shared" si="341"/>
        <v>228</v>
      </c>
      <c r="J990" s="233">
        <f t="shared" si="335"/>
        <v>1.0363636363636364</v>
      </c>
      <c r="K990" s="61">
        <f>Q883</f>
        <v>220</v>
      </c>
      <c r="L990" s="61">
        <f t="shared" si="342"/>
        <v>209</v>
      </c>
      <c r="M990" s="233">
        <f t="shared" si="336"/>
        <v>1.0398009950248757</v>
      </c>
      <c r="N990" s="61">
        <f t="shared" si="332"/>
        <v>888</v>
      </c>
      <c r="O990" s="61">
        <f t="shared" si="337"/>
        <v>845</v>
      </c>
      <c r="P990" s="233">
        <f t="shared" si="338"/>
        <v>1.038083538083538</v>
      </c>
    </row>
    <row r="991" spans="1:16">
      <c r="A991" s="232" t="str">
        <f>$A$401</f>
        <v>2016-17</v>
      </c>
      <c r="B991" s="61">
        <f>R883</f>
        <v>185</v>
      </c>
      <c r="C991" s="61">
        <f t="shared" si="339"/>
        <v>208</v>
      </c>
      <c r="D991" s="233">
        <f t="shared" si="333"/>
        <v>1.0777202072538861</v>
      </c>
      <c r="E991" s="61">
        <f>S883</f>
        <v>226</v>
      </c>
      <c r="F991" s="61">
        <f t="shared" si="340"/>
        <v>253</v>
      </c>
      <c r="G991" s="233">
        <f t="shared" si="334"/>
        <v>1.0765957446808512</v>
      </c>
      <c r="H991" s="61">
        <f>T883</f>
        <v>230</v>
      </c>
      <c r="I991" s="61">
        <f t="shared" si="341"/>
        <v>258</v>
      </c>
      <c r="J991" s="233">
        <f t="shared" si="335"/>
        <v>1.075</v>
      </c>
      <c r="K991" s="61">
        <f>U883</f>
        <v>211</v>
      </c>
      <c r="L991" s="61">
        <f t="shared" si="342"/>
        <v>236</v>
      </c>
      <c r="M991" s="233">
        <f t="shared" si="336"/>
        <v>1.0727272727272728</v>
      </c>
      <c r="N991" s="61">
        <f t="shared" si="332"/>
        <v>852</v>
      </c>
      <c r="O991" s="61">
        <f t="shared" si="337"/>
        <v>955</v>
      </c>
      <c r="P991" s="233">
        <f t="shared" si="338"/>
        <v>1.0754504504504505</v>
      </c>
    </row>
    <row r="992" spans="1:16">
      <c r="A992" s="232" t="str">
        <f>$A$402</f>
        <v>2017-18</v>
      </c>
      <c r="B992" s="61">
        <f>V883</f>
        <v>187</v>
      </c>
      <c r="C992" s="61">
        <f t="shared" si="339"/>
        <v>196</v>
      </c>
      <c r="D992" s="233">
        <f t="shared" si="333"/>
        <v>1.0594594594594595</v>
      </c>
      <c r="E992" s="61">
        <f>W883</f>
        <v>228</v>
      </c>
      <c r="F992" s="61">
        <f t="shared" si="340"/>
        <v>239</v>
      </c>
      <c r="G992" s="233">
        <f t="shared" si="334"/>
        <v>1.0575221238938053</v>
      </c>
      <c r="H992" s="61">
        <f>X883</f>
        <v>232</v>
      </c>
      <c r="I992" s="61">
        <f t="shared" si="341"/>
        <v>243</v>
      </c>
      <c r="J992" s="233">
        <f t="shared" si="335"/>
        <v>1.0565217391304347</v>
      </c>
      <c r="K992" s="61">
        <f>Y883</f>
        <v>213</v>
      </c>
      <c r="L992" s="61">
        <f t="shared" si="342"/>
        <v>223</v>
      </c>
      <c r="M992" s="233">
        <f t="shared" si="336"/>
        <v>1.0568720379146919</v>
      </c>
      <c r="N992" s="61">
        <f t="shared" si="332"/>
        <v>860</v>
      </c>
      <c r="O992" s="61">
        <f t="shared" si="337"/>
        <v>901</v>
      </c>
      <c r="P992" s="233">
        <f t="shared" si="338"/>
        <v>1.057511737089202</v>
      </c>
    </row>
    <row r="993" spans="1:17">
      <c r="A993" s="232" t="str">
        <f>$A$403</f>
        <v>2018-19</v>
      </c>
      <c r="B993" s="61">
        <f>Z883</f>
        <v>190</v>
      </c>
      <c r="C993" s="61">
        <f t="shared" si="339"/>
        <v>190</v>
      </c>
      <c r="D993" s="233">
        <f t="shared" si="333"/>
        <v>1.0160427807486632</v>
      </c>
      <c r="E993" s="61">
        <f>AA883</f>
        <v>232</v>
      </c>
      <c r="F993" s="61">
        <f t="shared" si="340"/>
        <v>231</v>
      </c>
      <c r="G993" s="233">
        <f t="shared" si="334"/>
        <v>1.013157894736842</v>
      </c>
      <c r="H993" s="61">
        <f>AB883</f>
        <v>236</v>
      </c>
      <c r="I993" s="61">
        <f t="shared" si="341"/>
        <v>236</v>
      </c>
      <c r="J993" s="233">
        <f t="shared" si="335"/>
        <v>1.0172413793103448</v>
      </c>
      <c r="K993" s="61">
        <f>AC883</f>
        <v>217</v>
      </c>
      <c r="L993" s="61">
        <f t="shared" si="342"/>
        <v>216</v>
      </c>
      <c r="M993" s="233">
        <f t="shared" si="336"/>
        <v>1.0140845070422535</v>
      </c>
      <c r="N993" s="61">
        <f t="shared" si="332"/>
        <v>875</v>
      </c>
      <c r="O993" s="61">
        <f t="shared" si="337"/>
        <v>873</v>
      </c>
      <c r="P993" s="233">
        <f t="shared" si="338"/>
        <v>1.0151162790697674</v>
      </c>
    </row>
    <row r="994" spans="1:17">
      <c r="A994" s="232" t="str">
        <f>$A$404</f>
        <v>2019-20</v>
      </c>
      <c r="B994" s="61">
        <f>B897</f>
        <v>181</v>
      </c>
      <c r="C994" s="61">
        <f t="shared" si="339"/>
        <v>198</v>
      </c>
      <c r="D994" s="233">
        <f t="shared" si="333"/>
        <v>1.0421052631578946</v>
      </c>
      <c r="E994" s="61">
        <f>C897</f>
        <v>220</v>
      </c>
      <c r="F994" s="61">
        <f t="shared" si="340"/>
        <v>241</v>
      </c>
      <c r="G994" s="233">
        <f t="shared" si="334"/>
        <v>1.0387931034482758</v>
      </c>
      <c r="H994" s="61">
        <f>D897</f>
        <v>224</v>
      </c>
      <c r="I994" s="61">
        <f t="shared" si="341"/>
        <v>246</v>
      </c>
      <c r="J994" s="233">
        <f t="shared" si="335"/>
        <v>1.0423728813559323</v>
      </c>
      <c r="K994" s="61">
        <f>E897</f>
        <v>205</v>
      </c>
      <c r="L994" s="61">
        <f t="shared" si="342"/>
        <v>225</v>
      </c>
      <c r="M994" s="233">
        <f t="shared" si="336"/>
        <v>1.0368663594470047</v>
      </c>
      <c r="N994" s="61">
        <f t="shared" si="332"/>
        <v>830</v>
      </c>
      <c r="O994" s="61">
        <f t="shared" si="337"/>
        <v>910</v>
      </c>
      <c r="P994" s="233">
        <f t="shared" si="338"/>
        <v>1.04</v>
      </c>
    </row>
    <row r="995" spans="1:17">
      <c r="A995" s="232" t="str">
        <f>$A$405</f>
        <v>2020-21</v>
      </c>
      <c r="B995" s="61">
        <f>F897</f>
        <v>194</v>
      </c>
      <c r="C995" s="61">
        <f t="shared" si="339"/>
        <v>180</v>
      </c>
      <c r="D995" s="233">
        <f t="shared" si="333"/>
        <v>0.99447513812154698</v>
      </c>
      <c r="E995" s="61">
        <f>G897</f>
        <v>236</v>
      </c>
      <c r="F995" s="61">
        <f t="shared" si="340"/>
        <v>220</v>
      </c>
      <c r="G995" s="233">
        <f t="shared" si="334"/>
        <v>1</v>
      </c>
      <c r="H995" s="61">
        <f>H897</f>
        <v>241</v>
      </c>
      <c r="I995" s="61">
        <f t="shared" si="341"/>
        <v>224</v>
      </c>
      <c r="J995" s="233">
        <f t="shared" si="335"/>
        <v>1</v>
      </c>
      <c r="K995" s="61">
        <f>I897</f>
        <v>221</v>
      </c>
      <c r="L995" s="61">
        <f t="shared" si="342"/>
        <v>205</v>
      </c>
      <c r="M995" s="233">
        <f t="shared" si="336"/>
        <v>1</v>
      </c>
      <c r="N995" s="61">
        <f t="shared" si="332"/>
        <v>892</v>
      </c>
      <c r="O995" s="61">
        <f t="shared" si="337"/>
        <v>829</v>
      </c>
      <c r="P995" s="233">
        <f t="shared" si="338"/>
        <v>0.99879518072289153</v>
      </c>
    </row>
    <row r="996" spans="1:17">
      <c r="A996" s="232" t="str">
        <f>$A$406</f>
        <v>2021-22</v>
      </c>
      <c r="B996" s="61">
        <f>J897</f>
        <v>178</v>
      </c>
      <c r="C996" s="61">
        <f t="shared" si="339"/>
        <v>200</v>
      </c>
      <c r="D996" s="233">
        <f t="shared" si="333"/>
        <v>1.0309278350515463</v>
      </c>
      <c r="E996" s="61">
        <f>K897</f>
        <v>217</v>
      </c>
      <c r="F996" s="61">
        <f t="shared" si="340"/>
        <v>244</v>
      </c>
      <c r="G996" s="233">
        <f t="shared" si="334"/>
        <v>1.0338983050847457</v>
      </c>
      <c r="H996" s="61">
        <f>L897</f>
        <v>221</v>
      </c>
      <c r="I996" s="61">
        <f t="shared" si="341"/>
        <v>248</v>
      </c>
      <c r="J996" s="233">
        <f t="shared" si="335"/>
        <v>1.0290456431535269</v>
      </c>
      <c r="K996" s="61">
        <f>M897</f>
        <v>203</v>
      </c>
      <c r="L996" s="61">
        <f t="shared" si="342"/>
        <v>228</v>
      </c>
      <c r="M996" s="233">
        <f t="shared" si="336"/>
        <v>1.0316742081447965</v>
      </c>
      <c r="N996" s="61">
        <f t="shared" si="332"/>
        <v>819</v>
      </c>
      <c r="O996" s="61">
        <f t="shared" si="337"/>
        <v>920</v>
      </c>
      <c r="P996" s="233">
        <f t="shared" si="338"/>
        <v>1.0313901345291481</v>
      </c>
    </row>
    <row r="997" spans="1:17">
      <c r="A997" s="232" t="str">
        <f>$A$407</f>
        <v>2022-23</v>
      </c>
      <c r="B997" s="61">
        <f>N897</f>
        <v>193</v>
      </c>
      <c r="C997" s="61">
        <f t="shared" si="339"/>
        <v>186</v>
      </c>
      <c r="D997" s="233">
        <f t="shared" si="333"/>
        <v>1.0449438202247192</v>
      </c>
      <c r="E997" s="61">
        <f>O897</f>
        <v>235</v>
      </c>
      <c r="F997" s="61">
        <f t="shared" si="340"/>
        <v>227</v>
      </c>
      <c r="G997" s="233">
        <f t="shared" si="334"/>
        <v>1.0460829493087558</v>
      </c>
      <c r="H997" s="61">
        <f>P897</f>
        <v>240</v>
      </c>
      <c r="I997" s="61">
        <f t="shared" si="341"/>
        <v>231</v>
      </c>
      <c r="J997" s="233">
        <f t="shared" si="335"/>
        <v>1.0452488687782806</v>
      </c>
      <c r="K997" s="61">
        <f>Q897</f>
        <v>220</v>
      </c>
      <c r="L997" s="61">
        <f t="shared" si="342"/>
        <v>212</v>
      </c>
      <c r="M997" s="233">
        <f t="shared" si="336"/>
        <v>1.0443349753694582</v>
      </c>
      <c r="N997" s="61">
        <f t="shared" si="332"/>
        <v>888</v>
      </c>
      <c r="O997" s="61">
        <f t="shared" si="337"/>
        <v>856</v>
      </c>
      <c r="P997" s="233">
        <f t="shared" si="338"/>
        <v>1.0451770451770452</v>
      </c>
    </row>
    <row r="998" spans="1:17">
      <c r="A998" s="232" t="str">
        <f>$A$408</f>
        <v>2023-24</v>
      </c>
      <c r="B998" s="61">
        <f>R897</f>
        <v>182</v>
      </c>
      <c r="C998" s="61">
        <f t="shared" si="339"/>
        <v>192</v>
      </c>
      <c r="D998" s="233">
        <f t="shared" si="333"/>
        <v>0.99481865284974091</v>
      </c>
      <c r="E998" s="61">
        <f>S897</f>
        <v>222</v>
      </c>
      <c r="F998" s="61">
        <f t="shared" si="340"/>
        <v>235</v>
      </c>
      <c r="G998" s="233">
        <f t="shared" si="334"/>
        <v>1</v>
      </c>
      <c r="H998" s="61">
        <f>T897</f>
        <v>226</v>
      </c>
      <c r="I998" s="61">
        <f t="shared" si="341"/>
        <v>239</v>
      </c>
      <c r="J998" s="233">
        <f t="shared" si="335"/>
        <v>0.99583333333333335</v>
      </c>
      <c r="K998" s="61">
        <f>U897</f>
        <v>207</v>
      </c>
      <c r="L998" s="61">
        <f t="shared" si="342"/>
        <v>219</v>
      </c>
      <c r="M998" s="233">
        <f t="shared" si="336"/>
        <v>0.99545454545454548</v>
      </c>
      <c r="N998" s="61">
        <f t="shared" si="332"/>
        <v>837</v>
      </c>
      <c r="O998" s="61">
        <f t="shared" si="337"/>
        <v>885</v>
      </c>
      <c r="P998" s="233">
        <f t="shared" si="338"/>
        <v>0.9966216216216216</v>
      </c>
    </row>
    <row r="999" spans="1:17">
      <c r="A999" s="232" t="str">
        <f>$A$409</f>
        <v>2024-25</v>
      </c>
      <c r="B999" s="61">
        <f>V897</f>
        <v>185</v>
      </c>
      <c r="C999" s="61">
        <f t="shared" si="339"/>
        <v>184</v>
      </c>
      <c r="D999" s="233">
        <f t="shared" si="333"/>
        <v>1.0109890109890109</v>
      </c>
      <c r="E999" s="61">
        <f>W897</f>
        <v>230</v>
      </c>
      <c r="F999" s="61">
        <f t="shared" si="340"/>
        <v>229</v>
      </c>
      <c r="G999" s="233">
        <f t="shared" si="334"/>
        <v>1.0315315315315314</v>
      </c>
      <c r="H999" s="61">
        <f>X897</f>
        <v>225</v>
      </c>
      <c r="I999" s="61">
        <f t="shared" si="341"/>
        <v>225</v>
      </c>
      <c r="J999" s="233">
        <f t="shared" si="335"/>
        <v>0.99557522123893805</v>
      </c>
      <c r="K999" s="61">
        <f>Y897</f>
        <v>210</v>
      </c>
      <c r="L999" s="61">
        <f t="shared" si="342"/>
        <v>210</v>
      </c>
      <c r="M999" s="233">
        <f t="shared" si="336"/>
        <v>1.0144927536231885</v>
      </c>
      <c r="N999" s="61">
        <f>B999+E999+H999+K999</f>
        <v>850</v>
      </c>
      <c r="O999" s="61">
        <f>C999+F999+I999+L999</f>
        <v>848</v>
      </c>
      <c r="P999" s="233">
        <f t="shared" si="338"/>
        <v>1.0131421744324971</v>
      </c>
    </row>
    <row r="1000" spans="1:17" ht="13.8" thickBot="1">
      <c r="A1000" s="234" t="str">
        <f>$A$410</f>
        <v>2025-26</v>
      </c>
      <c r="B1000" s="136">
        <f>Z897</f>
        <v>176</v>
      </c>
      <c r="C1000" s="136">
        <f t="shared" si="339"/>
        <v>191</v>
      </c>
      <c r="D1000" s="235">
        <f t="shared" si="333"/>
        <v>1.0324324324324323</v>
      </c>
      <c r="E1000" s="136">
        <f>AA897</f>
        <v>218</v>
      </c>
      <c r="F1000" s="136">
        <f t="shared" si="340"/>
        <v>237</v>
      </c>
      <c r="G1000" s="235">
        <f t="shared" si="334"/>
        <v>1.0304347826086957</v>
      </c>
      <c r="H1000" s="136">
        <f>AB897</f>
        <v>214</v>
      </c>
      <c r="I1000" s="136">
        <f t="shared" si="341"/>
        <v>232</v>
      </c>
      <c r="J1000" s="235">
        <f t="shared" si="335"/>
        <v>1.0311111111111111</v>
      </c>
      <c r="K1000" s="136">
        <f>AC897</f>
        <v>200</v>
      </c>
      <c r="L1000" s="136">
        <f t="shared" si="342"/>
        <v>217</v>
      </c>
      <c r="M1000" s="235">
        <f t="shared" si="336"/>
        <v>1.0333333333333334</v>
      </c>
      <c r="N1000" s="136">
        <f>B1000+E1000+H1000+K1000</f>
        <v>808</v>
      </c>
      <c r="O1000" s="136">
        <f>C1000+F1000+I1000+L1000</f>
        <v>877</v>
      </c>
      <c r="P1000" s="235">
        <f t="shared" si="338"/>
        <v>1.0317647058823529</v>
      </c>
    </row>
    <row r="1001" spans="1:17" ht="13.8" thickTop="1">
      <c r="A1001" s="232"/>
      <c r="D1001" s="226"/>
      <c r="G1001" s="226"/>
      <c r="J1001" s="226"/>
      <c r="M1001" s="226"/>
      <c r="P1001" s="226"/>
    </row>
    <row r="1002" spans="1:17">
      <c r="A1002" s="236" t="s">
        <v>72</v>
      </c>
      <c r="B1002" s="61">
        <f>SUM(B997:B999)</f>
        <v>560</v>
      </c>
      <c r="C1002" s="61">
        <f>SUM(C998:C1000)</f>
        <v>567</v>
      </c>
      <c r="D1002" s="237">
        <f>C1002/B1002</f>
        <v>1.0125</v>
      </c>
      <c r="E1002" s="61">
        <f>SUM(E997:E999)</f>
        <v>687</v>
      </c>
      <c r="F1002" s="61">
        <f>SUM(F998:F1000)</f>
        <v>701</v>
      </c>
      <c r="G1002" s="237">
        <f>F1002/E1002</f>
        <v>1.0203784570596797</v>
      </c>
      <c r="H1002" s="61">
        <f>SUM(H997:H999)</f>
        <v>691</v>
      </c>
      <c r="I1002" s="61">
        <f>SUM(I998:I1000)</f>
        <v>696</v>
      </c>
      <c r="J1002" s="237">
        <f>I1002/H1002</f>
        <v>1.0072358900144718</v>
      </c>
      <c r="K1002" s="61">
        <f>SUM(K997:K999)</f>
        <v>637</v>
      </c>
      <c r="L1002" s="61">
        <f>SUM(L998:L1000)</f>
        <v>646</v>
      </c>
      <c r="M1002" s="237">
        <f>L1002/K1002</f>
        <v>1.0141287284144427</v>
      </c>
      <c r="N1002" s="61">
        <f>SUM(N997:N999)</f>
        <v>2575</v>
      </c>
      <c r="O1002" s="61">
        <f>SUM(O998:O1000)</f>
        <v>2610</v>
      </c>
      <c r="P1002" s="237">
        <f>O1002/N1002</f>
        <v>1.0135922330097087</v>
      </c>
    </row>
    <row r="1003" spans="1:17">
      <c r="A1003" s="236" t="s">
        <v>73</v>
      </c>
      <c r="B1003" s="61">
        <f>SUM(B995:B999)</f>
        <v>932</v>
      </c>
      <c r="C1003" s="61">
        <f>SUM(C996:C1000)</f>
        <v>953</v>
      </c>
      <c r="D1003" s="237">
        <f>C1003/B1003</f>
        <v>1.0225321888412018</v>
      </c>
      <c r="E1003" s="61">
        <f>SUM(E995:E999)</f>
        <v>1140</v>
      </c>
      <c r="F1003" s="61">
        <f>SUM(F996:F1000)</f>
        <v>1172</v>
      </c>
      <c r="G1003" s="237">
        <f>F1003/E1003</f>
        <v>1.0280701754385966</v>
      </c>
      <c r="H1003" s="61">
        <f>SUM(H995:H999)</f>
        <v>1153</v>
      </c>
      <c r="I1003" s="61">
        <f>SUM(I996:I1000)</f>
        <v>1175</v>
      </c>
      <c r="J1003" s="237">
        <f>I1003/H1003</f>
        <v>1.0190806591500434</v>
      </c>
      <c r="K1003" s="61">
        <f>SUM(K995:K999)</f>
        <v>1061</v>
      </c>
      <c r="L1003" s="61">
        <f>SUM(L996:L1000)</f>
        <v>1086</v>
      </c>
      <c r="M1003" s="237">
        <f>L1003/K1003</f>
        <v>1.0235626767200754</v>
      </c>
      <c r="N1003" s="61">
        <f>SUM(N995:N999)</f>
        <v>4286</v>
      </c>
      <c r="O1003" s="61">
        <f>SUM(O996:O1000)</f>
        <v>4386</v>
      </c>
      <c r="P1003" s="237">
        <f>O1003/N1003</f>
        <v>1.0233317778814746</v>
      </c>
    </row>
    <row r="1004" spans="1:17" ht="13.8" thickBot="1">
      <c r="A1004" s="238" t="s">
        <v>74</v>
      </c>
      <c r="B1004" s="136">
        <f>SUM(B990:B999)</f>
        <v>1868</v>
      </c>
      <c r="C1004" s="136">
        <f>SUM(C991:C1000)</f>
        <v>1925</v>
      </c>
      <c r="D1004" s="239">
        <f>C1004/B1004</f>
        <v>1.0305139186295502</v>
      </c>
      <c r="E1004" s="136">
        <f>SUM(E990:E999)</f>
        <v>2281</v>
      </c>
      <c r="F1004" s="136">
        <f>SUM(F991:F1000)</f>
        <v>2356</v>
      </c>
      <c r="G1004" s="239">
        <f>F1004/E1004</f>
        <v>1.0328803156510302</v>
      </c>
      <c r="H1004" s="136">
        <f>SUM(H990:H999)</f>
        <v>2315</v>
      </c>
      <c r="I1004" s="136">
        <f>SUM(I991:I1000)</f>
        <v>2382</v>
      </c>
      <c r="J1004" s="239">
        <f>I1004/H1004</f>
        <v>1.0289416846652268</v>
      </c>
      <c r="K1004" s="136">
        <f>SUM(K990:K999)</f>
        <v>2127</v>
      </c>
      <c r="L1004" s="136">
        <f>SUM(L991:L1000)</f>
        <v>2191</v>
      </c>
      <c r="M1004" s="239">
        <f>L1004/K1004</f>
        <v>1.0300893276915843</v>
      </c>
      <c r="N1004" s="136">
        <f>SUM(N990:N999)</f>
        <v>8591</v>
      </c>
      <c r="O1004" s="136">
        <f>SUM(O991:O1000)</f>
        <v>8854</v>
      </c>
      <c r="P1004" s="239">
        <f>O1004/N1004</f>
        <v>1.0306134326620882</v>
      </c>
    </row>
    <row r="1005" spans="1:17" ht="13.8" thickTop="1"/>
    <row r="1008" spans="1:17">
      <c r="A1008" s="448"/>
      <c r="B1008" s="807" t="s">
        <v>411</v>
      </c>
      <c r="C1008" s="807"/>
      <c r="D1008" s="807"/>
      <c r="E1008" s="807"/>
      <c r="F1008" s="807" t="s">
        <v>450</v>
      </c>
      <c r="G1008" s="807"/>
      <c r="H1008" s="807"/>
      <c r="I1008" s="807"/>
      <c r="J1008" s="807" t="s">
        <v>451</v>
      </c>
      <c r="K1008" s="807"/>
      <c r="L1008" s="807"/>
      <c r="M1008" s="807"/>
      <c r="N1008" s="808" t="s">
        <v>452</v>
      </c>
      <c r="O1008" s="808"/>
      <c r="P1008" s="808"/>
      <c r="Q1008" s="808"/>
    </row>
    <row r="1009" spans="1:31" s="82" customFormat="1">
      <c r="A1009" s="245"/>
      <c r="B1009" s="245" t="s">
        <v>363</v>
      </c>
      <c r="C1009" s="245" t="s">
        <v>36</v>
      </c>
      <c r="D1009" s="245" t="s">
        <v>86</v>
      </c>
      <c r="E1009" s="245" t="s">
        <v>99</v>
      </c>
      <c r="F1009" s="245" t="s">
        <v>363</v>
      </c>
      <c r="G1009" s="245" t="s">
        <v>36</v>
      </c>
      <c r="H1009" s="245" t="s">
        <v>86</v>
      </c>
      <c r="I1009" s="245" t="s">
        <v>99</v>
      </c>
      <c r="J1009" s="245" t="s">
        <v>363</v>
      </c>
      <c r="K1009" s="245" t="s">
        <v>36</v>
      </c>
      <c r="L1009" s="245" t="s">
        <v>86</v>
      </c>
      <c r="M1009" s="245" t="s">
        <v>99</v>
      </c>
      <c r="N1009" s="245" t="s">
        <v>363</v>
      </c>
      <c r="O1009" s="245" t="s">
        <v>36</v>
      </c>
      <c r="P1009" s="245" t="s">
        <v>86</v>
      </c>
      <c r="Q1009" s="245" t="s">
        <v>99</v>
      </c>
    </row>
    <row r="1010" spans="1:31" s="82" customFormat="1">
      <c r="A1010" s="248" t="s">
        <v>81</v>
      </c>
      <c r="B1010" s="245">
        <f>Z897</f>
        <v>176</v>
      </c>
      <c r="C1010" s="245">
        <f t="shared" ref="B1010:E1014" si="343">AA897</f>
        <v>218</v>
      </c>
      <c r="D1010" s="245">
        <f t="shared" si="343"/>
        <v>214</v>
      </c>
      <c r="E1010" s="245">
        <f t="shared" si="343"/>
        <v>200</v>
      </c>
      <c r="F1010" s="245"/>
      <c r="G1010" s="245"/>
      <c r="H1010" s="245"/>
      <c r="I1010" s="245"/>
      <c r="J1010" s="245"/>
      <c r="K1010" s="245"/>
      <c r="L1010" s="245"/>
      <c r="M1010" s="245"/>
      <c r="N1010" s="245"/>
      <c r="O1010" s="245"/>
      <c r="P1010" s="245"/>
      <c r="Q1010" s="245"/>
    </row>
    <row r="1011" spans="1:31">
      <c r="A1011" s="244" t="s">
        <v>291</v>
      </c>
      <c r="B1011" s="245">
        <f>Z898</f>
        <v>191</v>
      </c>
      <c r="C1011" s="245">
        <f t="shared" si="343"/>
        <v>237</v>
      </c>
      <c r="D1011" s="245">
        <f t="shared" si="343"/>
        <v>232</v>
      </c>
      <c r="E1011" s="245">
        <f t="shared" si="343"/>
        <v>217</v>
      </c>
      <c r="F1011" s="245">
        <f>ROUND(B1010*D1002,0)</f>
        <v>178</v>
      </c>
      <c r="G1011" s="245">
        <f>ROUND(C1010*G1002,0)</f>
        <v>222</v>
      </c>
      <c r="H1011" s="245">
        <f>ROUND(D1010*J1002,0)</f>
        <v>216</v>
      </c>
      <c r="I1011" s="245">
        <f>ROUND(E1010*M1002,0)</f>
        <v>203</v>
      </c>
      <c r="J1011" s="244"/>
      <c r="K1011" s="244"/>
      <c r="L1011" s="244"/>
      <c r="M1011" s="244"/>
      <c r="N1011" s="244"/>
      <c r="O1011" s="244"/>
      <c r="P1011" s="244"/>
      <c r="Q1011" s="244"/>
    </row>
    <row r="1012" spans="1:31">
      <c r="A1012" s="244" t="s">
        <v>82</v>
      </c>
      <c r="B1012" s="245">
        <f t="shared" si="343"/>
        <v>190</v>
      </c>
      <c r="C1012" s="245">
        <f t="shared" si="343"/>
        <v>236</v>
      </c>
      <c r="D1012" s="245">
        <f t="shared" si="343"/>
        <v>232</v>
      </c>
      <c r="E1012" s="245">
        <f t="shared" si="343"/>
        <v>216</v>
      </c>
      <c r="F1012" s="245">
        <f>ROUND(B1011*D977,0)</f>
        <v>196</v>
      </c>
      <c r="G1012" s="246">
        <f>C1011*G977</f>
        <v>244.8885672937771</v>
      </c>
      <c r="H1012" s="246">
        <f>D1011*J977</f>
        <v>236.67338129496403</v>
      </c>
      <c r="I1012" s="246">
        <f>E1011*M977</f>
        <v>222.75507020280813</v>
      </c>
      <c r="J1012" s="246">
        <f>F1011*D977</f>
        <v>183.06761565836297</v>
      </c>
      <c r="K1012" s="245">
        <f>ROUND(G1011*G977,0)</f>
        <v>229</v>
      </c>
      <c r="L1012" s="245">
        <f>ROUND(H1011*J977,0)</f>
        <v>220</v>
      </c>
      <c r="M1012" s="245">
        <f>ROUND(I1011*M977,0)</f>
        <v>208</v>
      </c>
      <c r="N1012" s="244"/>
      <c r="O1012" s="244"/>
      <c r="P1012" s="244"/>
      <c r="Q1012" s="244"/>
    </row>
    <row r="1013" spans="1:31">
      <c r="A1013" s="244" t="s">
        <v>83</v>
      </c>
      <c r="B1013" s="245">
        <f t="shared" si="343"/>
        <v>201</v>
      </c>
      <c r="C1013" s="245">
        <f t="shared" si="343"/>
        <v>249</v>
      </c>
      <c r="D1013" s="245">
        <f t="shared" si="343"/>
        <v>245</v>
      </c>
      <c r="E1013" s="245">
        <f t="shared" si="343"/>
        <v>228</v>
      </c>
      <c r="F1013" s="245">
        <f>ROUND(B1012*D952,0)</f>
        <v>193</v>
      </c>
      <c r="G1013" s="246">
        <f>C1012*G952</f>
        <v>240.86932599724898</v>
      </c>
      <c r="H1013" s="246">
        <f>D1012*J952</f>
        <v>234.53898768809853</v>
      </c>
      <c r="I1013" s="246">
        <f>E1012*M952</f>
        <v>218.88000000000002</v>
      </c>
      <c r="J1013" s="246">
        <f>F1012*D952</f>
        <v>198.97470489038784</v>
      </c>
      <c r="K1013" s="246">
        <f>G1012*G952</f>
        <v>249.9412887647629</v>
      </c>
      <c r="L1013" s="246">
        <f>H1012*J952</f>
        <v>239.26351405879404</v>
      </c>
      <c r="M1013" s="246">
        <f>I1012*M952</f>
        <v>225.72513780551225</v>
      </c>
      <c r="N1013" s="246">
        <f>J1012*D952</f>
        <v>185.84604490106997</v>
      </c>
      <c r="O1013" s="246">
        <f>K1012*G952</f>
        <v>233.72489683631363</v>
      </c>
      <c r="P1013" s="246">
        <f>L1012*J952</f>
        <v>222.40766073871413</v>
      </c>
      <c r="Q1013" s="246">
        <f>M1012*M952</f>
        <v>210.77333333333334</v>
      </c>
    </row>
    <row r="1014" spans="1:31">
      <c r="A1014" s="244" t="s">
        <v>87</v>
      </c>
      <c r="B1014" s="245">
        <f t="shared" si="343"/>
        <v>176</v>
      </c>
      <c r="C1014" s="245">
        <f t="shared" si="343"/>
        <v>246</v>
      </c>
      <c r="D1014" s="245">
        <f t="shared" si="343"/>
        <v>232</v>
      </c>
      <c r="E1014" s="245">
        <f t="shared" si="343"/>
        <v>297</v>
      </c>
      <c r="F1014" s="245">
        <f>ROUND(B1013*D926,0)</f>
        <v>190</v>
      </c>
      <c r="G1014" s="246">
        <f>C1013*G926</f>
        <v>244.8729281767956</v>
      </c>
      <c r="H1014" s="246">
        <f>D1013*J926</f>
        <v>245</v>
      </c>
      <c r="I1014" s="246">
        <f>E1013*M926</f>
        <v>284.32142857142856</v>
      </c>
      <c r="J1014" s="246">
        <f>F1013*D926</f>
        <v>182.87648054145515</v>
      </c>
      <c r="K1014" s="246">
        <f>G1013*G926</f>
        <v>236.87701672657636</v>
      </c>
      <c r="L1014" s="246">
        <f>H1013*J926</f>
        <v>234.53898768809853</v>
      </c>
      <c r="M1014" s="246">
        <f>I1013*M926</f>
        <v>272.94857142857148</v>
      </c>
      <c r="N1014" s="246">
        <f>K1013*D926</f>
        <v>236.83100119842169</v>
      </c>
      <c r="O1014" s="246">
        <f>K1013*G926</f>
        <v>245.79861547031933</v>
      </c>
      <c r="P1014" s="246">
        <f>L1013*J926</f>
        <v>239.26351405879404</v>
      </c>
      <c r="Q1014" s="246">
        <f>M1013*M926</f>
        <v>281.48462125151678</v>
      </c>
    </row>
    <row r="1016" spans="1:31">
      <c r="I1016" s="89" t="s">
        <v>102</v>
      </c>
    </row>
    <row r="1018" spans="1:31">
      <c r="A1018" s="339"/>
    </row>
    <row r="1019" spans="1:31" ht="13.8" thickBot="1">
      <c r="A1019" s="156"/>
      <c r="B1019" s="784" t="str">
        <f>$A$397</f>
        <v>2012-13</v>
      </c>
      <c r="C1019" s="785"/>
      <c r="D1019" s="785"/>
      <c r="E1019" s="786"/>
      <c r="F1019" s="784" t="str">
        <f>$A$398</f>
        <v>2013-14</v>
      </c>
      <c r="G1019" s="785"/>
      <c r="H1019" s="785"/>
      <c r="I1019" s="786"/>
      <c r="J1019" s="784" t="str">
        <f>$A$399</f>
        <v>2014-15</v>
      </c>
      <c r="K1019" s="785"/>
      <c r="L1019" s="785"/>
      <c r="M1019" s="786"/>
      <c r="N1019" s="784" t="str">
        <f>$A$400</f>
        <v>2015-16</v>
      </c>
      <c r="O1019" s="785"/>
      <c r="P1019" s="785"/>
      <c r="Q1019" s="786"/>
      <c r="R1019" s="781" t="str">
        <f>$A$401</f>
        <v>2016-17</v>
      </c>
      <c r="S1019" s="782"/>
      <c r="T1019" s="782"/>
      <c r="U1019" s="783"/>
      <c r="V1019" s="781" t="str">
        <f>$A$402</f>
        <v>2017-18</v>
      </c>
      <c r="W1019" s="782"/>
      <c r="X1019" s="782"/>
      <c r="Y1019" s="783"/>
      <c r="Z1019" s="781" t="str">
        <f>$A$403</f>
        <v>2018-19</v>
      </c>
      <c r="AA1019" s="782"/>
      <c r="AB1019" s="782"/>
      <c r="AC1019" s="783"/>
      <c r="AD1019" s="89"/>
      <c r="AE1019" s="89"/>
    </row>
    <row r="1020" spans="1:31" ht="13.8" thickTop="1">
      <c r="A1020" s="194"/>
      <c r="B1020" s="460"/>
      <c r="C1020" s="459"/>
      <c r="D1020" s="459"/>
      <c r="E1020" s="461"/>
      <c r="F1020" s="460"/>
      <c r="G1020" s="459"/>
      <c r="H1020" s="459"/>
      <c r="I1020" s="461"/>
      <c r="J1020" s="460"/>
      <c r="K1020" s="459"/>
      <c r="L1020" s="459"/>
      <c r="M1020" s="461"/>
      <c r="N1020" s="460"/>
      <c r="O1020" s="459"/>
      <c r="P1020" s="459"/>
      <c r="Q1020" s="461"/>
      <c r="R1020" s="394"/>
      <c r="S1020" s="165"/>
      <c r="T1020" s="165"/>
      <c r="U1020" s="354"/>
      <c r="V1020" s="394"/>
      <c r="W1020" s="165"/>
      <c r="X1020" s="165"/>
      <c r="Y1020" s="354"/>
      <c r="Z1020" s="394"/>
      <c r="AA1020" s="165"/>
      <c r="AB1020" s="165"/>
      <c r="AC1020" s="354"/>
      <c r="AD1020" s="89"/>
      <c r="AE1020" s="89"/>
    </row>
    <row r="1021" spans="1:31">
      <c r="A1021" s="439"/>
      <c r="B1021" s="430" t="s">
        <v>346</v>
      </c>
      <c r="C1021" s="320" t="s">
        <v>90</v>
      </c>
      <c r="D1021" s="320" t="s">
        <v>103</v>
      </c>
      <c r="E1021" s="428" t="s">
        <v>27</v>
      </c>
      <c r="F1021" s="430" t="s">
        <v>346</v>
      </c>
      <c r="G1021" s="320" t="s">
        <v>90</v>
      </c>
      <c r="H1021" s="320" t="s">
        <v>103</v>
      </c>
      <c r="I1021" s="428" t="s">
        <v>27</v>
      </c>
      <c r="J1021" s="430" t="s">
        <v>346</v>
      </c>
      <c r="K1021" s="320" t="s">
        <v>90</v>
      </c>
      <c r="L1021" s="320" t="s">
        <v>103</v>
      </c>
      <c r="M1021" s="428" t="s">
        <v>27</v>
      </c>
      <c r="N1021" s="430" t="s">
        <v>346</v>
      </c>
      <c r="O1021" s="320" t="s">
        <v>90</v>
      </c>
      <c r="P1021" s="320" t="s">
        <v>103</v>
      </c>
      <c r="Q1021" s="428" t="s">
        <v>27</v>
      </c>
      <c r="R1021" s="430" t="s">
        <v>346</v>
      </c>
      <c r="S1021" s="320" t="s">
        <v>90</v>
      </c>
      <c r="T1021" s="320" t="s">
        <v>103</v>
      </c>
      <c r="U1021" s="428" t="s">
        <v>27</v>
      </c>
      <c r="V1021" s="430" t="s">
        <v>346</v>
      </c>
      <c r="W1021" s="320" t="s">
        <v>90</v>
      </c>
      <c r="X1021" s="320" t="s">
        <v>103</v>
      </c>
      <c r="Y1021" s="428" t="s">
        <v>27</v>
      </c>
      <c r="Z1021" s="430" t="s">
        <v>346</v>
      </c>
      <c r="AA1021" s="320" t="s">
        <v>90</v>
      </c>
      <c r="AB1021" s="320" t="s">
        <v>103</v>
      </c>
      <c r="AC1021" s="428" t="s">
        <v>27</v>
      </c>
    </row>
    <row r="1022" spans="1:31">
      <c r="A1022" s="352" t="s">
        <v>292</v>
      </c>
      <c r="B1022" s="452">
        <f t="shared" ref="B1022:B1030" si="344">ROUND(S330*0.24,0)</f>
        <v>177</v>
      </c>
      <c r="C1022" s="458">
        <f t="shared" ref="C1022:C1030" si="345">ROUND(S330*0.42,0)</f>
        <v>310</v>
      </c>
      <c r="D1022" s="458">
        <f t="shared" ref="D1022:D1030" si="346">ROUND(S330*0.34,0)</f>
        <v>251</v>
      </c>
      <c r="E1022" s="451">
        <f>SUM(B1022:D1022)</f>
        <v>738</v>
      </c>
      <c r="F1022" s="452">
        <f t="shared" ref="F1022:F1030" si="347">ROUND(S308*0.24,0)</f>
        <v>201</v>
      </c>
      <c r="G1022" s="458">
        <f t="shared" ref="G1022:G1030" si="348">ROUND(S308*0.42,0)</f>
        <v>352</v>
      </c>
      <c r="H1022" s="458">
        <f t="shared" ref="H1022:H1030" si="349">ROUND(S308*0.34,0)</f>
        <v>285</v>
      </c>
      <c r="I1022" s="451">
        <f>SUM(F1022:H1022)</f>
        <v>838</v>
      </c>
      <c r="J1022" s="452">
        <f t="shared" ref="J1022:J1030" si="350">ROUND(S286*0.24,0)</f>
        <v>178</v>
      </c>
      <c r="K1022" s="458">
        <f t="shared" ref="K1022:K1030" si="351">ROUND(S286*0.42,0)</f>
        <v>312</v>
      </c>
      <c r="L1022" s="458">
        <f t="shared" ref="L1022:L1030" si="352">ROUND(S286*0.34,0)</f>
        <v>253</v>
      </c>
      <c r="M1022" s="451">
        <f>SUM(J1022:L1022)</f>
        <v>743</v>
      </c>
      <c r="N1022" s="452">
        <f t="shared" ref="N1022:N1030" si="353">ROUND(S264*0.24,0)</f>
        <v>187</v>
      </c>
      <c r="O1022" s="458">
        <f t="shared" ref="O1022:O1030" si="354">ROUND(S264*0.42,0)</f>
        <v>327</v>
      </c>
      <c r="P1022" s="458">
        <f t="shared" ref="P1022:P1030" si="355">ROUND(S264*0.34,0)</f>
        <v>265</v>
      </c>
      <c r="Q1022" s="451">
        <f>SUM(N1022:P1022)</f>
        <v>779</v>
      </c>
      <c r="R1022" s="452">
        <f t="shared" ref="R1022:R1030" si="356">ROUND(S242*0.24,0)</f>
        <v>194</v>
      </c>
      <c r="S1022" s="458">
        <f t="shared" ref="S1022:S1030" si="357">ROUND(S242*0.42,0)</f>
        <v>340</v>
      </c>
      <c r="T1022" s="458">
        <f t="shared" ref="T1022:T1030" si="358">ROUND(S242*0.34,0)</f>
        <v>275</v>
      </c>
      <c r="U1022" s="451">
        <f>SUM(R1022:T1022)</f>
        <v>809</v>
      </c>
      <c r="V1022" s="452">
        <f t="shared" ref="V1022:V1030" si="359">ROUND(S220*0.24,0)</f>
        <v>184</v>
      </c>
      <c r="W1022" s="458">
        <f t="shared" ref="W1022:W1030" si="360">ROUND(S220*0.42,0)</f>
        <v>322</v>
      </c>
      <c r="X1022" s="458">
        <f t="shared" ref="X1022:X1030" si="361">ROUND(S220*0.34,0)</f>
        <v>261</v>
      </c>
      <c r="Y1022" s="451">
        <f>SUM(V1022:X1022)</f>
        <v>767</v>
      </c>
      <c r="Z1022" s="452">
        <f t="shared" ref="Z1022:Z1030" si="362">ROUND(S198*0.24,0)</f>
        <v>206</v>
      </c>
      <c r="AA1022" s="458">
        <f t="shared" ref="AA1022:AA1030" si="363">ROUND(S198*0.42,0)</f>
        <v>360</v>
      </c>
      <c r="AB1022" s="458">
        <f t="shared" ref="AB1022:AB1030" si="364">ROUND(S198*0.34,0)</f>
        <v>291</v>
      </c>
      <c r="AC1022" s="451">
        <f>SUM(Z1022:AB1022)</f>
        <v>857</v>
      </c>
    </row>
    <row r="1023" spans="1:31">
      <c r="A1023" s="432" t="s">
        <v>293</v>
      </c>
      <c r="B1023" s="452">
        <f t="shared" si="344"/>
        <v>198</v>
      </c>
      <c r="C1023" s="458">
        <f t="shared" si="345"/>
        <v>347</v>
      </c>
      <c r="D1023" s="458">
        <f t="shared" si="346"/>
        <v>281</v>
      </c>
      <c r="E1023" s="451">
        <f t="shared" ref="E1023:E1031" si="365">SUM(B1023:D1023)</f>
        <v>826</v>
      </c>
      <c r="F1023" s="452">
        <f t="shared" si="347"/>
        <v>191</v>
      </c>
      <c r="G1023" s="458">
        <f t="shared" si="348"/>
        <v>335</v>
      </c>
      <c r="H1023" s="458">
        <f t="shared" si="349"/>
        <v>271</v>
      </c>
      <c r="I1023" s="451">
        <f t="shared" ref="I1023:I1031" si="366">SUM(F1023:H1023)</f>
        <v>797</v>
      </c>
      <c r="J1023" s="452">
        <f t="shared" si="350"/>
        <v>207</v>
      </c>
      <c r="K1023" s="458">
        <f t="shared" si="351"/>
        <v>362</v>
      </c>
      <c r="L1023" s="458">
        <f t="shared" si="352"/>
        <v>293</v>
      </c>
      <c r="M1023" s="451">
        <f t="shared" ref="M1023:M1031" si="367">SUM(J1023:L1023)</f>
        <v>862</v>
      </c>
      <c r="N1023" s="452">
        <f t="shared" si="353"/>
        <v>190</v>
      </c>
      <c r="O1023" s="458">
        <f t="shared" si="354"/>
        <v>333</v>
      </c>
      <c r="P1023" s="458">
        <f t="shared" si="355"/>
        <v>269</v>
      </c>
      <c r="Q1023" s="451">
        <f t="shared" ref="Q1023:Q1035" si="368">SUM(N1023:P1023)</f>
        <v>792</v>
      </c>
      <c r="R1023" s="452">
        <f t="shared" si="356"/>
        <v>201</v>
      </c>
      <c r="S1023" s="458">
        <f t="shared" si="357"/>
        <v>351</v>
      </c>
      <c r="T1023" s="458">
        <f t="shared" si="358"/>
        <v>284</v>
      </c>
      <c r="U1023" s="451">
        <f t="shared" ref="U1023:U1035" si="369">SUM(R1023:T1023)</f>
        <v>836</v>
      </c>
      <c r="V1023" s="452">
        <f t="shared" si="359"/>
        <v>199</v>
      </c>
      <c r="W1023" s="458">
        <f t="shared" si="360"/>
        <v>349</v>
      </c>
      <c r="X1023" s="458">
        <f t="shared" si="361"/>
        <v>283</v>
      </c>
      <c r="Y1023" s="451">
        <f t="shared" ref="Y1023:Y1035" si="370">SUM(V1023:X1023)</f>
        <v>831</v>
      </c>
      <c r="Z1023" s="452">
        <f t="shared" si="362"/>
        <v>192</v>
      </c>
      <c r="AA1023" s="458">
        <f t="shared" si="363"/>
        <v>336</v>
      </c>
      <c r="AB1023" s="458">
        <f t="shared" si="364"/>
        <v>272</v>
      </c>
      <c r="AC1023" s="451">
        <f t="shared" ref="AC1023:AC1030" si="371">SUM(Z1023:AB1023)</f>
        <v>800</v>
      </c>
    </row>
    <row r="1024" spans="1:31">
      <c r="A1024" s="429" t="s">
        <v>294</v>
      </c>
      <c r="B1024" s="452">
        <f t="shared" si="344"/>
        <v>205</v>
      </c>
      <c r="C1024" s="458">
        <f t="shared" si="345"/>
        <v>358</v>
      </c>
      <c r="D1024" s="458">
        <f t="shared" si="346"/>
        <v>290</v>
      </c>
      <c r="E1024" s="451">
        <f t="shared" si="365"/>
        <v>853</v>
      </c>
      <c r="F1024" s="452">
        <f t="shared" si="347"/>
        <v>203</v>
      </c>
      <c r="G1024" s="458">
        <f t="shared" si="348"/>
        <v>355</v>
      </c>
      <c r="H1024" s="458">
        <f t="shared" si="349"/>
        <v>287</v>
      </c>
      <c r="I1024" s="451">
        <f t="shared" si="366"/>
        <v>845</v>
      </c>
      <c r="J1024" s="452">
        <f t="shared" si="350"/>
        <v>195</v>
      </c>
      <c r="K1024" s="458">
        <f t="shared" si="351"/>
        <v>342</v>
      </c>
      <c r="L1024" s="458">
        <f t="shared" si="352"/>
        <v>277</v>
      </c>
      <c r="M1024" s="451">
        <f t="shared" si="367"/>
        <v>814</v>
      </c>
      <c r="N1024" s="452">
        <f t="shared" si="353"/>
        <v>213</v>
      </c>
      <c r="O1024" s="458">
        <f t="shared" si="354"/>
        <v>373</v>
      </c>
      <c r="P1024" s="458">
        <f t="shared" si="355"/>
        <v>302</v>
      </c>
      <c r="Q1024" s="451">
        <f t="shared" si="368"/>
        <v>888</v>
      </c>
      <c r="R1024" s="452">
        <f t="shared" si="356"/>
        <v>204</v>
      </c>
      <c r="S1024" s="458">
        <f t="shared" si="357"/>
        <v>358</v>
      </c>
      <c r="T1024" s="458">
        <f t="shared" si="358"/>
        <v>290</v>
      </c>
      <c r="U1024" s="451">
        <f t="shared" si="369"/>
        <v>852</v>
      </c>
      <c r="V1024" s="452">
        <f t="shared" si="359"/>
        <v>207</v>
      </c>
      <c r="W1024" s="458">
        <f t="shared" si="360"/>
        <v>362</v>
      </c>
      <c r="X1024" s="458">
        <f t="shared" si="361"/>
        <v>293</v>
      </c>
      <c r="Y1024" s="451">
        <f t="shared" si="370"/>
        <v>862</v>
      </c>
      <c r="Z1024" s="452">
        <f t="shared" si="362"/>
        <v>210</v>
      </c>
      <c r="AA1024" s="458">
        <f t="shared" si="363"/>
        <v>368</v>
      </c>
      <c r="AB1024" s="458">
        <f t="shared" si="364"/>
        <v>298</v>
      </c>
      <c r="AC1024" s="451">
        <f t="shared" si="371"/>
        <v>876</v>
      </c>
    </row>
    <row r="1025" spans="1:29">
      <c r="A1025" s="429" t="s">
        <v>295</v>
      </c>
      <c r="B1025" s="452">
        <f t="shared" si="344"/>
        <v>212</v>
      </c>
      <c r="C1025" s="458">
        <f t="shared" si="345"/>
        <v>370</v>
      </c>
      <c r="D1025" s="458">
        <f t="shared" si="346"/>
        <v>300</v>
      </c>
      <c r="E1025" s="451">
        <f t="shared" si="365"/>
        <v>882</v>
      </c>
      <c r="F1025" s="452">
        <f t="shared" si="347"/>
        <v>211</v>
      </c>
      <c r="G1025" s="458">
        <f t="shared" si="348"/>
        <v>369</v>
      </c>
      <c r="H1025" s="458">
        <f t="shared" si="349"/>
        <v>299</v>
      </c>
      <c r="I1025" s="451">
        <f t="shared" si="366"/>
        <v>879</v>
      </c>
      <c r="J1025" s="452">
        <f t="shared" si="350"/>
        <v>218</v>
      </c>
      <c r="K1025" s="458">
        <f t="shared" si="351"/>
        <v>381</v>
      </c>
      <c r="L1025" s="458">
        <f t="shared" si="352"/>
        <v>309</v>
      </c>
      <c r="M1025" s="451">
        <f t="shared" si="367"/>
        <v>908</v>
      </c>
      <c r="N1025" s="452">
        <f t="shared" si="353"/>
        <v>203</v>
      </c>
      <c r="O1025" s="458">
        <f t="shared" si="354"/>
        <v>354</v>
      </c>
      <c r="P1025" s="458">
        <f t="shared" si="355"/>
        <v>287</v>
      </c>
      <c r="Q1025" s="451">
        <f t="shared" si="368"/>
        <v>844</v>
      </c>
      <c r="R1025" s="452">
        <f t="shared" si="356"/>
        <v>229</v>
      </c>
      <c r="S1025" s="458">
        <f t="shared" si="357"/>
        <v>401</v>
      </c>
      <c r="T1025" s="458">
        <f t="shared" si="358"/>
        <v>325</v>
      </c>
      <c r="U1025" s="451">
        <f t="shared" si="369"/>
        <v>955</v>
      </c>
      <c r="V1025" s="452">
        <f t="shared" si="359"/>
        <v>216</v>
      </c>
      <c r="W1025" s="458">
        <f t="shared" si="360"/>
        <v>378</v>
      </c>
      <c r="X1025" s="458">
        <f t="shared" si="361"/>
        <v>306</v>
      </c>
      <c r="Y1025" s="451">
        <f t="shared" si="370"/>
        <v>900</v>
      </c>
      <c r="Z1025" s="452">
        <f t="shared" si="362"/>
        <v>210</v>
      </c>
      <c r="AA1025" s="458">
        <f t="shared" si="363"/>
        <v>367</v>
      </c>
      <c r="AB1025" s="458">
        <f t="shared" si="364"/>
        <v>297</v>
      </c>
      <c r="AC1025" s="451">
        <f t="shared" si="371"/>
        <v>874</v>
      </c>
    </row>
    <row r="1026" spans="1:29">
      <c r="A1026" s="433">
        <v>4</v>
      </c>
      <c r="B1026" s="452">
        <f t="shared" si="344"/>
        <v>215</v>
      </c>
      <c r="C1026" s="458">
        <f t="shared" si="345"/>
        <v>377</v>
      </c>
      <c r="D1026" s="458">
        <f t="shared" si="346"/>
        <v>305</v>
      </c>
      <c r="E1026" s="451">
        <f t="shared" si="365"/>
        <v>897</v>
      </c>
      <c r="F1026" s="452">
        <f t="shared" si="347"/>
        <v>222</v>
      </c>
      <c r="G1026" s="458">
        <f t="shared" si="348"/>
        <v>389</v>
      </c>
      <c r="H1026" s="458">
        <f t="shared" si="349"/>
        <v>315</v>
      </c>
      <c r="I1026" s="451">
        <f t="shared" si="366"/>
        <v>926</v>
      </c>
      <c r="J1026" s="452">
        <f t="shared" si="350"/>
        <v>217</v>
      </c>
      <c r="K1026" s="458">
        <f t="shared" si="351"/>
        <v>380</v>
      </c>
      <c r="L1026" s="458">
        <f t="shared" si="352"/>
        <v>307</v>
      </c>
      <c r="M1026" s="451">
        <f t="shared" si="367"/>
        <v>904</v>
      </c>
      <c r="N1026" s="452">
        <f t="shared" si="353"/>
        <v>228</v>
      </c>
      <c r="O1026" s="458">
        <f t="shared" si="354"/>
        <v>399</v>
      </c>
      <c r="P1026" s="458">
        <f t="shared" si="355"/>
        <v>323</v>
      </c>
      <c r="Q1026" s="451">
        <f t="shared" si="368"/>
        <v>950</v>
      </c>
      <c r="R1026" s="452">
        <f t="shared" si="356"/>
        <v>213</v>
      </c>
      <c r="S1026" s="458">
        <f t="shared" si="357"/>
        <v>372</v>
      </c>
      <c r="T1026" s="458">
        <f t="shared" si="358"/>
        <v>301</v>
      </c>
      <c r="U1026" s="451">
        <f t="shared" si="369"/>
        <v>886</v>
      </c>
      <c r="V1026" s="452">
        <f t="shared" si="359"/>
        <v>240</v>
      </c>
      <c r="W1026" s="458">
        <f t="shared" si="360"/>
        <v>419</v>
      </c>
      <c r="X1026" s="458">
        <f t="shared" si="361"/>
        <v>339</v>
      </c>
      <c r="Y1026" s="451">
        <f t="shared" si="370"/>
        <v>998</v>
      </c>
      <c r="Z1026" s="452">
        <f t="shared" si="362"/>
        <v>224</v>
      </c>
      <c r="AA1026" s="458">
        <f t="shared" si="363"/>
        <v>391</v>
      </c>
      <c r="AB1026" s="458">
        <f t="shared" si="364"/>
        <v>317</v>
      </c>
      <c r="AC1026" s="451">
        <f t="shared" si="371"/>
        <v>932</v>
      </c>
    </row>
    <row r="1027" spans="1:29">
      <c r="A1027" s="433">
        <v>5</v>
      </c>
      <c r="B1027" s="452">
        <f t="shared" si="344"/>
        <v>219</v>
      </c>
      <c r="C1027" s="458">
        <f t="shared" si="345"/>
        <v>383</v>
      </c>
      <c r="D1027" s="458">
        <f t="shared" si="346"/>
        <v>310</v>
      </c>
      <c r="E1027" s="451">
        <f t="shared" si="365"/>
        <v>912</v>
      </c>
      <c r="F1027" s="452">
        <f t="shared" si="347"/>
        <v>223</v>
      </c>
      <c r="G1027" s="458">
        <f t="shared" si="348"/>
        <v>390</v>
      </c>
      <c r="H1027" s="458">
        <f t="shared" si="349"/>
        <v>316</v>
      </c>
      <c r="I1027" s="451">
        <f t="shared" si="366"/>
        <v>929</v>
      </c>
      <c r="J1027" s="452">
        <f t="shared" si="350"/>
        <v>231</v>
      </c>
      <c r="K1027" s="458">
        <f t="shared" si="351"/>
        <v>404</v>
      </c>
      <c r="L1027" s="458">
        <f t="shared" si="352"/>
        <v>327</v>
      </c>
      <c r="M1027" s="451">
        <f t="shared" si="367"/>
        <v>962</v>
      </c>
      <c r="N1027" s="452">
        <f t="shared" si="353"/>
        <v>222</v>
      </c>
      <c r="O1027" s="458">
        <f t="shared" si="354"/>
        <v>389</v>
      </c>
      <c r="P1027" s="458">
        <f t="shared" si="355"/>
        <v>315</v>
      </c>
      <c r="Q1027" s="451">
        <f t="shared" si="368"/>
        <v>926</v>
      </c>
      <c r="R1027" s="452">
        <f t="shared" si="356"/>
        <v>231</v>
      </c>
      <c r="S1027" s="458">
        <f t="shared" si="357"/>
        <v>404</v>
      </c>
      <c r="T1027" s="458">
        <f t="shared" si="358"/>
        <v>327</v>
      </c>
      <c r="U1027" s="451">
        <f t="shared" si="369"/>
        <v>962</v>
      </c>
      <c r="V1027" s="452">
        <f t="shared" si="359"/>
        <v>217</v>
      </c>
      <c r="W1027" s="458">
        <f t="shared" si="360"/>
        <v>380</v>
      </c>
      <c r="X1027" s="458">
        <f t="shared" si="361"/>
        <v>308</v>
      </c>
      <c r="Y1027" s="451">
        <f t="shared" si="370"/>
        <v>905</v>
      </c>
      <c r="Z1027" s="452">
        <f t="shared" si="362"/>
        <v>244</v>
      </c>
      <c r="AA1027" s="458">
        <f t="shared" si="363"/>
        <v>427</v>
      </c>
      <c r="AB1027" s="458">
        <f t="shared" si="364"/>
        <v>346</v>
      </c>
      <c r="AC1027" s="451">
        <f t="shared" si="371"/>
        <v>1017</v>
      </c>
    </row>
    <row r="1028" spans="1:29">
      <c r="A1028" s="433">
        <v>6</v>
      </c>
      <c r="B1028" s="452">
        <f t="shared" si="344"/>
        <v>238</v>
      </c>
      <c r="C1028" s="458">
        <f t="shared" si="345"/>
        <v>416</v>
      </c>
      <c r="D1028" s="458">
        <f t="shared" si="346"/>
        <v>337</v>
      </c>
      <c r="E1028" s="451">
        <f t="shared" si="365"/>
        <v>991</v>
      </c>
      <c r="F1028" s="452">
        <f t="shared" si="347"/>
        <v>226</v>
      </c>
      <c r="G1028" s="458">
        <f t="shared" si="348"/>
        <v>395</v>
      </c>
      <c r="H1028" s="458">
        <f t="shared" si="349"/>
        <v>320</v>
      </c>
      <c r="I1028" s="451">
        <f t="shared" si="366"/>
        <v>941</v>
      </c>
      <c r="J1028" s="452">
        <f t="shared" si="350"/>
        <v>229</v>
      </c>
      <c r="K1028" s="458">
        <f t="shared" si="351"/>
        <v>400</v>
      </c>
      <c r="L1028" s="458">
        <f t="shared" si="352"/>
        <v>324</v>
      </c>
      <c r="M1028" s="451">
        <f t="shared" si="367"/>
        <v>953</v>
      </c>
      <c r="N1028" s="452">
        <f t="shared" si="353"/>
        <v>239</v>
      </c>
      <c r="O1028" s="458">
        <f t="shared" si="354"/>
        <v>419</v>
      </c>
      <c r="P1028" s="458">
        <f t="shared" si="355"/>
        <v>339</v>
      </c>
      <c r="Q1028" s="451">
        <f t="shared" si="368"/>
        <v>997</v>
      </c>
      <c r="R1028" s="452">
        <f t="shared" si="356"/>
        <v>236</v>
      </c>
      <c r="S1028" s="458">
        <f t="shared" si="357"/>
        <v>413</v>
      </c>
      <c r="T1028" s="458">
        <f t="shared" si="358"/>
        <v>334</v>
      </c>
      <c r="U1028" s="451">
        <f t="shared" si="369"/>
        <v>983</v>
      </c>
      <c r="V1028" s="452">
        <f t="shared" si="359"/>
        <v>245</v>
      </c>
      <c r="W1028" s="458">
        <f t="shared" si="360"/>
        <v>429</v>
      </c>
      <c r="X1028" s="458">
        <f t="shared" si="361"/>
        <v>347</v>
      </c>
      <c r="Y1028" s="451">
        <f t="shared" si="370"/>
        <v>1021</v>
      </c>
      <c r="Z1028" s="452">
        <f t="shared" si="362"/>
        <v>227</v>
      </c>
      <c r="AA1028" s="458">
        <f t="shared" si="363"/>
        <v>396</v>
      </c>
      <c r="AB1028" s="458">
        <f t="shared" si="364"/>
        <v>321</v>
      </c>
      <c r="AC1028" s="451">
        <f t="shared" si="371"/>
        <v>944</v>
      </c>
    </row>
    <row r="1029" spans="1:29">
      <c r="A1029" s="433">
        <v>7</v>
      </c>
      <c r="B1029" s="452">
        <f t="shared" si="344"/>
        <v>240</v>
      </c>
      <c r="C1029" s="458">
        <f t="shared" si="345"/>
        <v>419</v>
      </c>
      <c r="D1029" s="458">
        <f t="shared" si="346"/>
        <v>339</v>
      </c>
      <c r="E1029" s="451">
        <f t="shared" si="365"/>
        <v>998</v>
      </c>
      <c r="F1029" s="452">
        <f t="shared" si="347"/>
        <v>238</v>
      </c>
      <c r="G1029" s="458">
        <f t="shared" si="348"/>
        <v>417</v>
      </c>
      <c r="H1029" s="458">
        <f t="shared" si="349"/>
        <v>337</v>
      </c>
      <c r="I1029" s="451">
        <f t="shared" si="366"/>
        <v>992</v>
      </c>
      <c r="J1029" s="452">
        <f t="shared" si="350"/>
        <v>230</v>
      </c>
      <c r="K1029" s="458">
        <f t="shared" si="351"/>
        <v>403</v>
      </c>
      <c r="L1029" s="458">
        <f t="shared" si="352"/>
        <v>326</v>
      </c>
      <c r="M1029" s="451">
        <f t="shared" si="367"/>
        <v>959</v>
      </c>
      <c r="N1029" s="452">
        <f t="shared" si="353"/>
        <v>232</v>
      </c>
      <c r="O1029" s="458">
        <f t="shared" si="354"/>
        <v>406</v>
      </c>
      <c r="P1029" s="458">
        <f t="shared" si="355"/>
        <v>329</v>
      </c>
      <c r="Q1029" s="451">
        <f t="shared" si="368"/>
        <v>967</v>
      </c>
      <c r="R1029" s="452">
        <f t="shared" si="356"/>
        <v>249</v>
      </c>
      <c r="S1029" s="458">
        <f t="shared" si="357"/>
        <v>436</v>
      </c>
      <c r="T1029" s="458">
        <f t="shared" si="358"/>
        <v>353</v>
      </c>
      <c r="U1029" s="451">
        <f t="shared" si="369"/>
        <v>1038</v>
      </c>
      <c r="V1029" s="452">
        <f t="shared" si="359"/>
        <v>239</v>
      </c>
      <c r="W1029" s="458">
        <f t="shared" si="360"/>
        <v>419</v>
      </c>
      <c r="X1029" s="458">
        <f t="shared" si="361"/>
        <v>339</v>
      </c>
      <c r="Y1029" s="451">
        <f t="shared" si="370"/>
        <v>997</v>
      </c>
      <c r="Z1029" s="452">
        <f t="shared" si="362"/>
        <v>250</v>
      </c>
      <c r="AA1029" s="458">
        <f t="shared" si="363"/>
        <v>437</v>
      </c>
      <c r="AB1029" s="458">
        <f t="shared" si="364"/>
        <v>354</v>
      </c>
      <c r="AC1029" s="451">
        <f t="shared" si="371"/>
        <v>1041</v>
      </c>
    </row>
    <row r="1030" spans="1:29">
      <c r="A1030" s="433">
        <v>8</v>
      </c>
      <c r="B1030" s="452">
        <f t="shared" si="344"/>
        <v>233</v>
      </c>
      <c r="C1030" s="458">
        <f t="shared" si="345"/>
        <v>408</v>
      </c>
      <c r="D1030" s="458">
        <f t="shared" si="346"/>
        <v>330</v>
      </c>
      <c r="E1030" s="451">
        <f t="shared" si="365"/>
        <v>971</v>
      </c>
      <c r="F1030" s="452">
        <f t="shared" si="347"/>
        <v>244</v>
      </c>
      <c r="G1030" s="458">
        <f t="shared" si="348"/>
        <v>427</v>
      </c>
      <c r="H1030" s="458">
        <f t="shared" si="349"/>
        <v>345</v>
      </c>
      <c r="I1030" s="451">
        <f t="shared" si="366"/>
        <v>1016</v>
      </c>
      <c r="J1030" s="452">
        <f t="shared" si="350"/>
        <v>246</v>
      </c>
      <c r="K1030" s="458">
        <f t="shared" si="351"/>
        <v>430</v>
      </c>
      <c r="L1030" s="458">
        <f t="shared" si="352"/>
        <v>348</v>
      </c>
      <c r="M1030" s="451">
        <f t="shared" si="367"/>
        <v>1024</v>
      </c>
      <c r="N1030" s="452">
        <f t="shared" si="353"/>
        <v>235</v>
      </c>
      <c r="O1030" s="458">
        <f t="shared" si="354"/>
        <v>411</v>
      </c>
      <c r="P1030" s="458">
        <f t="shared" si="355"/>
        <v>333</v>
      </c>
      <c r="Q1030" s="451">
        <f t="shared" si="368"/>
        <v>979</v>
      </c>
      <c r="R1030" s="452">
        <f t="shared" si="356"/>
        <v>235</v>
      </c>
      <c r="S1030" s="458">
        <f t="shared" si="357"/>
        <v>412</v>
      </c>
      <c r="T1030" s="458">
        <f t="shared" si="358"/>
        <v>334</v>
      </c>
      <c r="U1030" s="451">
        <f t="shared" si="369"/>
        <v>981</v>
      </c>
      <c r="V1030" s="452">
        <f t="shared" si="359"/>
        <v>256</v>
      </c>
      <c r="W1030" s="458">
        <f t="shared" si="360"/>
        <v>447</v>
      </c>
      <c r="X1030" s="458">
        <f t="shared" si="361"/>
        <v>362</v>
      </c>
      <c r="Y1030" s="451">
        <f t="shared" si="370"/>
        <v>1065</v>
      </c>
      <c r="Z1030" s="452">
        <f t="shared" si="362"/>
        <v>249</v>
      </c>
      <c r="AA1030" s="458">
        <f t="shared" si="363"/>
        <v>436</v>
      </c>
      <c r="AB1030" s="458">
        <f t="shared" si="364"/>
        <v>353</v>
      </c>
      <c r="AC1030" s="451">
        <f t="shared" si="371"/>
        <v>1038</v>
      </c>
    </row>
    <row r="1031" spans="1:29">
      <c r="A1031" s="433">
        <v>9</v>
      </c>
      <c r="B1031" s="399">
        <f t="shared" ref="B1031:D1035" si="372">O339</f>
        <v>268</v>
      </c>
      <c r="C1031" s="164">
        <f t="shared" si="372"/>
        <v>384</v>
      </c>
      <c r="D1031" s="164">
        <f t="shared" si="372"/>
        <v>312</v>
      </c>
      <c r="E1031" s="451">
        <f t="shared" si="365"/>
        <v>964</v>
      </c>
      <c r="F1031" s="399">
        <f t="shared" ref="F1031:H1035" si="373">O317</f>
        <v>272</v>
      </c>
      <c r="G1031" s="164">
        <f t="shared" si="373"/>
        <v>387</v>
      </c>
      <c r="H1031" s="164">
        <f t="shared" si="373"/>
        <v>315</v>
      </c>
      <c r="I1031" s="453">
        <f t="shared" si="366"/>
        <v>974</v>
      </c>
      <c r="J1031" s="399">
        <f t="shared" ref="J1031:L1035" si="374">O295</f>
        <v>271</v>
      </c>
      <c r="K1031" s="164">
        <f t="shared" si="374"/>
        <v>425</v>
      </c>
      <c r="L1031" s="164">
        <f t="shared" si="374"/>
        <v>319</v>
      </c>
      <c r="M1031" s="453">
        <f t="shared" si="367"/>
        <v>1015</v>
      </c>
      <c r="N1031" s="399">
        <f t="shared" ref="N1031:P1035" si="375">O273</f>
        <v>262</v>
      </c>
      <c r="O1031" s="164">
        <f t="shared" si="375"/>
        <v>433</v>
      </c>
      <c r="P1031" s="164">
        <f t="shared" si="375"/>
        <v>352</v>
      </c>
      <c r="Q1031" s="451">
        <f t="shared" si="368"/>
        <v>1047</v>
      </c>
      <c r="R1031" s="399">
        <f t="shared" ref="R1031:T1035" si="376">O251</f>
        <v>265</v>
      </c>
      <c r="S1031" s="164">
        <f t="shared" si="376"/>
        <v>412</v>
      </c>
      <c r="T1031" s="164">
        <f t="shared" si="376"/>
        <v>339</v>
      </c>
      <c r="U1031" s="451">
        <f t="shared" si="369"/>
        <v>1016</v>
      </c>
      <c r="V1031" s="399">
        <f t="shared" ref="V1031:X1035" si="377">O229</f>
        <v>281</v>
      </c>
      <c r="W1031" s="164">
        <f t="shared" si="377"/>
        <v>414</v>
      </c>
      <c r="X1031" s="164">
        <f t="shared" si="377"/>
        <v>348</v>
      </c>
      <c r="Y1031" s="451">
        <f t="shared" si="370"/>
        <v>1043</v>
      </c>
      <c r="Z1031" s="399">
        <f t="shared" ref="Z1031:AB1035" si="378">O207</f>
        <v>291</v>
      </c>
      <c r="AA1031" s="164">
        <f t="shared" si="378"/>
        <v>401</v>
      </c>
      <c r="AB1031" s="164">
        <f t="shared" si="378"/>
        <v>367</v>
      </c>
      <c r="AC1031" s="453">
        <f>SUM(Z1031:AB1031)</f>
        <v>1059</v>
      </c>
    </row>
    <row r="1032" spans="1:29">
      <c r="A1032" s="433">
        <v>10</v>
      </c>
      <c r="B1032" s="399">
        <f t="shared" si="372"/>
        <v>231</v>
      </c>
      <c r="C1032" s="164">
        <f t="shared" si="372"/>
        <v>403</v>
      </c>
      <c r="D1032" s="164">
        <f t="shared" si="372"/>
        <v>341</v>
      </c>
      <c r="E1032" s="451">
        <f>SUM(B1032:D1032)</f>
        <v>975</v>
      </c>
      <c r="F1032" s="399">
        <f t="shared" si="373"/>
        <v>227</v>
      </c>
      <c r="G1032" s="164">
        <f t="shared" si="373"/>
        <v>391</v>
      </c>
      <c r="H1032" s="164">
        <f t="shared" si="373"/>
        <v>331</v>
      </c>
      <c r="I1032" s="453">
        <f>SUM(F1032:H1032)</f>
        <v>949</v>
      </c>
      <c r="J1032" s="399">
        <f t="shared" si="374"/>
        <v>267</v>
      </c>
      <c r="K1032" s="164">
        <f t="shared" si="374"/>
        <v>387</v>
      </c>
      <c r="L1032" s="164">
        <f t="shared" si="374"/>
        <v>313</v>
      </c>
      <c r="M1032" s="453">
        <f>SUM(J1032:L1032)</f>
        <v>967</v>
      </c>
      <c r="N1032" s="399">
        <f t="shared" si="375"/>
        <v>266</v>
      </c>
      <c r="O1032" s="164">
        <f t="shared" si="375"/>
        <v>422</v>
      </c>
      <c r="P1032" s="164">
        <f t="shared" si="375"/>
        <v>316</v>
      </c>
      <c r="Q1032" s="451">
        <f t="shared" si="368"/>
        <v>1004</v>
      </c>
      <c r="R1032" s="399">
        <f t="shared" si="376"/>
        <v>258</v>
      </c>
      <c r="S1032" s="164">
        <f t="shared" si="376"/>
        <v>443</v>
      </c>
      <c r="T1032" s="164">
        <f t="shared" si="376"/>
        <v>351</v>
      </c>
      <c r="U1032" s="451">
        <f t="shared" si="369"/>
        <v>1052</v>
      </c>
      <c r="V1032" s="399">
        <f t="shared" si="377"/>
        <v>253</v>
      </c>
      <c r="W1032" s="164">
        <f t="shared" si="377"/>
        <v>412</v>
      </c>
      <c r="X1032" s="164">
        <f t="shared" si="377"/>
        <v>327</v>
      </c>
      <c r="Y1032" s="451">
        <f t="shared" si="370"/>
        <v>992</v>
      </c>
      <c r="Z1032" s="399">
        <f t="shared" si="378"/>
        <v>273</v>
      </c>
      <c r="AA1032" s="164">
        <f t="shared" si="378"/>
        <v>407</v>
      </c>
      <c r="AB1032" s="164">
        <f t="shared" si="378"/>
        <v>338</v>
      </c>
      <c r="AC1032" s="453">
        <f>SUM(Z1032:AB1032)</f>
        <v>1018</v>
      </c>
    </row>
    <row r="1033" spans="1:29">
      <c r="A1033" s="433">
        <v>11</v>
      </c>
      <c r="B1033" s="399">
        <f t="shared" si="372"/>
        <v>269</v>
      </c>
      <c r="C1033" s="164">
        <f t="shared" si="372"/>
        <v>364</v>
      </c>
      <c r="D1033" s="164">
        <f t="shared" si="372"/>
        <v>278</v>
      </c>
      <c r="E1033" s="451">
        <f>SUM(B1033:D1033)</f>
        <v>911</v>
      </c>
      <c r="F1033" s="399">
        <f t="shared" si="373"/>
        <v>289</v>
      </c>
      <c r="G1033" s="164">
        <f t="shared" si="373"/>
        <v>389</v>
      </c>
      <c r="H1033" s="164">
        <f t="shared" si="373"/>
        <v>297</v>
      </c>
      <c r="I1033" s="453">
        <f>SUM(F1033:H1033)</f>
        <v>975</v>
      </c>
      <c r="J1033" s="399">
        <f t="shared" si="374"/>
        <v>224</v>
      </c>
      <c r="K1033" s="164">
        <f t="shared" si="374"/>
        <v>380</v>
      </c>
      <c r="L1033" s="164">
        <f t="shared" si="374"/>
        <v>305</v>
      </c>
      <c r="M1033" s="453">
        <f>SUM(J1033:L1033)</f>
        <v>909</v>
      </c>
      <c r="N1033" s="399">
        <f t="shared" si="375"/>
        <v>267</v>
      </c>
      <c r="O1033" s="164">
        <f t="shared" si="375"/>
        <v>362</v>
      </c>
      <c r="P1033" s="164">
        <f t="shared" si="375"/>
        <v>315</v>
      </c>
      <c r="Q1033" s="451">
        <f t="shared" si="368"/>
        <v>944</v>
      </c>
      <c r="R1033" s="399">
        <f t="shared" si="376"/>
        <v>255</v>
      </c>
      <c r="S1033" s="164">
        <f t="shared" si="376"/>
        <v>403</v>
      </c>
      <c r="T1033" s="164">
        <f t="shared" si="376"/>
        <v>317</v>
      </c>
      <c r="U1033" s="451">
        <f t="shared" si="369"/>
        <v>975</v>
      </c>
      <c r="V1033" s="399">
        <f t="shared" si="377"/>
        <v>261</v>
      </c>
      <c r="W1033" s="164">
        <f t="shared" si="377"/>
        <v>422</v>
      </c>
      <c r="X1033" s="164">
        <f t="shared" si="377"/>
        <v>351</v>
      </c>
      <c r="Y1033" s="451">
        <f t="shared" si="370"/>
        <v>1034</v>
      </c>
      <c r="Z1033" s="399">
        <f t="shared" si="378"/>
        <v>251</v>
      </c>
      <c r="AA1033" s="164">
        <f t="shared" si="378"/>
        <v>415</v>
      </c>
      <c r="AB1033" s="164">
        <f t="shared" si="378"/>
        <v>329</v>
      </c>
      <c r="AC1033" s="453">
        <f>SUM(Z1033:AB1033)</f>
        <v>995</v>
      </c>
    </row>
    <row r="1034" spans="1:29">
      <c r="A1034" s="433">
        <v>12</v>
      </c>
      <c r="B1034" s="399">
        <f t="shared" si="372"/>
        <v>196</v>
      </c>
      <c r="C1034" s="164">
        <f t="shared" si="372"/>
        <v>363</v>
      </c>
      <c r="D1034" s="164">
        <f t="shared" si="372"/>
        <v>267</v>
      </c>
      <c r="E1034" s="451">
        <f>SUM(B1034:D1034)</f>
        <v>826</v>
      </c>
      <c r="F1034" s="399">
        <f t="shared" si="373"/>
        <v>205</v>
      </c>
      <c r="G1034" s="164">
        <f t="shared" si="373"/>
        <v>380</v>
      </c>
      <c r="H1034" s="164">
        <f t="shared" si="373"/>
        <v>280</v>
      </c>
      <c r="I1034" s="453">
        <f>SUM(F1034:H1034)</f>
        <v>865</v>
      </c>
      <c r="J1034" s="399">
        <f t="shared" si="374"/>
        <v>276</v>
      </c>
      <c r="K1034" s="164">
        <f t="shared" si="374"/>
        <v>371</v>
      </c>
      <c r="L1034" s="164">
        <f t="shared" si="374"/>
        <v>278</v>
      </c>
      <c r="M1034" s="453">
        <f>SUM(J1034:L1034)</f>
        <v>925</v>
      </c>
      <c r="N1034" s="399">
        <f t="shared" si="375"/>
        <v>211</v>
      </c>
      <c r="O1034" s="164">
        <f t="shared" si="375"/>
        <v>360</v>
      </c>
      <c r="P1034" s="164">
        <f t="shared" si="375"/>
        <v>306</v>
      </c>
      <c r="Q1034" s="451">
        <f t="shared" si="368"/>
        <v>877</v>
      </c>
      <c r="R1034" s="399">
        <f t="shared" si="376"/>
        <v>247</v>
      </c>
      <c r="S1034" s="164">
        <f t="shared" si="376"/>
        <v>340</v>
      </c>
      <c r="T1034" s="164">
        <f t="shared" si="376"/>
        <v>293</v>
      </c>
      <c r="U1034" s="451">
        <f t="shared" si="369"/>
        <v>880</v>
      </c>
      <c r="V1034" s="399">
        <f t="shared" si="377"/>
        <v>243</v>
      </c>
      <c r="W1034" s="164">
        <f t="shared" si="377"/>
        <v>388</v>
      </c>
      <c r="X1034" s="164">
        <f t="shared" si="377"/>
        <v>308</v>
      </c>
      <c r="Y1034" s="451">
        <f t="shared" si="370"/>
        <v>939</v>
      </c>
      <c r="Z1034" s="399">
        <f t="shared" si="378"/>
        <v>249</v>
      </c>
      <c r="AA1034" s="164">
        <f t="shared" si="378"/>
        <v>407</v>
      </c>
      <c r="AB1034" s="164">
        <f t="shared" si="378"/>
        <v>338</v>
      </c>
      <c r="AC1034" s="453">
        <f>SUM(Z1034:AB1034)</f>
        <v>994</v>
      </c>
    </row>
    <row r="1035" spans="1:29">
      <c r="A1035" s="433">
        <v>14</v>
      </c>
      <c r="B1035" s="454">
        <f t="shared" si="372"/>
        <v>2</v>
      </c>
      <c r="C1035" s="456">
        <f t="shared" si="372"/>
        <v>7</v>
      </c>
      <c r="D1035" s="456">
        <f t="shared" si="372"/>
        <v>5</v>
      </c>
      <c r="E1035" s="457">
        <f>SUM(B1035:D1035)</f>
        <v>14</v>
      </c>
      <c r="F1035" s="454">
        <f t="shared" si="373"/>
        <v>2</v>
      </c>
      <c r="G1035" s="456">
        <f t="shared" si="373"/>
        <v>8</v>
      </c>
      <c r="H1035" s="456">
        <f t="shared" si="373"/>
        <v>2</v>
      </c>
      <c r="I1035" s="455">
        <f>SUM(F1035:H1035)</f>
        <v>12</v>
      </c>
      <c r="J1035" s="454">
        <f t="shared" si="374"/>
        <v>3</v>
      </c>
      <c r="K1035" s="456">
        <f t="shared" si="374"/>
        <v>9</v>
      </c>
      <c r="L1035" s="456">
        <f t="shared" si="374"/>
        <v>0</v>
      </c>
      <c r="M1035" s="455">
        <f>SUM(J1035:L1035)</f>
        <v>12</v>
      </c>
      <c r="N1035" s="454">
        <f t="shared" si="375"/>
        <v>1</v>
      </c>
      <c r="O1035" s="456">
        <f t="shared" si="375"/>
        <v>7</v>
      </c>
      <c r="P1035" s="456">
        <f t="shared" si="375"/>
        <v>1</v>
      </c>
      <c r="Q1035" s="457">
        <f t="shared" si="368"/>
        <v>9</v>
      </c>
      <c r="R1035" s="454">
        <f t="shared" si="376"/>
        <v>0</v>
      </c>
      <c r="S1035" s="456">
        <f t="shared" si="376"/>
        <v>5</v>
      </c>
      <c r="T1035" s="456">
        <f t="shared" si="376"/>
        <v>2</v>
      </c>
      <c r="U1035" s="457">
        <f t="shared" si="369"/>
        <v>7</v>
      </c>
      <c r="V1035" s="454">
        <f t="shared" si="377"/>
        <v>0</v>
      </c>
      <c r="W1035" s="456">
        <f t="shared" si="377"/>
        <v>6</v>
      </c>
      <c r="X1035" s="456">
        <f t="shared" si="377"/>
        <v>3</v>
      </c>
      <c r="Y1035" s="457">
        <f t="shared" si="370"/>
        <v>9</v>
      </c>
      <c r="Z1035" s="454">
        <f t="shared" si="378"/>
        <v>3</v>
      </c>
      <c r="AA1035" s="456">
        <f t="shared" si="378"/>
        <v>10</v>
      </c>
      <c r="AB1035" s="456">
        <f t="shared" si="378"/>
        <v>8</v>
      </c>
      <c r="AC1035" s="455">
        <f>SUM(Z1035:AB1035)</f>
        <v>21</v>
      </c>
    </row>
    <row r="1038" spans="1:29" ht="13.8" thickBot="1">
      <c r="A1038" s="462"/>
      <c r="B1038" s="784" t="str">
        <f>$A$404</f>
        <v>2019-20</v>
      </c>
      <c r="C1038" s="785"/>
      <c r="D1038" s="785"/>
      <c r="E1038" s="785"/>
      <c r="F1038" s="784" t="str">
        <f>$A$405</f>
        <v>2020-21</v>
      </c>
      <c r="G1038" s="785"/>
      <c r="H1038" s="785"/>
      <c r="I1038" s="785"/>
      <c r="J1038" s="784" t="str">
        <f>$A$406</f>
        <v>2021-22</v>
      </c>
      <c r="K1038" s="785"/>
      <c r="L1038" s="785"/>
      <c r="M1038" s="785"/>
      <c r="N1038" s="784" t="str">
        <f>$A$407</f>
        <v>2022-23</v>
      </c>
      <c r="O1038" s="785"/>
      <c r="P1038" s="785"/>
      <c r="Q1038" s="785"/>
      <c r="R1038" s="784" t="str">
        <f>$A$408</f>
        <v>2023-24</v>
      </c>
      <c r="S1038" s="785"/>
      <c r="T1038" s="785"/>
      <c r="U1038" s="785"/>
      <c r="V1038" s="784" t="str">
        <f>$A$409</f>
        <v>2024-25</v>
      </c>
      <c r="W1038" s="785"/>
      <c r="X1038" s="785"/>
      <c r="Y1038" s="785"/>
      <c r="Z1038" s="784" t="str">
        <f>$A$410</f>
        <v>2025-26</v>
      </c>
      <c r="AA1038" s="785"/>
      <c r="AB1038" s="785"/>
      <c r="AC1038" s="786"/>
    </row>
    <row r="1039" spans="1:29" ht="13.8" thickTop="1">
      <c r="A1039" s="222"/>
      <c r="B1039" s="460"/>
      <c r="C1039" s="459"/>
      <c r="D1039" s="459"/>
      <c r="E1039" s="461"/>
      <c r="F1039" s="459"/>
      <c r="G1039" s="459"/>
      <c r="H1039" s="459"/>
      <c r="I1039" s="461"/>
      <c r="J1039" s="459"/>
      <c r="K1039" s="459"/>
      <c r="L1039" s="459"/>
      <c r="M1039" s="461"/>
      <c r="N1039" s="459"/>
      <c r="O1039" s="459"/>
      <c r="P1039" s="459"/>
      <c r="Q1039" s="461"/>
      <c r="R1039" s="459"/>
      <c r="S1039" s="459"/>
      <c r="T1039" s="459"/>
      <c r="U1039" s="461"/>
      <c r="V1039" s="459"/>
      <c r="W1039" s="459"/>
      <c r="X1039" s="459"/>
      <c r="Y1039" s="461"/>
      <c r="Z1039" s="459"/>
      <c r="AA1039" s="459"/>
      <c r="AB1039" s="459"/>
      <c r="AC1039" s="461"/>
    </row>
    <row r="1040" spans="1:29">
      <c r="A1040" s="463"/>
      <c r="B1040" s="430" t="s">
        <v>346</v>
      </c>
      <c r="C1040" s="320" t="s">
        <v>90</v>
      </c>
      <c r="D1040" s="320" t="s">
        <v>103</v>
      </c>
      <c r="E1040" s="428" t="s">
        <v>27</v>
      </c>
      <c r="F1040" s="320" t="s">
        <v>346</v>
      </c>
      <c r="G1040" s="320" t="s">
        <v>90</v>
      </c>
      <c r="H1040" s="320" t="s">
        <v>103</v>
      </c>
      <c r="I1040" s="428" t="s">
        <v>27</v>
      </c>
      <c r="J1040" s="320" t="s">
        <v>346</v>
      </c>
      <c r="K1040" s="320" t="s">
        <v>90</v>
      </c>
      <c r="L1040" s="320" t="s">
        <v>103</v>
      </c>
      <c r="M1040" s="428" t="s">
        <v>27</v>
      </c>
      <c r="N1040" s="320" t="s">
        <v>346</v>
      </c>
      <c r="O1040" s="320" t="s">
        <v>90</v>
      </c>
      <c r="P1040" s="320" t="s">
        <v>103</v>
      </c>
      <c r="Q1040" s="428" t="s">
        <v>27</v>
      </c>
      <c r="R1040" s="320" t="s">
        <v>346</v>
      </c>
      <c r="S1040" s="320" t="s">
        <v>90</v>
      </c>
      <c r="T1040" s="320" t="s">
        <v>103</v>
      </c>
      <c r="U1040" s="428" t="s">
        <v>27</v>
      </c>
      <c r="V1040" s="320" t="s">
        <v>346</v>
      </c>
      <c r="W1040" s="320" t="s">
        <v>90</v>
      </c>
      <c r="X1040" s="320" t="s">
        <v>103</v>
      </c>
      <c r="Y1040" s="428" t="s">
        <v>27</v>
      </c>
      <c r="Z1040" s="320" t="s">
        <v>346</v>
      </c>
      <c r="AA1040" s="320" t="s">
        <v>90</v>
      </c>
      <c r="AB1040" s="320" t="s">
        <v>103</v>
      </c>
      <c r="AC1040" s="428" t="s">
        <v>27</v>
      </c>
    </row>
    <row r="1041" spans="1:29">
      <c r="A1041" s="223" t="s">
        <v>292</v>
      </c>
      <c r="B1041" s="452">
        <f t="shared" ref="B1041:B1049" si="379">ROUND(S176*0.24,0)</f>
        <v>197</v>
      </c>
      <c r="C1041" s="458">
        <f t="shared" ref="C1041:C1049" si="380">ROUND(S176*0.42,0)</f>
        <v>344</v>
      </c>
      <c r="D1041" s="458">
        <f t="shared" ref="D1041:D1049" si="381">ROUND(S176*0.34,0)</f>
        <v>278</v>
      </c>
      <c r="E1041" s="451">
        <f>SUM(B1041:D1041)</f>
        <v>819</v>
      </c>
      <c r="F1041" s="458">
        <f t="shared" ref="F1041:F1049" si="382">ROUND(S154*0.24,0)</f>
        <v>191</v>
      </c>
      <c r="G1041" s="458">
        <f t="shared" ref="G1041:G1049" si="383">ROUND(S154*0.42,0)</f>
        <v>334</v>
      </c>
      <c r="H1041" s="458">
        <f t="shared" ref="H1041:H1049" si="384">ROUND(S154*0.34,0)</f>
        <v>270</v>
      </c>
      <c r="I1041" s="451">
        <f>SUM(F1041:H1041)</f>
        <v>795</v>
      </c>
      <c r="J1041" s="458">
        <f t="shared" ref="J1041:J1049" si="385">ROUND(S132*0.24,0)</f>
        <v>188</v>
      </c>
      <c r="K1041" s="458">
        <f t="shared" ref="K1041:K1049" si="386">ROUND(S132*0.42,0)</f>
        <v>328</v>
      </c>
      <c r="L1041" s="458">
        <f t="shared" ref="L1041:L1049" si="387">ROUND(S132*0.34,0)</f>
        <v>266</v>
      </c>
      <c r="M1041" s="451">
        <f>SUM(J1041:L1041)</f>
        <v>782</v>
      </c>
      <c r="N1041" s="458">
        <f t="shared" ref="N1041:N1049" si="388">ROUND(S110*0.24,0)</f>
        <v>193</v>
      </c>
      <c r="O1041" s="458">
        <f t="shared" ref="O1041:O1049" si="389">ROUND(S110*0.42,0)</f>
        <v>337</v>
      </c>
      <c r="P1041" s="458">
        <f t="shared" ref="P1041:P1049" si="390">ROUND(S110*0.34,0)</f>
        <v>273</v>
      </c>
      <c r="Q1041" s="451">
        <f>SUM(N1041:P1041)</f>
        <v>803</v>
      </c>
      <c r="R1041" s="458">
        <f t="shared" ref="R1041:R1049" si="391">ROUND(S88*0.24,0)</f>
        <v>183</v>
      </c>
      <c r="S1041" s="458">
        <f t="shared" ref="S1041:S1049" si="392">ROUND(S88*0.42,0)</f>
        <v>320</v>
      </c>
      <c r="T1041" s="458">
        <f t="shared" ref="T1041:T1049" si="393">ROUND(S88*0.34,0)</f>
        <v>259</v>
      </c>
      <c r="U1041" s="451">
        <f>SUM(R1041:T1041)</f>
        <v>762</v>
      </c>
      <c r="V1041" s="458">
        <f t="shared" ref="V1041:V1049" si="394">ROUND(S66*0.24,0)</f>
        <v>178</v>
      </c>
      <c r="W1041" s="458">
        <f t="shared" ref="W1041:W1049" si="395">ROUND(S66*0.42,0)</f>
        <v>312</v>
      </c>
      <c r="X1041" s="458">
        <f t="shared" ref="X1041:X1049" si="396">ROUND(S66*0.34,0)</f>
        <v>252</v>
      </c>
      <c r="Y1041" s="451">
        <f>SUM(V1041:X1041)</f>
        <v>742</v>
      </c>
      <c r="Z1041" s="458">
        <f t="shared" ref="Z1041:Z1049" si="397">ROUND(S14*0.2604,0)</f>
        <v>188</v>
      </c>
      <c r="AA1041" s="458">
        <f t="shared" ref="AA1041:AA1049" si="398">ROUND(S14*0.4124,0)</f>
        <v>298</v>
      </c>
      <c r="AB1041" s="458">
        <f t="shared" ref="AB1041:AB1049" si="399">ROUND(S14*0.3134,0)</f>
        <v>227</v>
      </c>
      <c r="AC1041" s="451">
        <f>SUM(Z1041:AB1041)</f>
        <v>713</v>
      </c>
    </row>
    <row r="1042" spans="1:29">
      <c r="A1042" s="223" t="s">
        <v>293</v>
      </c>
      <c r="B1042" s="452">
        <f t="shared" si="379"/>
        <v>218</v>
      </c>
      <c r="C1042" s="458">
        <f t="shared" si="380"/>
        <v>382</v>
      </c>
      <c r="D1042" s="458">
        <f t="shared" si="381"/>
        <v>309</v>
      </c>
      <c r="E1042" s="451">
        <f t="shared" ref="E1042:E1054" si="400">SUM(B1042:D1042)</f>
        <v>909</v>
      </c>
      <c r="F1042" s="458">
        <f t="shared" si="382"/>
        <v>193</v>
      </c>
      <c r="G1042" s="458">
        <f t="shared" si="383"/>
        <v>339</v>
      </c>
      <c r="H1042" s="458">
        <f t="shared" si="384"/>
        <v>274</v>
      </c>
      <c r="I1042" s="451">
        <f t="shared" ref="I1042:I1054" si="401">SUM(F1042:H1042)</f>
        <v>806</v>
      </c>
      <c r="J1042" s="458">
        <f t="shared" si="385"/>
        <v>210</v>
      </c>
      <c r="K1042" s="458">
        <f t="shared" si="386"/>
        <v>368</v>
      </c>
      <c r="L1042" s="458">
        <f t="shared" si="387"/>
        <v>298</v>
      </c>
      <c r="M1042" s="451">
        <f t="shared" ref="M1042:M1054" si="402">SUM(J1042:L1042)</f>
        <v>876</v>
      </c>
      <c r="N1042" s="458">
        <f t="shared" si="388"/>
        <v>197</v>
      </c>
      <c r="O1042" s="458">
        <f t="shared" si="389"/>
        <v>344</v>
      </c>
      <c r="P1042" s="458">
        <f t="shared" si="390"/>
        <v>279</v>
      </c>
      <c r="Q1042" s="451">
        <f t="shared" ref="Q1042:Q1054" si="403">SUM(N1042:P1042)</f>
        <v>820</v>
      </c>
      <c r="R1042" s="458">
        <f t="shared" si="391"/>
        <v>198</v>
      </c>
      <c r="S1042" s="458">
        <f t="shared" si="392"/>
        <v>347</v>
      </c>
      <c r="T1042" s="458">
        <f t="shared" si="393"/>
        <v>281</v>
      </c>
      <c r="U1042" s="451">
        <f t="shared" ref="U1042:U1054" si="404">SUM(R1042:T1042)</f>
        <v>826</v>
      </c>
      <c r="V1042" s="458">
        <f t="shared" si="394"/>
        <v>188</v>
      </c>
      <c r="W1042" s="458">
        <f t="shared" si="395"/>
        <v>329</v>
      </c>
      <c r="X1042" s="458">
        <f t="shared" si="396"/>
        <v>267</v>
      </c>
      <c r="Y1042" s="451">
        <f t="shared" ref="Y1042:Y1054" si="405">SUM(V1042:X1042)</f>
        <v>784</v>
      </c>
      <c r="Z1042" s="458">
        <f t="shared" si="397"/>
        <v>191</v>
      </c>
      <c r="AA1042" s="458">
        <f t="shared" si="398"/>
        <v>303</v>
      </c>
      <c r="AB1042" s="458">
        <f t="shared" si="399"/>
        <v>230</v>
      </c>
      <c r="AC1042" s="451">
        <f t="shared" ref="AC1042:AC1054" si="406">SUM(Z1042:AB1042)</f>
        <v>724</v>
      </c>
    </row>
    <row r="1043" spans="1:29">
      <c r="A1043" s="223" t="s">
        <v>294</v>
      </c>
      <c r="B1043" s="452">
        <f t="shared" si="379"/>
        <v>199</v>
      </c>
      <c r="C1043" s="458">
        <f t="shared" si="380"/>
        <v>349</v>
      </c>
      <c r="D1043" s="458">
        <f t="shared" si="381"/>
        <v>282</v>
      </c>
      <c r="E1043" s="451">
        <f t="shared" si="400"/>
        <v>830</v>
      </c>
      <c r="F1043" s="458">
        <f t="shared" si="382"/>
        <v>214</v>
      </c>
      <c r="G1043" s="458">
        <f t="shared" si="383"/>
        <v>375</v>
      </c>
      <c r="H1043" s="458">
        <f t="shared" si="384"/>
        <v>303</v>
      </c>
      <c r="I1043" s="451">
        <f t="shared" si="401"/>
        <v>892</v>
      </c>
      <c r="J1043" s="458">
        <f t="shared" si="385"/>
        <v>197</v>
      </c>
      <c r="K1043" s="458">
        <f t="shared" si="386"/>
        <v>344</v>
      </c>
      <c r="L1043" s="458">
        <f t="shared" si="387"/>
        <v>278</v>
      </c>
      <c r="M1043" s="451">
        <f t="shared" si="402"/>
        <v>819</v>
      </c>
      <c r="N1043" s="458">
        <f t="shared" si="388"/>
        <v>213</v>
      </c>
      <c r="O1043" s="458">
        <f t="shared" si="389"/>
        <v>373</v>
      </c>
      <c r="P1043" s="458">
        <f t="shared" si="390"/>
        <v>302</v>
      </c>
      <c r="Q1043" s="451">
        <f t="shared" si="403"/>
        <v>888</v>
      </c>
      <c r="R1043" s="458">
        <f t="shared" si="391"/>
        <v>201</v>
      </c>
      <c r="S1043" s="458">
        <f t="shared" si="392"/>
        <v>352</v>
      </c>
      <c r="T1043" s="458">
        <f t="shared" si="393"/>
        <v>285</v>
      </c>
      <c r="U1043" s="451">
        <f t="shared" si="404"/>
        <v>838</v>
      </c>
      <c r="V1043" s="458">
        <f t="shared" si="394"/>
        <v>204</v>
      </c>
      <c r="W1043" s="458">
        <f t="shared" si="395"/>
        <v>357</v>
      </c>
      <c r="X1043" s="458">
        <f t="shared" si="396"/>
        <v>289</v>
      </c>
      <c r="Y1043" s="451">
        <f t="shared" si="405"/>
        <v>850</v>
      </c>
      <c r="Z1043" s="458">
        <f t="shared" si="397"/>
        <v>210</v>
      </c>
      <c r="AA1043" s="458">
        <f t="shared" si="398"/>
        <v>333</v>
      </c>
      <c r="AB1043" s="458">
        <f t="shared" si="399"/>
        <v>253</v>
      </c>
      <c r="AC1043" s="451">
        <f t="shared" si="406"/>
        <v>796</v>
      </c>
    </row>
    <row r="1044" spans="1:29">
      <c r="A1044" s="223" t="s">
        <v>295</v>
      </c>
      <c r="B1044" s="452">
        <f t="shared" si="379"/>
        <v>218</v>
      </c>
      <c r="C1044" s="458">
        <f t="shared" si="380"/>
        <v>382</v>
      </c>
      <c r="D1044" s="458">
        <f t="shared" si="381"/>
        <v>309</v>
      </c>
      <c r="E1044" s="451">
        <f t="shared" si="400"/>
        <v>909</v>
      </c>
      <c r="F1044" s="458">
        <f t="shared" si="382"/>
        <v>199</v>
      </c>
      <c r="G1044" s="458">
        <f t="shared" si="383"/>
        <v>348</v>
      </c>
      <c r="H1044" s="458">
        <f t="shared" si="384"/>
        <v>282</v>
      </c>
      <c r="I1044" s="451">
        <f t="shared" si="401"/>
        <v>829</v>
      </c>
      <c r="J1044" s="458">
        <f t="shared" si="385"/>
        <v>221</v>
      </c>
      <c r="K1044" s="458">
        <f t="shared" si="386"/>
        <v>386</v>
      </c>
      <c r="L1044" s="458">
        <f t="shared" si="387"/>
        <v>313</v>
      </c>
      <c r="M1044" s="451">
        <f t="shared" si="402"/>
        <v>920</v>
      </c>
      <c r="N1044" s="458">
        <f t="shared" si="388"/>
        <v>206</v>
      </c>
      <c r="O1044" s="458">
        <f t="shared" si="389"/>
        <v>360</v>
      </c>
      <c r="P1044" s="458">
        <f t="shared" si="390"/>
        <v>291</v>
      </c>
      <c r="Q1044" s="451">
        <f t="shared" si="403"/>
        <v>857</v>
      </c>
      <c r="R1044" s="458">
        <f t="shared" si="391"/>
        <v>212</v>
      </c>
      <c r="S1044" s="458">
        <f t="shared" si="392"/>
        <v>372</v>
      </c>
      <c r="T1044" s="458">
        <f t="shared" si="393"/>
        <v>301</v>
      </c>
      <c r="U1044" s="451">
        <f t="shared" si="404"/>
        <v>885</v>
      </c>
      <c r="V1044" s="458">
        <f t="shared" si="394"/>
        <v>204</v>
      </c>
      <c r="W1044" s="458">
        <f t="shared" si="395"/>
        <v>356</v>
      </c>
      <c r="X1044" s="458">
        <f t="shared" si="396"/>
        <v>288</v>
      </c>
      <c r="Y1044" s="451">
        <f t="shared" si="405"/>
        <v>848</v>
      </c>
      <c r="Z1044" s="458">
        <f t="shared" si="397"/>
        <v>228</v>
      </c>
      <c r="AA1044" s="458">
        <f t="shared" si="398"/>
        <v>361</v>
      </c>
      <c r="AB1044" s="458">
        <f t="shared" si="399"/>
        <v>275</v>
      </c>
      <c r="AC1044" s="451">
        <f t="shared" si="406"/>
        <v>864</v>
      </c>
    </row>
    <row r="1045" spans="1:29">
      <c r="A1045" s="248">
        <v>4</v>
      </c>
      <c r="B1045" s="452">
        <f t="shared" si="379"/>
        <v>217</v>
      </c>
      <c r="C1045" s="458">
        <f t="shared" si="380"/>
        <v>381</v>
      </c>
      <c r="D1045" s="458">
        <f t="shared" si="381"/>
        <v>308</v>
      </c>
      <c r="E1045" s="451">
        <f t="shared" si="400"/>
        <v>906</v>
      </c>
      <c r="F1045" s="458">
        <f t="shared" si="382"/>
        <v>221</v>
      </c>
      <c r="G1045" s="458">
        <f t="shared" si="383"/>
        <v>386</v>
      </c>
      <c r="H1045" s="458">
        <f t="shared" si="384"/>
        <v>313</v>
      </c>
      <c r="I1045" s="451">
        <f t="shared" si="401"/>
        <v>920</v>
      </c>
      <c r="J1045" s="458">
        <f t="shared" si="385"/>
        <v>205</v>
      </c>
      <c r="K1045" s="458">
        <f t="shared" si="386"/>
        <v>359</v>
      </c>
      <c r="L1045" s="458">
        <f t="shared" si="387"/>
        <v>290</v>
      </c>
      <c r="M1045" s="451">
        <f t="shared" si="402"/>
        <v>854</v>
      </c>
      <c r="N1045" s="458">
        <f t="shared" si="388"/>
        <v>226</v>
      </c>
      <c r="O1045" s="458">
        <f t="shared" si="389"/>
        <v>395</v>
      </c>
      <c r="P1045" s="458">
        <f t="shared" si="390"/>
        <v>320</v>
      </c>
      <c r="Q1045" s="451">
        <f t="shared" si="403"/>
        <v>941</v>
      </c>
      <c r="R1045" s="458">
        <f t="shared" si="391"/>
        <v>210</v>
      </c>
      <c r="S1045" s="458">
        <f t="shared" si="392"/>
        <v>368</v>
      </c>
      <c r="T1045" s="458">
        <f t="shared" si="393"/>
        <v>298</v>
      </c>
      <c r="U1045" s="451">
        <f t="shared" si="404"/>
        <v>876</v>
      </c>
      <c r="V1045" s="458">
        <f t="shared" si="394"/>
        <v>219</v>
      </c>
      <c r="W1045" s="458">
        <f t="shared" si="395"/>
        <v>383</v>
      </c>
      <c r="X1045" s="458">
        <f t="shared" si="396"/>
        <v>310</v>
      </c>
      <c r="Y1045" s="451">
        <f t="shared" si="405"/>
        <v>912</v>
      </c>
      <c r="Z1045" s="458">
        <f t="shared" si="397"/>
        <v>228</v>
      </c>
      <c r="AA1045" s="458">
        <f t="shared" si="398"/>
        <v>360</v>
      </c>
      <c r="AB1045" s="458">
        <f t="shared" si="399"/>
        <v>274</v>
      </c>
      <c r="AC1045" s="451">
        <f t="shared" si="406"/>
        <v>862</v>
      </c>
    </row>
    <row r="1046" spans="1:29">
      <c r="A1046" s="248">
        <v>5</v>
      </c>
      <c r="B1046" s="452">
        <f t="shared" si="379"/>
        <v>230</v>
      </c>
      <c r="C1046" s="458">
        <f t="shared" si="380"/>
        <v>403</v>
      </c>
      <c r="D1046" s="458">
        <f t="shared" si="381"/>
        <v>326</v>
      </c>
      <c r="E1046" s="451">
        <f t="shared" si="400"/>
        <v>959</v>
      </c>
      <c r="F1046" s="458">
        <f t="shared" si="382"/>
        <v>219</v>
      </c>
      <c r="G1046" s="458">
        <f t="shared" si="383"/>
        <v>384</v>
      </c>
      <c r="H1046" s="458">
        <f t="shared" si="384"/>
        <v>311</v>
      </c>
      <c r="I1046" s="451">
        <f t="shared" si="401"/>
        <v>914</v>
      </c>
      <c r="J1046" s="458">
        <f t="shared" si="385"/>
        <v>231</v>
      </c>
      <c r="K1046" s="458">
        <f t="shared" si="386"/>
        <v>404</v>
      </c>
      <c r="L1046" s="458">
        <f t="shared" si="387"/>
        <v>327</v>
      </c>
      <c r="M1046" s="451">
        <f t="shared" si="402"/>
        <v>962</v>
      </c>
      <c r="N1046" s="458">
        <f t="shared" si="388"/>
        <v>209</v>
      </c>
      <c r="O1046" s="458">
        <f t="shared" si="389"/>
        <v>366</v>
      </c>
      <c r="P1046" s="458">
        <f t="shared" si="390"/>
        <v>296</v>
      </c>
      <c r="Q1046" s="451">
        <f t="shared" si="403"/>
        <v>871</v>
      </c>
      <c r="R1046" s="458">
        <f t="shared" si="391"/>
        <v>225</v>
      </c>
      <c r="S1046" s="458">
        <f t="shared" si="392"/>
        <v>394</v>
      </c>
      <c r="T1046" s="458">
        <f t="shared" si="393"/>
        <v>319</v>
      </c>
      <c r="U1046" s="451">
        <f t="shared" si="404"/>
        <v>938</v>
      </c>
      <c r="V1046" s="458">
        <f t="shared" si="394"/>
        <v>217</v>
      </c>
      <c r="W1046" s="458">
        <f t="shared" si="395"/>
        <v>380</v>
      </c>
      <c r="X1046" s="458">
        <f t="shared" si="396"/>
        <v>308</v>
      </c>
      <c r="Y1046" s="451">
        <f t="shared" si="405"/>
        <v>905</v>
      </c>
      <c r="Z1046" s="458">
        <f t="shared" si="397"/>
        <v>240</v>
      </c>
      <c r="AA1046" s="458">
        <f t="shared" si="398"/>
        <v>381</v>
      </c>
      <c r="AB1046" s="458">
        <f t="shared" si="399"/>
        <v>289</v>
      </c>
      <c r="AC1046" s="451">
        <f t="shared" si="406"/>
        <v>910</v>
      </c>
    </row>
    <row r="1047" spans="1:29">
      <c r="A1047" s="248">
        <v>6</v>
      </c>
      <c r="B1047" s="452">
        <f t="shared" si="379"/>
        <v>254</v>
      </c>
      <c r="C1047" s="458">
        <f t="shared" si="380"/>
        <v>444</v>
      </c>
      <c r="D1047" s="458">
        <f t="shared" si="381"/>
        <v>359</v>
      </c>
      <c r="E1047" s="451">
        <f t="shared" si="400"/>
        <v>1057</v>
      </c>
      <c r="F1047" s="458">
        <f t="shared" si="382"/>
        <v>233</v>
      </c>
      <c r="G1047" s="458">
        <f t="shared" si="383"/>
        <v>407</v>
      </c>
      <c r="H1047" s="458">
        <f t="shared" si="384"/>
        <v>329</v>
      </c>
      <c r="I1047" s="451">
        <f t="shared" si="401"/>
        <v>969</v>
      </c>
      <c r="J1047" s="458">
        <f t="shared" si="385"/>
        <v>230</v>
      </c>
      <c r="K1047" s="458">
        <f t="shared" si="386"/>
        <v>403</v>
      </c>
      <c r="L1047" s="458">
        <f t="shared" si="387"/>
        <v>326</v>
      </c>
      <c r="M1047" s="451">
        <f t="shared" si="402"/>
        <v>959</v>
      </c>
      <c r="N1047" s="458">
        <f t="shared" si="388"/>
        <v>243</v>
      </c>
      <c r="O1047" s="458">
        <f t="shared" si="389"/>
        <v>425</v>
      </c>
      <c r="P1047" s="458">
        <f t="shared" si="390"/>
        <v>344</v>
      </c>
      <c r="Q1047" s="451">
        <f t="shared" si="403"/>
        <v>1012</v>
      </c>
      <c r="R1047" s="458">
        <f t="shared" si="391"/>
        <v>219</v>
      </c>
      <c r="S1047" s="458">
        <f t="shared" si="392"/>
        <v>383</v>
      </c>
      <c r="T1047" s="458">
        <f t="shared" si="393"/>
        <v>310</v>
      </c>
      <c r="U1047" s="451">
        <f t="shared" si="404"/>
        <v>912</v>
      </c>
      <c r="V1047" s="458">
        <f t="shared" si="394"/>
        <v>234</v>
      </c>
      <c r="W1047" s="458">
        <f t="shared" si="395"/>
        <v>410</v>
      </c>
      <c r="X1047" s="458">
        <f t="shared" si="396"/>
        <v>332</v>
      </c>
      <c r="Y1047" s="451">
        <f t="shared" si="405"/>
        <v>976</v>
      </c>
      <c r="Z1047" s="458">
        <f t="shared" si="397"/>
        <v>248</v>
      </c>
      <c r="AA1047" s="458">
        <f t="shared" si="398"/>
        <v>393</v>
      </c>
      <c r="AB1047" s="458">
        <f t="shared" si="399"/>
        <v>298</v>
      </c>
      <c r="AC1047" s="451">
        <f t="shared" si="406"/>
        <v>939</v>
      </c>
    </row>
    <row r="1048" spans="1:29">
      <c r="A1048" s="248">
        <v>7</v>
      </c>
      <c r="B1048" s="452">
        <f t="shared" si="379"/>
        <v>235</v>
      </c>
      <c r="C1048" s="458">
        <f t="shared" si="380"/>
        <v>411</v>
      </c>
      <c r="D1048" s="458">
        <f t="shared" si="381"/>
        <v>333</v>
      </c>
      <c r="E1048" s="451">
        <f t="shared" si="400"/>
        <v>979</v>
      </c>
      <c r="F1048" s="458">
        <f t="shared" si="382"/>
        <v>252</v>
      </c>
      <c r="G1048" s="458">
        <f t="shared" si="383"/>
        <v>441</v>
      </c>
      <c r="H1048" s="458">
        <f t="shared" si="384"/>
        <v>357</v>
      </c>
      <c r="I1048" s="451">
        <f t="shared" si="401"/>
        <v>1050</v>
      </c>
      <c r="J1048" s="458">
        <f t="shared" si="385"/>
        <v>234</v>
      </c>
      <c r="K1048" s="458">
        <f t="shared" si="386"/>
        <v>409</v>
      </c>
      <c r="L1048" s="458">
        <f t="shared" si="387"/>
        <v>331</v>
      </c>
      <c r="M1048" s="451">
        <f t="shared" si="402"/>
        <v>974</v>
      </c>
      <c r="N1048" s="458">
        <f t="shared" si="388"/>
        <v>234</v>
      </c>
      <c r="O1048" s="458">
        <f t="shared" si="389"/>
        <v>410</v>
      </c>
      <c r="P1048" s="458">
        <f t="shared" si="390"/>
        <v>332</v>
      </c>
      <c r="Q1048" s="451">
        <f t="shared" si="403"/>
        <v>976</v>
      </c>
      <c r="R1048" s="458">
        <f t="shared" si="391"/>
        <v>243</v>
      </c>
      <c r="S1048" s="458">
        <f t="shared" si="392"/>
        <v>425</v>
      </c>
      <c r="T1048" s="458">
        <f t="shared" si="393"/>
        <v>344</v>
      </c>
      <c r="U1048" s="451">
        <f t="shared" si="404"/>
        <v>1012</v>
      </c>
      <c r="V1048" s="458">
        <f t="shared" si="394"/>
        <v>223</v>
      </c>
      <c r="W1048" s="458">
        <f t="shared" si="395"/>
        <v>391</v>
      </c>
      <c r="X1048" s="458">
        <f t="shared" si="396"/>
        <v>316</v>
      </c>
      <c r="Y1048" s="451">
        <f t="shared" si="405"/>
        <v>930</v>
      </c>
      <c r="Z1048" s="458">
        <f t="shared" si="397"/>
        <v>259</v>
      </c>
      <c r="AA1048" s="458">
        <f t="shared" si="398"/>
        <v>410</v>
      </c>
      <c r="AB1048" s="458">
        <f t="shared" si="399"/>
        <v>312</v>
      </c>
      <c r="AC1048" s="451">
        <f t="shared" si="406"/>
        <v>981</v>
      </c>
    </row>
    <row r="1049" spans="1:29">
      <c r="A1049" s="248">
        <v>8</v>
      </c>
      <c r="B1049" s="452">
        <f t="shared" si="379"/>
        <v>250</v>
      </c>
      <c r="C1049" s="458">
        <f t="shared" si="380"/>
        <v>438</v>
      </c>
      <c r="D1049" s="458">
        <f t="shared" si="381"/>
        <v>354</v>
      </c>
      <c r="E1049" s="451">
        <f t="shared" si="400"/>
        <v>1042</v>
      </c>
      <c r="F1049" s="458">
        <f t="shared" si="382"/>
        <v>237</v>
      </c>
      <c r="G1049" s="458">
        <f t="shared" si="383"/>
        <v>415</v>
      </c>
      <c r="H1049" s="458">
        <f t="shared" si="384"/>
        <v>336</v>
      </c>
      <c r="I1049" s="451">
        <f t="shared" si="401"/>
        <v>988</v>
      </c>
      <c r="J1049" s="458">
        <f t="shared" si="385"/>
        <v>253</v>
      </c>
      <c r="K1049" s="458">
        <f t="shared" si="386"/>
        <v>443</v>
      </c>
      <c r="L1049" s="458">
        <f t="shared" si="387"/>
        <v>358</v>
      </c>
      <c r="M1049" s="451">
        <f t="shared" si="402"/>
        <v>1054</v>
      </c>
      <c r="N1049" s="458">
        <f t="shared" si="388"/>
        <v>238</v>
      </c>
      <c r="O1049" s="458">
        <f t="shared" si="389"/>
        <v>416</v>
      </c>
      <c r="P1049" s="458">
        <f t="shared" si="390"/>
        <v>337</v>
      </c>
      <c r="Q1049" s="451">
        <f t="shared" si="403"/>
        <v>991</v>
      </c>
      <c r="R1049" s="458">
        <f t="shared" si="391"/>
        <v>229</v>
      </c>
      <c r="S1049" s="458">
        <f t="shared" si="392"/>
        <v>401</v>
      </c>
      <c r="T1049" s="458">
        <f t="shared" si="393"/>
        <v>325</v>
      </c>
      <c r="U1049" s="451">
        <f t="shared" si="404"/>
        <v>955</v>
      </c>
      <c r="V1049" s="458">
        <f t="shared" si="394"/>
        <v>242</v>
      </c>
      <c r="W1049" s="458">
        <f t="shared" si="395"/>
        <v>424</v>
      </c>
      <c r="X1049" s="458">
        <f t="shared" si="396"/>
        <v>343</v>
      </c>
      <c r="Y1049" s="451">
        <f t="shared" si="405"/>
        <v>1009</v>
      </c>
      <c r="Z1049" s="458">
        <f t="shared" si="397"/>
        <v>247</v>
      </c>
      <c r="AA1049" s="458">
        <f t="shared" si="398"/>
        <v>391</v>
      </c>
      <c r="AB1049" s="458">
        <f t="shared" si="399"/>
        <v>297</v>
      </c>
      <c r="AC1049" s="451">
        <f t="shared" si="406"/>
        <v>935</v>
      </c>
    </row>
    <row r="1050" spans="1:29">
      <c r="A1050" s="248">
        <v>9</v>
      </c>
      <c r="B1050" s="399">
        <f t="shared" ref="B1050:D1054" si="407">O185</f>
        <v>248</v>
      </c>
      <c r="C1050" s="164">
        <f t="shared" si="407"/>
        <v>446</v>
      </c>
      <c r="D1050" s="164">
        <f t="shared" si="407"/>
        <v>372</v>
      </c>
      <c r="E1050" s="451">
        <f t="shared" si="400"/>
        <v>1066</v>
      </c>
      <c r="F1050" s="164">
        <f t="shared" ref="F1050:H1054" si="408">O163</f>
        <v>272</v>
      </c>
      <c r="G1050" s="164">
        <f t="shared" si="408"/>
        <v>453</v>
      </c>
      <c r="H1050" s="164">
        <f t="shared" si="408"/>
        <v>321</v>
      </c>
      <c r="I1050" s="451">
        <f t="shared" si="401"/>
        <v>1046</v>
      </c>
      <c r="J1050" s="164">
        <f t="shared" ref="J1050:L1054" si="409">O141</f>
        <v>253</v>
      </c>
      <c r="K1050" s="164">
        <f t="shared" si="409"/>
        <v>437</v>
      </c>
      <c r="L1050" s="164">
        <f t="shared" si="409"/>
        <v>343</v>
      </c>
      <c r="M1050" s="451">
        <f t="shared" si="402"/>
        <v>1033</v>
      </c>
      <c r="N1050" s="29">
        <f t="shared" ref="N1050:P1054" si="410">O119</f>
        <v>241</v>
      </c>
      <c r="O1050" s="29">
        <f t="shared" si="410"/>
        <v>443</v>
      </c>
      <c r="P1050" s="29">
        <f t="shared" si="410"/>
        <v>386</v>
      </c>
      <c r="Q1050" s="451">
        <f t="shared" si="403"/>
        <v>1070</v>
      </c>
      <c r="R1050" s="29">
        <f t="shared" ref="R1050:T1054" si="411">O97</f>
        <v>249</v>
      </c>
      <c r="S1050" s="29">
        <f t="shared" si="411"/>
        <v>427</v>
      </c>
      <c r="T1050" s="29">
        <f t="shared" si="411"/>
        <v>301</v>
      </c>
      <c r="U1050" s="451">
        <f t="shared" si="404"/>
        <v>977</v>
      </c>
      <c r="V1050" s="29">
        <f t="shared" ref="V1050:X1054" si="412">O75</f>
        <v>232</v>
      </c>
      <c r="W1050" s="29">
        <f t="shared" si="412"/>
        <v>384</v>
      </c>
      <c r="X1050" s="29">
        <f t="shared" si="412"/>
        <v>359</v>
      </c>
      <c r="Y1050" s="451">
        <f t="shared" si="405"/>
        <v>975</v>
      </c>
      <c r="Z1050" s="29">
        <f t="shared" ref="Z1050:AB1054" si="413">O23</f>
        <v>239</v>
      </c>
      <c r="AA1050" s="29">
        <f t="shared" si="413"/>
        <v>412</v>
      </c>
      <c r="AB1050" s="29">
        <f t="shared" si="413"/>
        <v>370</v>
      </c>
      <c r="AC1050" s="451">
        <f t="shared" si="406"/>
        <v>1021</v>
      </c>
    </row>
    <row r="1051" spans="1:29">
      <c r="A1051" s="248">
        <v>10</v>
      </c>
      <c r="B1051" s="399">
        <f t="shared" si="407"/>
        <v>290</v>
      </c>
      <c r="C1051" s="164">
        <f t="shared" si="407"/>
        <v>406</v>
      </c>
      <c r="D1051" s="164">
        <f t="shared" si="407"/>
        <v>344</v>
      </c>
      <c r="E1051" s="451">
        <f t="shared" si="400"/>
        <v>1040</v>
      </c>
      <c r="F1051" s="164">
        <f t="shared" si="408"/>
        <v>240</v>
      </c>
      <c r="G1051" s="164">
        <f t="shared" si="408"/>
        <v>433</v>
      </c>
      <c r="H1051" s="164">
        <f t="shared" si="408"/>
        <v>359</v>
      </c>
      <c r="I1051" s="451">
        <f t="shared" si="401"/>
        <v>1032</v>
      </c>
      <c r="J1051" s="164">
        <f t="shared" si="409"/>
        <v>266</v>
      </c>
      <c r="K1051" s="164">
        <f t="shared" si="409"/>
        <v>425</v>
      </c>
      <c r="L1051" s="164">
        <f t="shared" si="409"/>
        <v>315</v>
      </c>
      <c r="M1051" s="451">
        <f t="shared" si="402"/>
        <v>1006</v>
      </c>
      <c r="N1051" s="29">
        <f t="shared" si="410"/>
        <v>253</v>
      </c>
      <c r="O1051" s="29">
        <f t="shared" si="410"/>
        <v>413</v>
      </c>
      <c r="P1051" s="29">
        <f t="shared" si="410"/>
        <v>317</v>
      </c>
      <c r="Q1051" s="451">
        <f t="shared" si="403"/>
        <v>983</v>
      </c>
      <c r="R1051" s="29">
        <f t="shared" si="411"/>
        <v>236</v>
      </c>
      <c r="S1051" s="29">
        <f t="shared" si="411"/>
        <v>418</v>
      </c>
      <c r="T1051" s="29">
        <f t="shared" si="411"/>
        <v>370</v>
      </c>
      <c r="U1051" s="451">
        <f t="shared" si="404"/>
        <v>1024</v>
      </c>
      <c r="V1051" s="29">
        <f t="shared" si="412"/>
        <v>242</v>
      </c>
      <c r="W1051" s="29">
        <f t="shared" si="412"/>
        <v>396</v>
      </c>
      <c r="X1051" s="29">
        <f t="shared" si="412"/>
        <v>292</v>
      </c>
      <c r="Y1051" s="451">
        <f t="shared" si="405"/>
        <v>930</v>
      </c>
      <c r="Z1051" s="29">
        <f t="shared" si="413"/>
        <v>234</v>
      </c>
      <c r="AA1051" s="29">
        <f t="shared" si="413"/>
        <v>351</v>
      </c>
      <c r="AB1051" s="29">
        <f t="shared" si="413"/>
        <v>355</v>
      </c>
      <c r="AC1051" s="451">
        <f t="shared" si="406"/>
        <v>940</v>
      </c>
    </row>
    <row r="1052" spans="1:29">
      <c r="A1052" s="248">
        <v>11</v>
      </c>
      <c r="B1052" s="399">
        <f t="shared" si="407"/>
        <v>263</v>
      </c>
      <c r="C1052" s="164">
        <f t="shared" si="407"/>
        <v>398</v>
      </c>
      <c r="D1052" s="164">
        <f t="shared" si="407"/>
        <v>336</v>
      </c>
      <c r="E1052" s="451">
        <f t="shared" si="400"/>
        <v>997</v>
      </c>
      <c r="F1052" s="164">
        <f t="shared" si="408"/>
        <v>294</v>
      </c>
      <c r="G1052" s="164">
        <f t="shared" si="408"/>
        <v>404</v>
      </c>
      <c r="H1052" s="164">
        <f t="shared" si="408"/>
        <v>325</v>
      </c>
      <c r="I1052" s="451">
        <f t="shared" si="401"/>
        <v>1023</v>
      </c>
      <c r="J1052" s="164">
        <f t="shared" si="409"/>
        <v>231</v>
      </c>
      <c r="K1052" s="164">
        <f t="shared" si="409"/>
        <v>401</v>
      </c>
      <c r="L1052" s="164">
        <f t="shared" si="409"/>
        <v>351</v>
      </c>
      <c r="M1052" s="451">
        <f t="shared" si="402"/>
        <v>983</v>
      </c>
      <c r="N1052" s="29">
        <f t="shared" si="410"/>
        <v>267</v>
      </c>
      <c r="O1052" s="29">
        <f t="shared" si="410"/>
        <v>423</v>
      </c>
      <c r="P1052" s="29">
        <f t="shared" si="410"/>
        <v>293</v>
      </c>
      <c r="Q1052" s="451">
        <f t="shared" si="403"/>
        <v>983</v>
      </c>
      <c r="R1052" s="29">
        <f t="shared" si="411"/>
        <v>244</v>
      </c>
      <c r="S1052" s="29">
        <f t="shared" si="411"/>
        <v>404</v>
      </c>
      <c r="T1052" s="29">
        <f t="shared" si="411"/>
        <v>306</v>
      </c>
      <c r="U1052" s="451">
        <f t="shared" si="404"/>
        <v>954</v>
      </c>
      <c r="V1052" s="29">
        <f t="shared" si="412"/>
        <v>233</v>
      </c>
      <c r="W1052" s="29">
        <f t="shared" si="412"/>
        <v>405</v>
      </c>
      <c r="X1052" s="29">
        <f t="shared" si="412"/>
        <v>359</v>
      </c>
      <c r="Y1052" s="451">
        <f t="shared" si="405"/>
        <v>997</v>
      </c>
      <c r="Z1052" s="29">
        <f t="shared" si="413"/>
        <v>247</v>
      </c>
      <c r="AA1052" s="29">
        <f t="shared" si="413"/>
        <v>396</v>
      </c>
      <c r="AB1052" s="29">
        <f t="shared" si="413"/>
        <v>285</v>
      </c>
      <c r="AC1052" s="451">
        <f t="shared" si="406"/>
        <v>928</v>
      </c>
    </row>
    <row r="1053" spans="1:29">
      <c r="A1053" s="248">
        <v>12</v>
      </c>
      <c r="B1053" s="399">
        <f t="shared" si="407"/>
        <v>248</v>
      </c>
      <c r="C1053" s="164">
        <f t="shared" si="407"/>
        <v>394</v>
      </c>
      <c r="D1053" s="164">
        <f t="shared" si="407"/>
        <v>329</v>
      </c>
      <c r="E1053" s="451">
        <f t="shared" si="400"/>
        <v>971</v>
      </c>
      <c r="F1053" s="164">
        <f t="shared" si="408"/>
        <v>258</v>
      </c>
      <c r="G1053" s="164">
        <f t="shared" si="408"/>
        <v>391</v>
      </c>
      <c r="H1053" s="164">
        <f t="shared" si="408"/>
        <v>329</v>
      </c>
      <c r="I1053" s="451">
        <f t="shared" si="401"/>
        <v>978</v>
      </c>
      <c r="J1053" s="164">
        <f t="shared" si="409"/>
        <v>286</v>
      </c>
      <c r="K1053" s="164">
        <f t="shared" si="409"/>
        <v>376</v>
      </c>
      <c r="L1053" s="164">
        <f t="shared" si="409"/>
        <v>313</v>
      </c>
      <c r="M1053" s="451">
        <f t="shared" si="402"/>
        <v>975</v>
      </c>
      <c r="N1053" s="29">
        <f t="shared" si="410"/>
        <v>228</v>
      </c>
      <c r="O1053" s="29">
        <f t="shared" si="410"/>
        <v>370</v>
      </c>
      <c r="P1053" s="29">
        <f t="shared" si="410"/>
        <v>336</v>
      </c>
      <c r="Q1053" s="451">
        <f t="shared" si="403"/>
        <v>934</v>
      </c>
      <c r="R1053" s="29">
        <f t="shared" si="411"/>
        <v>254</v>
      </c>
      <c r="S1053" s="29">
        <f t="shared" si="411"/>
        <v>384</v>
      </c>
      <c r="T1053" s="29">
        <f t="shared" si="411"/>
        <v>284</v>
      </c>
      <c r="U1053" s="451">
        <f t="shared" si="404"/>
        <v>922</v>
      </c>
      <c r="V1053" s="29">
        <f t="shared" si="412"/>
        <v>234</v>
      </c>
      <c r="W1053" s="29">
        <f t="shared" si="412"/>
        <v>364</v>
      </c>
      <c r="X1053" s="29">
        <f t="shared" si="412"/>
        <v>300</v>
      </c>
      <c r="Y1053" s="451">
        <f t="shared" si="405"/>
        <v>898</v>
      </c>
      <c r="Z1053" s="29">
        <f t="shared" si="413"/>
        <v>227</v>
      </c>
      <c r="AA1053" s="29">
        <f t="shared" si="413"/>
        <v>400</v>
      </c>
      <c r="AB1053" s="29">
        <f t="shared" si="413"/>
        <v>358</v>
      </c>
      <c r="AC1053" s="451">
        <f t="shared" si="406"/>
        <v>985</v>
      </c>
    </row>
    <row r="1054" spans="1:29">
      <c r="A1054" s="248">
        <v>14</v>
      </c>
      <c r="B1054" s="454">
        <f t="shared" si="407"/>
        <v>5</v>
      </c>
      <c r="C1054" s="456">
        <f t="shared" si="407"/>
        <v>11</v>
      </c>
      <c r="D1054" s="456">
        <f t="shared" si="407"/>
        <v>6</v>
      </c>
      <c r="E1054" s="457">
        <f t="shared" si="400"/>
        <v>22</v>
      </c>
      <c r="F1054" s="456">
        <f t="shared" si="408"/>
        <v>6</v>
      </c>
      <c r="G1054" s="456">
        <f t="shared" si="408"/>
        <v>11</v>
      </c>
      <c r="H1054" s="456">
        <f t="shared" si="408"/>
        <v>7</v>
      </c>
      <c r="I1054" s="457">
        <f t="shared" si="401"/>
        <v>24</v>
      </c>
      <c r="J1054" s="456">
        <f t="shared" si="409"/>
        <v>3</v>
      </c>
      <c r="K1054" s="456">
        <f t="shared" si="409"/>
        <v>11</v>
      </c>
      <c r="L1054" s="456">
        <f t="shared" si="409"/>
        <v>7</v>
      </c>
      <c r="M1054" s="457">
        <f t="shared" si="402"/>
        <v>21</v>
      </c>
      <c r="N1054" s="339">
        <f t="shared" si="410"/>
        <v>4</v>
      </c>
      <c r="O1054" s="339">
        <f t="shared" si="410"/>
        <v>7</v>
      </c>
      <c r="P1054" s="339">
        <f t="shared" si="410"/>
        <v>9</v>
      </c>
      <c r="Q1054" s="457">
        <f t="shared" si="403"/>
        <v>20</v>
      </c>
      <c r="R1054" s="339">
        <f t="shared" si="411"/>
        <v>3</v>
      </c>
      <c r="S1054" s="339">
        <f t="shared" si="411"/>
        <v>3</v>
      </c>
      <c r="T1054" s="339">
        <f t="shared" si="411"/>
        <v>9</v>
      </c>
      <c r="U1054" s="457">
        <f t="shared" si="404"/>
        <v>15</v>
      </c>
      <c r="V1054" s="339">
        <f t="shared" si="412"/>
        <v>5</v>
      </c>
      <c r="W1054" s="339">
        <f t="shared" si="412"/>
        <v>4</v>
      </c>
      <c r="X1054" s="339">
        <f t="shared" si="412"/>
        <v>4</v>
      </c>
      <c r="Y1054" s="457">
        <f t="shared" si="405"/>
        <v>13</v>
      </c>
      <c r="Z1054" s="339">
        <f t="shared" si="413"/>
        <v>6</v>
      </c>
      <c r="AA1054" s="339">
        <f t="shared" si="413"/>
        <v>9</v>
      </c>
      <c r="AB1054" s="339">
        <f t="shared" si="413"/>
        <v>7</v>
      </c>
      <c r="AC1054" s="457">
        <f t="shared" si="406"/>
        <v>22</v>
      </c>
    </row>
    <row r="1061" spans="1:13">
      <c r="E1061" s="61" t="s">
        <v>104</v>
      </c>
    </row>
    <row r="1063" spans="1:13">
      <c r="A1063" s="353" t="s">
        <v>66</v>
      </c>
      <c r="B1063" s="787" t="s">
        <v>346</v>
      </c>
      <c r="C1063" s="788"/>
      <c r="D1063" s="789"/>
      <c r="E1063" s="787" t="s">
        <v>90</v>
      </c>
      <c r="F1063" s="788"/>
      <c r="G1063" s="789"/>
      <c r="H1063" s="787" t="s">
        <v>103</v>
      </c>
      <c r="I1063" s="788"/>
      <c r="J1063" s="789"/>
      <c r="K1063" s="787" t="s">
        <v>52</v>
      </c>
      <c r="L1063" s="788"/>
      <c r="M1063" s="789"/>
    </row>
    <row r="1064" spans="1:13" ht="13.8" thickBot="1">
      <c r="A1064" s="449"/>
      <c r="B1064" s="242" t="s">
        <v>89</v>
      </c>
      <c r="C1064" s="242" t="s">
        <v>91</v>
      </c>
      <c r="D1064" s="379" t="s">
        <v>71</v>
      </c>
      <c r="E1064" s="341" t="s">
        <v>89</v>
      </c>
      <c r="F1064" s="242" t="s">
        <v>91</v>
      </c>
      <c r="G1064" s="371" t="s">
        <v>71</v>
      </c>
      <c r="H1064" s="341" t="s">
        <v>89</v>
      </c>
      <c r="I1064" s="242" t="s">
        <v>91</v>
      </c>
      <c r="J1064" s="371" t="s">
        <v>79</v>
      </c>
      <c r="K1064" s="242" t="s">
        <v>89</v>
      </c>
      <c r="L1064" s="242" t="s">
        <v>91</v>
      </c>
      <c r="M1064" s="371" t="s">
        <v>71</v>
      </c>
    </row>
    <row r="1065" spans="1:13" ht="13.8" thickTop="1">
      <c r="A1065" s="222" t="str">
        <f>$A$396</f>
        <v>2011-12</v>
      </c>
      <c r="B1065" s="29"/>
      <c r="C1065" s="29"/>
      <c r="D1065" s="29"/>
      <c r="E1065" s="194"/>
      <c r="F1065" s="29"/>
      <c r="G1065" s="226"/>
      <c r="H1065" s="194"/>
      <c r="I1065" s="29"/>
      <c r="J1065" s="226"/>
      <c r="K1065" s="29"/>
      <c r="L1065" s="29"/>
      <c r="M1065" s="226"/>
    </row>
    <row r="1066" spans="1:13">
      <c r="A1066" s="222" t="str">
        <f>$A$397</f>
        <v>2012-13</v>
      </c>
      <c r="B1066" s="29">
        <f>B1030</f>
        <v>233</v>
      </c>
      <c r="C1066" s="29"/>
      <c r="D1066" s="29"/>
      <c r="E1066" s="194">
        <f>C1030</f>
        <v>408</v>
      </c>
      <c r="F1066" s="29"/>
      <c r="G1066" s="226"/>
      <c r="H1066" s="194">
        <f>D1030</f>
        <v>330</v>
      </c>
      <c r="I1066" s="29"/>
      <c r="J1066" s="226"/>
      <c r="K1066" s="329">
        <f t="shared" ref="K1066:L1077" si="414">B1066+E1066+H1066</f>
        <v>971</v>
      </c>
      <c r="L1066" s="29"/>
      <c r="M1066" s="226"/>
    </row>
    <row r="1067" spans="1:13">
      <c r="A1067" s="222" t="str">
        <f>$A$398</f>
        <v>2013-14</v>
      </c>
      <c r="B1067" s="29">
        <f>F1030</f>
        <v>244</v>
      </c>
      <c r="C1067" s="29">
        <f>F1031</f>
        <v>272</v>
      </c>
      <c r="D1067" s="252">
        <f t="shared" ref="D1067:D1073" si="415">C1067/B1066</f>
        <v>1.1673819742489271</v>
      </c>
      <c r="E1067" s="194">
        <f>G1030</f>
        <v>427</v>
      </c>
      <c r="F1067" s="29">
        <f>G1031</f>
        <v>387</v>
      </c>
      <c r="G1067" s="233">
        <f t="shared" ref="G1067:G1073" si="416">F1067/E1066</f>
        <v>0.94852941176470584</v>
      </c>
      <c r="H1067" s="194">
        <f>H1030</f>
        <v>345</v>
      </c>
      <c r="I1067" s="29">
        <f>H1031</f>
        <v>315</v>
      </c>
      <c r="J1067" s="233">
        <f t="shared" ref="J1067:J1073" si="417">I1067/H1066</f>
        <v>0.95454545454545459</v>
      </c>
      <c r="K1067" s="329">
        <f t="shared" si="414"/>
        <v>1016</v>
      </c>
      <c r="L1067" s="329">
        <f t="shared" si="414"/>
        <v>974</v>
      </c>
      <c r="M1067" s="233">
        <f t="shared" ref="M1067:M1077" si="418">L1067/K1066</f>
        <v>1.0030895983522141</v>
      </c>
    </row>
    <row r="1068" spans="1:13">
      <c r="A1068" s="222" t="str">
        <f>$A$399</f>
        <v>2014-15</v>
      </c>
      <c r="B1068" s="29">
        <f>J1030</f>
        <v>246</v>
      </c>
      <c r="C1068" s="29">
        <f>J1031</f>
        <v>271</v>
      </c>
      <c r="D1068" s="252">
        <f t="shared" si="415"/>
        <v>1.110655737704918</v>
      </c>
      <c r="E1068" s="194">
        <f>K1030</f>
        <v>430</v>
      </c>
      <c r="F1068" s="29">
        <f>K1031</f>
        <v>425</v>
      </c>
      <c r="G1068" s="233">
        <f t="shared" si="416"/>
        <v>0.99531615925058547</v>
      </c>
      <c r="H1068" s="194">
        <f>L1030</f>
        <v>348</v>
      </c>
      <c r="I1068" s="29">
        <f>L1031</f>
        <v>319</v>
      </c>
      <c r="J1068" s="233">
        <f t="shared" si="417"/>
        <v>0.92463768115942024</v>
      </c>
      <c r="K1068" s="329">
        <f t="shared" si="414"/>
        <v>1024</v>
      </c>
      <c r="L1068" s="329">
        <f t="shared" si="414"/>
        <v>1015</v>
      </c>
      <c r="M1068" s="233">
        <f t="shared" si="418"/>
        <v>0.99901574803149606</v>
      </c>
    </row>
    <row r="1069" spans="1:13">
      <c r="A1069" s="222" t="str">
        <f>$A$400</f>
        <v>2015-16</v>
      </c>
      <c r="B1069" s="61">
        <f>N1030</f>
        <v>235</v>
      </c>
      <c r="C1069" s="61">
        <f>N1031</f>
        <v>262</v>
      </c>
      <c r="D1069" s="252">
        <f t="shared" si="415"/>
        <v>1.065040650406504</v>
      </c>
      <c r="E1069" s="194">
        <f>O1030</f>
        <v>411</v>
      </c>
      <c r="F1069" s="61">
        <f>O1031</f>
        <v>433</v>
      </c>
      <c r="G1069" s="233">
        <f t="shared" si="416"/>
        <v>1.0069767441860464</v>
      </c>
      <c r="H1069" s="194">
        <f>P1030</f>
        <v>333</v>
      </c>
      <c r="I1069" s="29">
        <f>P1031</f>
        <v>352</v>
      </c>
      <c r="J1069" s="233">
        <f t="shared" si="417"/>
        <v>1.0114942528735633</v>
      </c>
      <c r="K1069" s="329">
        <f t="shared" si="414"/>
        <v>979</v>
      </c>
      <c r="L1069" s="329">
        <f t="shared" si="414"/>
        <v>1047</v>
      </c>
      <c r="M1069" s="233">
        <f t="shared" si="418"/>
        <v>1.0224609375</v>
      </c>
    </row>
    <row r="1070" spans="1:13">
      <c r="A1070" s="222" t="str">
        <f>$A$401</f>
        <v>2016-17</v>
      </c>
      <c r="B1070" s="29">
        <f>R1030</f>
        <v>235</v>
      </c>
      <c r="C1070" s="29">
        <f>R1031</f>
        <v>265</v>
      </c>
      <c r="D1070" s="252">
        <f t="shared" si="415"/>
        <v>1.1276595744680851</v>
      </c>
      <c r="E1070" s="194">
        <f>S1030</f>
        <v>412</v>
      </c>
      <c r="F1070" s="29">
        <f>S1031</f>
        <v>412</v>
      </c>
      <c r="G1070" s="233">
        <f t="shared" si="416"/>
        <v>1.002433090024331</v>
      </c>
      <c r="H1070" s="194">
        <f>T1030</f>
        <v>334</v>
      </c>
      <c r="I1070" s="29">
        <f>T1031</f>
        <v>339</v>
      </c>
      <c r="J1070" s="233">
        <f t="shared" si="417"/>
        <v>1.0180180180180181</v>
      </c>
      <c r="K1070" s="329">
        <f t="shared" si="414"/>
        <v>981</v>
      </c>
      <c r="L1070" s="329">
        <f t="shared" si="414"/>
        <v>1016</v>
      </c>
      <c r="M1070" s="233">
        <f t="shared" si="418"/>
        <v>1.0377936670071501</v>
      </c>
    </row>
    <row r="1071" spans="1:13">
      <c r="A1071" s="222" t="str">
        <f>$A$402</f>
        <v>2017-18</v>
      </c>
      <c r="B1071" s="29">
        <f>V1030</f>
        <v>256</v>
      </c>
      <c r="C1071" s="29">
        <f>V1031</f>
        <v>281</v>
      </c>
      <c r="D1071" s="252">
        <f t="shared" si="415"/>
        <v>1.1957446808510639</v>
      </c>
      <c r="E1071" s="194">
        <f>W1030</f>
        <v>447</v>
      </c>
      <c r="F1071" s="29">
        <f>W1031</f>
        <v>414</v>
      </c>
      <c r="G1071" s="233">
        <f t="shared" si="416"/>
        <v>1.0048543689320388</v>
      </c>
      <c r="H1071" s="194">
        <f>X1030</f>
        <v>362</v>
      </c>
      <c r="I1071" s="29">
        <f>X1031</f>
        <v>348</v>
      </c>
      <c r="J1071" s="233">
        <f t="shared" si="417"/>
        <v>1.0419161676646707</v>
      </c>
      <c r="K1071" s="329">
        <f t="shared" si="414"/>
        <v>1065</v>
      </c>
      <c r="L1071" s="329">
        <f t="shared" si="414"/>
        <v>1043</v>
      </c>
      <c r="M1071" s="233">
        <f t="shared" si="418"/>
        <v>1.0632008154943935</v>
      </c>
    </row>
    <row r="1072" spans="1:13">
      <c r="A1072" s="222" t="str">
        <f>$A$403</f>
        <v>2018-19</v>
      </c>
      <c r="B1072" s="29">
        <f>Z1030</f>
        <v>249</v>
      </c>
      <c r="C1072" s="29">
        <f>Z1031</f>
        <v>291</v>
      </c>
      <c r="D1072" s="252">
        <f t="shared" si="415"/>
        <v>1.13671875</v>
      </c>
      <c r="E1072" s="194">
        <f>AA1030</f>
        <v>436</v>
      </c>
      <c r="F1072" s="29">
        <f>AA1031</f>
        <v>401</v>
      </c>
      <c r="G1072" s="233">
        <f t="shared" si="416"/>
        <v>0.8970917225950783</v>
      </c>
      <c r="H1072" s="194">
        <f>AB1030</f>
        <v>353</v>
      </c>
      <c r="I1072" s="29">
        <f>AB1031</f>
        <v>367</v>
      </c>
      <c r="J1072" s="233">
        <f t="shared" si="417"/>
        <v>1.0138121546961325</v>
      </c>
      <c r="K1072" s="329">
        <f t="shared" si="414"/>
        <v>1038</v>
      </c>
      <c r="L1072" s="329">
        <f t="shared" si="414"/>
        <v>1059</v>
      </c>
      <c r="M1072" s="233">
        <f t="shared" si="418"/>
        <v>0.9943661971830986</v>
      </c>
    </row>
    <row r="1073" spans="1:14">
      <c r="A1073" s="222" t="str">
        <f>$A$404</f>
        <v>2019-20</v>
      </c>
      <c r="B1073" s="29">
        <f>B1049</f>
        <v>250</v>
      </c>
      <c r="C1073" s="29">
        <f>B1050</f>
        <v>248</v>
      </c>
      <c r="D1073" s="252">
        <f t="shared" si="415"/>
        <v>0.99598393574297184</v>
      </c>
      <c r="E1073" s="194">
        <f>C1049</f>
        <v>438</v>
      </c>
      <c r="F1073" s="29">
        <f>C1050</f>
        <v>446</v>
      </c>
      <c r="G1073" s="233">
        <f t="shared" si="416"/>
        <v>1.0229357798165137</v>
      </c>
      <c r="H1073" s="194">
        <f>D1049</f>
        <v>354</v>
      </c>
      <c r="I1073" s="29">
        <f>D1050</f>
        <v>372</v>
      </c>
      <c r="J1073" s="233">
        <f t="shared" si="417"/>
        <v>1.0538243626062322</v>
      </c>
      <c r="K1073" s="329">
        <f t="shared" si="414"/>
        <v>1042</v>
      </c>
      <c r="L1073" s="329">
        <f t="shared" si="414"/>
        <v>1066</v>
      </c>
      <c r="M1073" s="233">
        <f t="shared" si="418"/>
        <v>1.0269749518304432</v>
      </c>
    </row>
    <row r="1074" spans="1:14">
      <c r="A1074" s="222" t="str">
        <f>$A$405</f>
        <v>2020-21</v>
      </c>
      <c r="B1074" s="29">
        <f>F1049</f>
        <v>237</v>
      </c>
      <c r="C1074" s="29">
        <f>F1050</f>
        <v>272</v>
      </c>
      <c r="D1074" s="252">
        <f t="shared" ref="D1074:D1079" si="419">C1074/B1073</f>
        <v>1.0880000000000001</v>
      </c>
      <c r="E1074" s="194">
        <f>G1049</f>
        <v>415</v>
      </c>
      <c r="F1074" s="29">
        <f>G1050</f>
        <v>453</v>
      </c>
      <c r="G1074" s="233">
        <f t="shared" ref="G1074:G1079" si="420">F1074/E1073</f>
        <v>1.0342465753424657</v>
      </c>
      <c r="H1074" s="465">
        <f>H1049</f>
        <v>336</v>
      </c>
      <c r="I1074" s="327">
        <f>H1050</f>
        <v>321</v>
      </c>
      <c r="J1074" s="233">
        <f t="shared" ref="J1074:J1079" si="421">I1074/H1073</f>
        <v>0.90677966101694918</v>
      </c>
      <c r="K1074" s="329">
        <f t="shared" si="414"/>
        <v>988</v>
      </c>
      <c r="L1074" s="329">
        <f t="shared" si="414"/>
        <v>1046</v>
      </c>
      <c r="M1074" s="233">
        <f t="shared" si="418"/>
        <v>1.0038387715930903</v>
      </c>
    </row>
    <row r="1075" spans="1:14">
      <c r="A1075" s="222" t="str">
        <f>$A$406</f>
        <v>2021-22</v>
      </c>
      <c r="B1075" s="29">
        <f>J1049</f>
        <v>253</v>
      </c>
      <c r="C1075" s="29">
        <f>J1050</f>
        <v>253</v>
      </c>
      <c r="D1075" s="252">
        <f t="shared" si="419"/>
        <v>1.0675105485232068</v>
      </c>
      <c r="E1075" s="194">
        <f>K1049</f>
        <v>443</v>
      </c>
      <c r="F1075" s="29">
        <f>K1050</f>
        <v>437</v>
      </c>
      <c r="G1075" s="233">
        <f t="shared" si="420"/>
        <v>1.0530120481927712</v>
      </c>
      <c r="H1075" s="465">
        <f>L1049</f>
        <v>358</v>
      </c>
      <c r="I1075" s="327">
        <f>L1050</f>
        <v>343</v>
      </c>
      <c r="J1075" s="233">
        <f t="shared" si="421"/>
        <v>1.0208333333333333</v>
      </c>
      <c r="K1075" s="329">
        <f t="shared" si="414"/>
        <v>1054</v>
      </c>
      <c r="L1075" s="329">
        <f t="shared" si="414"/>
        <v>1033</v>
      </c>
      <c r="M1075" s="233">
        <f t="shared" si="418"/>
        <v>1.0455465587044535</v>
      </c>
    </row>
    <row r="1076" spans="1:14">
      <c r="A1076" s="222" t="str">
        <f>$A$407</f>
        <v>2022-23</v>
      </c>
      <c r="B1076" s="29">
        <f>N1049</f>
        <v>238</v>
      </c>
      <c r="C1076" s="29">
        <f>N1050</f>
        <v>241</v>
      </c>
      <c r="D1076" s="252">
        <f t="shared" si="419"/>
        <v>0.95256916996047436</v>
      </c>
      <c r="E1076" s="194">
        <f>O1049</f>
        <v>416</v>
      </c>
      <c r="F1076" s="29">
        <f>O1050</f>
        <v>443</v>
      </c>
      <c r="G1076" s="233">
        <f t="shared" si="420"/>
        <v>1</v>
      </c>
      <c r="H1076" s="465">
        <f>P1049</f>
        <v>337</v>
      </c>
      <c r="I1076" s="327">
        <f>P1050</f>
        <v>386</v>
      </c>
      <c r="J1076" s="233">
        <f t="shared" si="421"/>
        <v>1.0782122905027933</v>
      </c>
      <c r="K1076" s="329">
        <f t="shared" si="414"/>
        <v>991</v>
      </c>
      <c r="L1076" s="329">
        <f t="shared" si="414"/>
        <v>1070</v>
      </c>
      <c r="M1076" s="233">
        <f t="shared" si="418"/>
        <v>1.0151802656546489</v>
      </c>
    </row>
    <row r="1077" spans="1:14">
      <c r="A1077" s="222" t="str">
        <f>$A$408</f>
        <v>2023-24</v>
      </c>
      <c r="B1077" s="29">
        <f>R1049</f>
        <v>229</v>
      </c>
      <c r="C1077" s="29">
        <f>R1050</f>
        <v>249</v>
      </c>
      <c r="D1077" s="252">
        <f t="shared" si="419"/>
        <v>1.046218487394958</v>
      </c>
      <c r="E1077" s="194">
        <f>S1049</f>
        <v>401</v>
      </c>
      <c r="F1077" s="29">
        <f>S1050</f>
        <v>427</v>
      </c>
      <c r="G1077" s="233">
        <f t="shared" si="420"/>
        <v>1.0264423076923077</v>
      </c>
      <c r="H1077" s="465">
        <f>T1049</f>
        <v>325</v>
      </c>
      <c r="I1077" s="327">
        <f>T1050</f>
        <v>301</v>
      </c>
      <c r="J1077" s="233">
        <f t="shared" si="421"/>
        <v>0.89317507418397624</v>
      </c>
      <c r="K1077" s="329">
        <f t="shared" si="414"/>
        <v>955</v>
      </c>
      <c r="L1077" s="329">
        <f t="shared" si="414"/>
        <v>977</v>
      </c>
      <c r="M1077" s="233">
        <f t="shared" si="418"/>
        <v>0.98587285570131178</v>
      </c>
    </row>
    <row r="1078" spans="1:14">
      <c r="A1078" s="222" t="str">
        <f>$A$409</f>
        <v>2024-25</v>
      </c>
      <c r="B1078" s="29">
        <f>V1049</f>
        <v>242</v>
      </c>
      <c r="C1078" s="29">
        <f>V1050</f>
        <v>232</v>
      </c>
      <c r="D1078" s="252">
        <f t="shared" si="419"/>
        <v>1.0131004366812226</v>
      </c>
      <c r="E1078" s="194">
        <f>W1049</f>
        <v>424</v>
      </c>
      <c r="F1078" s="29">
        <f>W1050</f>
        <v>384</v>
      </c>
      <c r="G1078" s="233">
        <f t="shared" si="420"/>
        <v>0.95760598503740646</v>
      </c>
      <c r="H1078" s="465">
        <f>X1049</f>
        <v>343</v>
      </c>
      <c r="I1078" s="327">
        <f>X1050</f>
        <v>359</v>
      </c>
      <c r="J1078" s="233">
        <f t="shared" si="421"/>
        <v>1.1046153846153846</v>
      </c>
      <c r="K1078" s="329">
        <f>B1078+E1078+H1078</f>
        <v>1009</v>
      </c>
      <c r="L1078" s="329">
        <f>C1078+F1078+I1078</f>
        <v>975</v>
      </c>
      <c r="M1078" s="233">
        <f>L1078/K1077</f>
        <v>1.0209424083769634</v>
      </c>
    </row>
    <row r="1079" spans="1:14" ht="13.8" thickBot="1">
      <c r="A1079" s="418" t="str">
        <f>$A$410</f>
        <v>2025-26</v>
      </c>
      <c r="B1079" s="136">
        <f>Z1049</f>
        <v>247</v>
      </c>
      <c r="C1079" s="136">
        <f>Z1050</f>
        <v>239</v>
      </c>
      <c r="D1079" s="326">
        <f t="shared" si="419"/>
        <v>0.98760330578512401</v>
      </c>
      <c r="E1079" s="159">
        <f>AA1049</f>
        <v>391</v>
      </c>
      <c r="F1079" s="136">
        <f>AA1050</f>
        <v>412</v>
      </c>
      <c r="G1079" s="235">
        <f t="shared" si="420"/>
        <v>0.97169811320754718</v>
      </c>
      <c r="H1079" s="328">
        <f>AB1049</f>
        <v>297</v>
      </c>
      <c r="I1079" s="331">
        <f>AB1050</f>
        <v>370</v>
      </c>
      <c r="J1079" s="235">
        <f t="shared" si="421"/>
        <v>1.0787172011661808</v>
      </c>
      <c r="K1079" s="332">
        <f>B1079+E1079+H1079</f>
        <v>935</v>
      </c>
      <c r="L1079" s="332">
        <f>C1079+F1079+I1079</f>
        <v>1021</v>
      </c>
      <c r="M1079" s="235">
        <f>L1079/K1078</f>
        <v>1.0118929633300298</v>
      </c>
    </row>
    <row r="1080" spans="1:14" ht="13.8" thickTop="1">
      <c r="A1080" s="222"/>
      <c r="B1080" s="29"/>
      <c r="C1080" s="29"/>
      <c r="D1080" s="29"/>
      <c r="E1080" s="194"/>
      <c r="F1080" s="29"/>
      <c r="G1080" s="226"/>
      <c r="H1080" s="194"/>
      <c r="I1080" s="29"/>
      <c r="J1080" s="226"/>
      <c r="K1080" s="29"/>
      <c r="L1080" s="29"/>
      <c r="M1080" s="226"/>
    </row>
    <row r="1081" spans="1:14">
      <c r="A1081" s="357" t="s">
        <v>72</v>
      </c>
      <c r="B1081" s="29">
        <f>SUM(B1076:B1078)</f>
        <v>709</v>
      </c>
      <c r="C1081" s="29">
        <f>SUM(C1077:C1079)</f>
        <v>720</v>
      </c>
      <c r="D1081" s="252">
        <f>C1081/B1081</f>
        <v>1.0155148095909732</v>
      </c>
      <c r="E1081" s="194">
        <f>SUM(E1076:E1078)</f>
        <v>1241</v>
      </c>
      <c r="F1081" s="29">
        <f>SUM(F1077:F1079)</f>
        <v>1223</v>
      </c>
      <c r="G1081" s="233">
        <f>F1081/E1081</f>
        <v>0.98549556809024985</v>
      </c>
      <c r="H1081" s="465">
        <f>SUM(H1076:H1078)</f>
        <v>1005</v>
      </c>
      <c r="I1081" s="327">
        <f>SUM(I1077:I1079)</f>
        <v>1030</v>
      </c>
      <c r="J1081" s="233">
        <f>I1081/H1081</f>
        <v>1.0248756218905473</v>
      </c>
      <c r="K1081" s="29">
        <f>SUM(K1076:K1078)</f>
        <v>2955</v>
      </c>
      <c r="L1081" s="29">
        <f>SUM(L1077:L1079)</f>
        <v>2973</v>
      </c>
      <c r="M1081" s="233">
        <f>L1081/K1081</f>
        <v>1.0060913705583756</v>
      </c>
    </row>
    <row r="1082" spans="1:14">
      <c r="A1082" s="357" t="s">
        <v>73</v>
      </c>
      <c r="B1082" s="29">
        <f>SUM(B1074:B1078)</f>
        <v>1199</v>
      </c>
      <c r="C1082" s="29">
        <f>SUM(C1075:C1079)</f>
        <v>1214</v>
      </c>
      <c r="D1082" s="252">
        <f>C1082/B1082</f>
        <v>1.0125104253544621</v>
      </c>
      <c r="E1082" s="194">
        <f>SUM(E1074:E1078)</f>
        <v>2099</v>
      </c>
      <c r="F1082" s="29">
        <f>SUM(F1075:F1079)</f>
        <v>2103</v>
      </c>
      <c r="G1082" s="233">
        <f>F1082/E1082</f>
        <v>1.0019056693663648</v>
      </c>
      <c r="H1082" s="465">
        <f>SUM(H1074:H1078)</f>
        <v>1699</v>
      </c>
      <c r="I1082" s="327">
        <f>SUM(I1075:I1079)</f>
        <v>1759</v>
      </c>
      <c r="J1082" s="233">
        <f>I1082/H1082</f>
        <v>1.035314891112419</v>
      </c>
      <c r="K1082" s="29">
        <f>SUM(K1074:K1078)</f>
        <v>4997</v>
      </c>
      <c r="L1082" s="29">
        <f>SUM(L1075:L1079)</f>
        <v>5076</v>
      </c>
      <c r="M1082" s="233">
        <f>L1082/K1082</f>
        <v>1.0158094856914148</v>
      </c>
    </row>
    <row r="1083" spans="1:14">
      <c r="A1083" s="224" t="s">
        <v>74</v>
      </c>
      <c r="B1083" s="339">
        <f>SUM(B1069:B1078)</f>
        <v>2424</v>
      </c>
      <c r="C1083" s="339">
        <f>SUM(C1070:C1079)</f>
        <v>2571</v>
      </c>
      <c r="D1083" s="464">
        <f>C1083/B1083</f>
        <v>1.0606435643564356</v>
      </c>
      <c r="E1083" s="439">
        <f>SUM(E1069:E1078)</f>
        <v>4243</v>
      </c>
      <c r="F1083" s="339">
        <f>SUM(F1070:F1079)</f>
        <v>4229</v>
      </c>
      <c r="G1083" s="464">
        <f>F1083/E1083</f>
        <v>0.99670044779637046</v>
      </c>
      <c r="H1083" s="439">
        <f>SUM(H1069:H1078)</f>
        <v>3435</v>
      </c>
      <c r="I1083" s="339">
        <f>SUM(I1070:I1079)</f>
        <v>3506</v>
      </c>
      <c r="J1083" s="464">
        <f>I1083/H1083</f>
        <v>1.020669577874818</v>
      </c>
      <c r="K1083" s="439">
        <f>SUM(K1069:K1078)</f>
        <v>10102</v>
      </c>
      <c r="L1083" s="339">
        <f>SUM(L1070:L1079)</f>
        <v>10306</v>
      </c>
      <c r="M1083" s="464">
        <f>L1083/K1083</f>
        <v>1.0201940209859435</v>
      </c>
      <c r="N1083" s="194"/>
    </row>
    <row r="1087" spans="1:14">
      <c r="E1087" s="61" t="s">
        <v>105</v>
      </c>
    </row>
    <row r="1088" spans="1:14">
      <c r="H1088" s="339"/>
      <c r="I1088" s="339"/>
      <c r="J1088" s="339"/>
    </row>
    <row r="1089" spans="1:13">
      <c r="A1089" s="249" t="s">
        <v>66</v>
      </c>
      <c r="B1089" s="809" t="s">
        <v>346</v>
      </c>
      <c r="C1089" s="788"/>
      <c r="D1089" s="789"/>
      <c r="E1089" s="787" t="s">
        <v>90</v>
      </c>
      <c r="F1089" s="788"/>
      <c r="G1089" s="789"/>
      <c r="H1089" s="787" t="s">
        <v>103</v>
      </c>
      <c r="I1089" s="788"/>
      <c r="J1089" s="804"/>
      <c r="K1089" s="809" t="s">
        <v>52</v>
      </c>
      <c r="L1089" s="788"/>
      <c r="M1089" s="789"/>
    </row>
    <row r="1090" spans="1:13" ht="13.8" thickBot="1">
      <c r="A1090" s="250"/>
      <c r="B1090" s="241" t="s">
        <v>88</v>
      </c>
      <c r="C1090" s="242" t="s">
        <v>89</v>
      </c>
      <c r="D1090" s="230" t="s">
        <v>71</v>
      </c>
      <c r="E1090" s="242" t="s">
        <v>88</v>
      </c>
      <c r="F1090" s="242" t="s">
        <v>89</v>
      </c>
      <c r="G1090" s="229" t="s">
        <v>71</v>
      </c>
      <c r="H1090" s="341" t="s">
        <v>88</v>
      </c>
      <c r="I1090" s="242" t="s">
        <v>89</v>
      </c>
      <c r="J1090" s="229" t="s">
        <v>71</v>
      </c>
      <c r="K1090" s="241" t="s">
        <v>88</v>
      </c>
      <c r="L1090" s="242" t="s">
        <v>89</v>
      </c>
      <c r="M1090" s="230" t="s">
        <v>71</v>
      </c>
    </row>
    <row r="1091" spans="1:13" ht="13.8" thickTop="1">
      <c r="A1091" s="232" t="str">
        <f>$A$396</f>
        <v>2011-12</v>
      </c>
      <c r="D1091" s="226"/>
      <c r="G1091" s="226"/>
      <c r="K1091" s="340"/>
      <c r="M1091" s="226"/>
    </row>
    <row r="1092" spans="1:13">
      <c r="A1092" s="232" t="str">
        <f>$A$397</f>
        <v>2012-13</v>
      </c>
      <c r="B1092" s="61">
        <f>B1029</f>
        <v>240</v>
      </c>
      <c r="D1092" s="226"/>
      <c r="E1092" s="61">
        <f>C1029</f>
        <v>419</v>
      </c>
      <c r="G1092" s="226"/>
      <c r="H1092" s="61">
        <f>D1029</f>
        <v>339</v>
      </c>
      <c r="K1092" s="194">
        <f t="shared" ref="K1092:L1099" si="422">B1092+E1092+H1092</f>
        <v>998</v>
      </c>
      <c r="M1092" s="226"/>
    </row>
    <row r="1093" spans="1:13">
      <c r="A1093" s="232" t="str">
        <f>$A$398</f>
        <v>2013-14</v>
      </c>
      <c r="B1093" s="61">
        <f>F1029</f>
        <v>238</v>
      </c>
      <c r="C1093" s="61">
        <f>F1030</f>
        <v>244</v>
      </c>
      <c r="D1093" s="233">
        <f t="shared" ref="D1093:D1099" si="423">C1093/B1092</f>
        <v>1.0166666666666666</v>
      </c>
      <c r="E1093" s="61">
        <f>G1029</f>
        <v>417</v>
      </c>
      <c r="F1093" s="61">
        <f>G1030</f>
        <v>427</v>
      </c>
      <c r="G1093" s="233">
        <f t="shared" ref="G1093:G1099" si="424">F1093/E1092</f>
        <v>1.0190930787589498</v>
      </c>
      <c r="H1093" s="61">
        <f>H1029</f>
        <v>337</v>
      </c>
      <c r="I1093" s="61">
        <f>H1030</f>
        <v>345</v>
      </c>
      <c r="J1093" s="126">
        <f t="shared" ref="J1093:J1099" si="425">I1093/H1092</f>
        <v>1.0176991150442478</v>
      </c>
      <c r="K1093" s="194">
        <f t="shared" si="422"/>
        <v>992</v>
      </c>
      <c r="L1093" s="61">
        <f t="shared" si="422"/>
        <v>1016</v>
      </c>
      <c r="M1093" s="233">
        <f t="shared" ref="M1093:M1099" si="426">L1093/K1092</f>
        <v>1.0180360721442885</v>
      </c>
    </row>
    <row r="1094" spans="1:13">
      <c r="A1094" s="232" t="str">
        <f>$A$399</f>
        <v>2014-15</v>
      </c>
      <c r="B1094" s="61">
        <f>J1029</f>
        <v>230</v>
      </c>
      <c r="C1094" s="61">
        <f>J1030</f>
        <v>246</v>
      </c>
      <c r="D1094" s="233">
        <f t="shared" si="423"/>
        <v>1.0336134453781514</v>
      </c>
      <c r="E1094" s="61">
        <f>K1029</f>
        <v>403</v>
      </c>
      <c r="F1094" s="61">
        <f>K1030</f>
        <v>430</v>
      </c>
      <c r="G1094" s="233">
        <f t="shared" si="424"/>
        <v>1.0311750599520384</v>
      </c>
      <c r="H1094" s="61">
        <f>L1029</f>
        <v>326</v>
      </c>
      <c r="I1094" s="61">
        <f>L1030</f>
        <v>348</v>
      </c>
      <c r="J1094" s="126">
        <f t="shared" si="425"/>
        <v>1.032640949554896</v>
      </c>
      <c r="K1094" s="194">
        <f t="shared" si="422"/>
        <v>959</v>
      </c>
      <c r="L1094" s="61">
        <f t="shared" si="422"/>
        <v>1024</v>
      </c>
      <c r="M1094" s="233">
        <f t="shared" si="426"/>
        <v>1.032258064516129</v>
      </c>
    </row>
    <row r="1095" spans="1:13">
      <c r="A1095" s="232" t="str">
        <f>$A$400</f>
        <v>2015-16</v>
      </c>
      <c r="B1095" s="61">
        <f>N1029</f>
        <v>232</v>
      </c>
      <c r="C1095" s="61">
        <f>N1030</f>
        <v>235</v>
      </c>
      <c r="D1095" s="233">
        <f t="shared" si="423"/>
        <v>1.0217391304347827</v>
      </c>
      <c r="E1095" s="61">
        <f>O1029</f>
        <v>406</v>
      </c>
      <c r="F1095" s="61">
        <f>O1030</f>
        <v>411</v>
      </c>
      <c r="G1095" s="233">
        <f t="shared" si="424"/>
        <v>1.0198511166253101</v>
      </c>
      <c r="H1095" s="61">
        <f>P1029</f>
        <v>329</v>
      </c>
      <c r="I1095" s="61">
        <f>P1030</f>
        <v>333</v>
      </c>
      <c r="J1095" s="126">
        <f t="shared" si="425"/>
        <v>1.0214723926380369</v>
      </c>
      <c r="K1095" s="194">
        <f t="shared" si="422"/>
        <v>967</v>
      </c>
      <c r="L1095" s="61">
        <f t="shared" si="422"/>
        <v>979</v>
      </c>
      <c r="M1095" s="233">
        <f t="shared" si="426"/>
        <v>1.0208550573514077</v>
      </c>
    </row>
    <row r="1096" spans="1:13">
      <c r="A1096" s="232" t="str">
        <f>$A$401</f>
        <v>2016-17</v>
      </c>
      <c r="B1096" s="61">
        <f>R1029</f>
        <v>249</v>
      </c>
      <c r="C1096" s="61">
        <f>R1030</f>
        <v>235</v>
      </c>
      <c r="D1096" s="233">
        <f t="shared" si="423"/>
        <v>1.0129310344827587</v>
      </c>
      <c r="E1096" s="61">
        <f>S1029</f>
        <v>436</v>
      </c>
      <c r="F1096" s="61">
        <f>S1030</f>
        <v>412</v>
      </c>
      <c r="G1096" s="233">
        <f t="shared" si="424"/>
        <v>1.0147783251231528</v>
      </c>
      <c r="H1096" s="61">
        <f>T1029</f>
        <v>353</v>
      </c>
      <c r="I1096" s="61">
        <f>T1030</f>
        <v>334</v>
      </c>
      <c r="J1096" s="126">
        <f t="shared" si="425"/>
        <v>1.0151975683890577</v>
      </c>
      <c r="K1096" s="194">
        <f t="shared" si="422"/>
        <v>1038</v>
      </c>
      <c r="L1096" s="61">
        <f t="shared" si="422"/>
        <v>981</v>
      </c>
      <c r="M1096" s="233">
        <f t="shared" si="426"/>
        <v>1.0144777662874871</v>
      </c>
    </row>
    <row r="1097" spans="1:13">
      <c r="A1097" s="232" t="str">
        <f>$A$402</f>
        <v>2017-18</v>
      </c>
      <c r="B1097" s="61">
        <f>V1029</f>
        <v>239</v>
      </c>
      <c r="C1097" s="61">
        <f>V1030</f>
        <v>256</v>
      </c>
      <c r="D1097" s="233">
        <f t="shared" si="423"/>
        <v>1.0281124497991967</v>
      </c>
      <c r="E1097" s="61">
        <f>W1029</f>
        <v>419</v>
      </c>
      <c r="F1097" s="61">
        <f>W1030</f>
        <v>447</v>
      </c>
      <c r="G1097" s="233">
        <f t="shared" si="424"/>
        <v>1.025229357798165</v>
      </c>
      <c r="H1097" s="61">
        <f>X1029</f>
        <v>339</v>
      </c>
      <c r="I1097" s="61">
        <f>X1030</f>
        <v>362</v>
      </c>
      <c r="J1097" s="126">
        <f t="shared" si="425"/>
        <v>1.0254957507082152</v>
      </c>
      <c r="K1097" s="194">
        <f t="shared" si="422"/>
        <v>997</v>
      </c>
      <c r="L1097" s="61">
        <f t="shared" si="422"/>
        <v>1065</v>
      </c>
      <c r="M1097" s="233">
        <f t="shared" si="426"/>
        <v>1.0260115606936415</v>
      </c>
    </row>
    <row r="1098" spans="1:13">
      <c r="A1098" s="232" t="str">
        <f>$A$403</f>
        <v>2018-19</v>
      </c>
      <c r="B1098" s="61">
        <f>Z1029</f>
        <v>250</v>
      </c>
      <c r="C1098" s="61">
        <f>Z1030</f>
        <v>249</v>
      </c>
      <c r="D1098" s="233">
        <f t="shared" si="423"/>
        <v>1.0418410041841004</v>
      </c>
      <c r="E1098" s="61">
        <f>AA1029</f>
        <v>437</v>
      </c>
      <c r="F1098" s="61">
        <f>AA1030</f>
        <v>436</v>
      </c>
      <c r="G1098" s="233">
        <f t="shared" si="424"/>
        <v>1.0405727923627686</v>
      </c>
      <c r="H1098" s="61">
        <f>AB1029</f>
        <v>354</v>
      </c>
      <c r="I1098" s="61">
        <f>AB1030</f>
        <v>353</v>
      </c>
      <c r="J1098" s="126">
        <f t="shared" si="425"/>
        <v>1.0412979351032448</v>
      </c>
      <c r="K1098" s="194">
        <f t="shared" si="422"/>
        <v>1041</v>
      </c>
      <c r="L1098" s="61">
        <f t="shared" si="422"/>
        <v>1038</v>
      </c>
      <c r="M1098" s="233">
        <f t="shared" si="426"/>
        <v>1.0411233701103311</v>
      </c>
    </row>
    <row r="1099" spans="1:13">
      <c r="A1099" s="232" t="str">
        <f>$A$404</f>
        <v>2019-20</v>
      </c>
      <c r="B1099" s="61">
        <f>B1048</f>
        <v>235</v>
      </c>
      <c r="C1099" s="61">
        <f>B1049</f>
        <v>250</v>
      </c>
      <c r="D1099" s="233">
        <f t="shared" si="423"/>
        <v>1</v>
      </c>
      <c r="E1099" s="61">
        <f>C1048</f>
        <v>411</v>
      </c>
      <c r="F1099" s="61">
        <f>C1049</f>
        <v>438</v>
      </c>
      <c r="G1099" s="233">
        <f t="shared" si="424"/>
        <v>1.0022883295194509</v>
      </c>
      <c r="H1099" s="61">
        <f>D1048</f>
        <v>333</v>
      </c>
      <c r="I1099" s="61">
        <f>D1049</f>
        <v>354</v>
      </c>
      <c r="J1099" s="126">
        <f t="shared" si="425"/>
        <v>1</v>
      </c>
      <c r="K1099" s="194">
        <f>B1099+E1099+H1099</f>
        <v>979</v>
      </c>
      <c r="L1099" s="61">
        <f t="shared" si="422"/>
        <v>1042</v>
      </c>
      <c r="M1099" s="233">
        <f t="shared" si="426"/>
        <v>1.0009606147934678</v>
      </c>
    </row>
    <row r="1100" spans="1:13">
      <c r="A1100" s="232" t="str">
        <f>$A$405</f>
        <v>2020-21</v>
      </c>
      <c r="B1100" s="61">
        <f>F1048</f>
        <v>252</v>
      </c>
      <c r="C1100" s="61">
        <f>F1049</f>
        <v>237</v>
      </c>
      <c r="D1100" s="233">
        <f t="shared" ref="D1100:D1105" si="427">C1100/B1099</f>
        <v>1.0085106382978724</v>
      </c>
      <c r="E1100" s="61">
        <f>G1048</f>
        <v>441</v>
      </c>
      <c r="F1100" s="61">
        <f>G1049</f>
        <v>415</v>
      </c>
      <c r="G1100" s="233">
        <f t="shared" ref="G1100:G1105" si="428">F1100/E1099</f>
        <v>1.0097323600973236</v>
      </c>
      <c r="H1100" s="61">
        <f>H1048</f>
        <v>357</v>
      </c>
      <c r="I1100" s="61">
        <f>H1049</f>
        <v>336</v>
      </c>
      <c r="J1100" s="126">
        <f t="shared" ref="J1100:J1105" si="429">I1100/H1099</f>
        <v>1.0090090090090089</v>
      </c>
      <c r="K1100" s="194">
        <f t="shared" ref="K1100:K1105" si="430">B1100+E1100+H1100</f>
        <v>1050</v>
      </c>
      <c r="L1100" s="61">
        <f t="shared" ref="L1100:L1105" si="431">C1100+F1100+I1100</f>
        <v>988</v>
      </c>
      <c r="M1100" s="233">
        <f t="shared" ref="M1100:M1105" si="432">L1100/K1099</f>
        <v>1.0091930541368743</v>
      </c>
    </row>
    <row r="1101" spans="1:13">
      <c r="A1101" s="232" t="str">
        <f>$A$406</f>
        <v>2021-22</v>
      </c>
      <c r="B1101" s="61">
        <f>J1048</f>
        <v>234</v>
      </c>
      <c r="C1101" s="61">
        <f>J1049</f>
        <v>253</v>
      </c>
      <c r="D1101" s="233">
        <f t="shared" si="427"/>
        <v>1.003968253968254</v>
      </c>
      <c r="E1101" s="61">
        <f>K1048</f>
        <v>409</v>
      </c>
      <c r="F1101" s="61">
        <f>K1049</f>
        <v>443</v>
      </c>
      <c r="G1101" s="233">
        <f t="shared" si="428"/>
        <v>1.0045351473922903</v>
      </c>
      <c r="H1101" s="61">
        <f>L1048</f>
        <v>331</v>
      </c>
      <c r="I1101" s="61">
        <f>L1049</f>
        <v>358</v>
      </c>
      <c r="J1101" s="126">
        <f t="shared" si="429"/>
        <v>1.0028011204481793</v>
      </c>
      <c r="K1101" s="194">
        <f t="shared" si="430"/>
        <v>974</v>
      </c>
      <c r="L1101" s="61">
        <f t="shared" si="431"/>
        <v>1054</v>
      </c>
      <c r="M1101" s="233">
        <f t="shared" si="432"/>
        <v>1.0038095238095237</v>
      </c>
    </row>
    <row r="1102" spans="1:13">
      <c r="A1102" s="232" t="str">
        <f>$A$407</f>
        <v>2022-23</v>
      </c>
      <c r="B1102" s="61">
        <f>N1048</f>
        <v>234</v>
      </c>
      <c r="C1102" s="61">
        <f>N1049</f>
        <v>238</v>
      </c>
      <c r="D1102" s="233">
        <f t="shared" si="427"/>
        <v>1.017094017094017</v>
      </c>
      <c r="E1102" s="61">
        <f>O1048</f>
        <v>410</v>
      </c>
      <c r="F1102" s="61">
        <f>O1049</f>
        <v>416</v>
      </c>
      <c r="G1102" s="233">
        <f t="shared" si="428"/>
        <v>1.0171149144254279</v>
      </c>
      <c r="H1102" s="61">
        <f>P1048</f>
        <v>332</v>
      </c>
      <c r="I1102" s="61">
        <f>P1049</f>
        <v>337</v>
      </c>
      <c r="J1102" s="126">
        <f t="shared" si="429"/>
        <v>1.0181268882175227</v>
      </c>
      <c r="K1102" s="194">
        <f t="shared" si="430"/>
        <v>976</v>
      </c>
      <c r="L1102" s="61">
        <f t="shared" si="431"/>
        <v>991</v>
      </c>
      <c r="M1102" s="233">
        <f t="shared" si="432"/>
        <v>1.017453798767967</v>
      </c>
    </row>
    <row r="1103" spans="1:13">
      <c r="A1103" s="232" t="str">
        <f>$A$408</f>
        <v>2023-24</v>
      </c>
      <c r="B1103" s="61">
        <f>R1048</f>
        <v>243</v>
      </c>
      <c r="C1103" s="61">
        <f>R1049</f>
        <v>229</v>
      </c>
      <c r="D1103" s="233">
        <f t="shared" si="427"/>
        <v>0.9786324786324786</v>
      </c>
      <c r="E1103" s="61">
        <f>S1048</f>
        <v>425</v>
      </c>
      <c r="F1103" s="61">
        <f>S1049</f>
        <v>401</v>
      </c>
      <c r="G1103" s="233">
        <f t="shared" si="428"/>
        <v>0.97804878048780486</v>
      </c>
      <c r="H1103" s="61">
        <f>T1048</f>
        <v>344</v>
      </c>
      <c r="I1103" s="61">
        <f>T1049</f>
        <v>325</v>
      </c>
      <c r="J1103" s="126">
        <f t="shared" si="429"/>
        <v>0.97891566265060237</v>
      </c>
      <c r="K1103" s="194">
        <f t="shared" si="430"/>
        <v>1012</v>
      </c>
      <c r="L1103" s="61">
        <f t="shared" si="431"/>
        <v>955</v>
      </c>
      <c r="M1103" s="233">
        <f t="shared" si="432"/>
        <v>0.97848360655737709</v>
      </c>
    </row>
    <row r="1104" spans="1:13">
      <c r="A1104" s="232" t="str">
        <f>$A$409</f>
        <v>2024-25</v>
      </c>
      <c r="B1104" s="61">
        <f>V1048</f>
        <v>223</v>
      </c>
      <c r="C1104" s="61">
        <f>V1049</f>
        <v>242</v>
      </c>
      <c r="D1104" s="233">
        <f t="shared" si="427"/>
        <v>0.99588477366255146</v>
      </c>
      <c r="E1104" s="61">
        <f>W1048</f>
        <v>391</v>
      </c>
      <c r="F1104" s="61">
        <f>W1049</f>
        <v>424</v>
      </c>
      <c r="G1104" s="233">
        <f t="shared" si="428"/>
        <v>0.99764705882352944</v>
      </c>
      <c r="H1104" s="61">
        <f>X1048</f>
        <v>316</v>
      </c>
      <c r="I1104" s="61">
        <f>X1048</f>
        <v>316</v>
      </c>
      <c r="J1104" s="126">
        <f t="shared" si="429"/>
        <v>0.91860465116279066</v>
      </c>
      <c r="K1104" s="194">
        <f t="shared" si="430"/>
        <v>930</v>
      </c>
      <c r="L1104" s="61">
        <f t="shared" si="431"/>
        <v>982</v>
      </c>
      <c r="M1104" s="233">
        <f t="shared" si="432"/>
        <v>0.97035573122529639</v>
      </c>
    </row>
    <row r="1105" spans="1:13" ht="13.8" thickBot="1">
      <c r="A1105" s="234" t="str">
        <f>$A$410</f>
        <v>2025-26</v>
      </c>
      <c r="B1105" s="136">
        <f>Z1048</f>
        <v>259</v>
      </c>
      <c r="C1105" s="136">
        <f>Z1049</f>
        <v>247</v>
      </c>
      <c r="D1105" s="235">
        <f t="shared" si="427"/>
        <v>1.1076233183856503</v>
      </c>
      <c r="E1105" s="136">
        <f>AA1048</f>
        <v>410</v>
      </c>
      <c r="F1105" s="136">
        <f>AA1049</f>
        <v>391</v>
      </c>
      <c r="G1105" s="235">
        <f t="shared" si="428"/>
        <v>1</v>
      </c>
      <c r="H1105" s="159">
        <f>AB1048</f>
        <v>312</v>
      </c>
      <c r="I1105" s="136">
        <f>AB1049</f>
        <v>297</v>
      </c>
      <c r="J1105" s="195">
        <f t="shared" si="429"/>
        <v>0.939873417721519</v>
      </c>
      <c r="K1105" s="159">
        <f t="shared" si="430"/>
        <v>981</v>
      </c>
      <c r="L1105" s="136">
        <f t="shared" si="431"/>
        <v>935</v>
      </c>
      <c r="M1105" s="235">
        <f t="shared" si="432"/>
        <v>1.0053763440860215</v>
      </c>
    </row>
    <row r="1106" spans="1:13" ht="13.8" thickTop="1">
      <c r="A1106" s="232"/>
      <c r="D1106" s="226"/>
      <c r="G1106" s="226"/>
      <c r="K1106" s="194"/>
      <c r="M1106" s="226"/>
    </row>
    <row r="1107" spans="1:13">
      <c r="A1107" s="236" t="s">
        <v>72</v>
      </c>
      <c r="B1107" s="61">
        <f>SUM(B1102:B1104)</f>
        <v>700</v>
      </c>
      <c r="C1107" s="61">
        <f>SUM(C1103:C1105)</f>
        <v>718</v>
      </c>
      <c r="D1107" s="233">
        <f>C1107/B1107</f>
        <v>1.0257142857142858</v>
      </c>
      <c r="E1107" s="61">
        <f>SUM(E1102:E1104)</f>
        <v>1226</v>
      </c>
      <c r="F1107" s="61">
        <f>SUM(F1103:F1105)</f>
        <v>1216</v>
      </c>
      <c r="G1107" s="233">
        <f>F1107/E1107</f>
        <v>0.99184339314845027</v>
      </c>
      <c r="H1107" s="61">
        <f>SUM(H1102:H1104)</f>
        <v>992</v>
      </c>
      <c r="I1107" s="61">
        <f>SUM(I1103:I1105)</f>
        <v>938</v>
      </c>
      <c r="J1107" s="135">
        <f>I1107/H1107</f>
        <v>0.94556451612903225</v>
      </c>
      <c r="K1107" s="194">
        <f>SUM(K1102:K1104)</f>
        <v>2918</v>
      </c>
      <c r="L1107" s="61">
        <f>SUM(L1103:L1105)</f>
        <v>2872</v>
      </c>
      <c r="M1107" s="233">
        <f>L1107/K1107</f>
        <v>0.9842357779300891</v>
      </c>
    </row>
    <row r="1108" spans="1:13">
      <c r="A1108" s="236" t="s">
        <v>73</v>
      </c>
      <c r="B1108" s="61">
        <f>SUM(B1100:B1104)</f>
        <v>1186</v>
      </c>
      <c r="C1108" s="61">
        <f>SUM(C1101:C1105)</f>
        <v>1209</v>
      </c>
      <c r="D1108" s="233">
        <f>C1108/B1108</f>
        <v>1.0193929173693086</v>
      </c>
      <c r="E1108" s="61">
        <f>SUM(E1100:E1104)</f>
        <v>2076</v>
      </c>
      <c r="F1108" s="61">
        <f>SUM(F1101:F1105)</f>
        <v>2075</v>
      </c>
      <c r="G1108" s="233">
        <f>F1108/E1108</f>
        <v>0.99951830443159928</v>
      </c>
      <c r="H1108" s="61">
        <f>SUM(H1100:H1104)</f>
        <v>1680</v>
      </c>
      <c r="I1108" s="61">
        <f>SUM(I1101:I1105)</f>
        <v>1633</v>
      </c>
      <c r="J1108" s="135">
        <f>I1108/H1108</f>
        <v>0.97202380952380951</v>
      </c>
      <c r="K1108" s="194">
        <f>SUM(K1100:K1104)</f>
        <v>4942</v>
      </c>
      <c r="L1108" s="61">
        <f>SUM(L1101:L1105)</f>
        <v>4917</v>
      </c>
      <c r="M1108" s="233">
        <f>L1108/K1108</f>
        <v>0.99494131930392549</v>
      </c>
    </row>
    <row r="1109" spans="1:13" ht="13.8" thickBot="1">
      <c r="A1109" s="238" t="s">
        <v>74</v>
      </c>
      <c r="B1109" s="136">
        <f>SUM(B1095:B1104)</f>
        <v>2391</v>
      </c>
      <c r="C1109" s="136">
        <f>SUM(C1095:C1104)</f>
        <v>2424</v>
      </c>
      <c r="D1109" s="235">
        <f>C1109/B1109</f>
        <v>1.013801756587202</v>
      </c>
      <c r="E1109" s="136">
        <f>SUM(E1095:E1104)</f>
        <v>4185</v>
      </c>
      <c r="F1109" s="136">
        <f>SUM(F1095:F1104)</f>
        <v>4243</v>
      </c>
      <c r="G1109" s="235">
        <f>F1109/E1109</f>
        <v>1.0138590203106332</v>
      </c>
      <c r="H1109" s="136">
        <f>SUM(H1095:H1104)</f>
        <v>3388</v>
      </c>
      <c r="I1109" s="136">
        <f>SUM(I1095:I1104)</f>
        <v>3408</v>
      </c>
      <c r="J1109" s="235">
        <f>I1109/H1109</f>
        <v>1.0059031877213696</v>
      </c>
      <c r="K1109" s="136">
        <f>SUM(K1095:K1104)</f>
        <v>9964</v>
      </c>
      <c r="L1109" s="136">
        <f>SUM(L1095:L1104)</f>
        <v>10075</v>
      </c>
      <c r="M1109" s="235">
        <f>L1109/K1109</f>
        <v>1.0111401043757526</v>
      </c>
    </row>
    <row r="1110" spans="1:13" ht="13.8" thickTop="1"/>
    <row r="1115" spans="1:13">
      <c r="E1115" s="61" t="s">
        <v>106</v>
      </c>
    </row>
    <row r="1117" spans="1:13">
      <c r="A1117" s="249" t="s">
        <v>66</v>
      </c>
      <c r="B1117" s="809" t="s">
        <v>346</v>
      </c>
      <c r="C1117" s="788"/>
      <c r="D1117" s="789"/>
      <c r="E1117" s="787" t="s">
        <v>90</v>
      </c>
      <c r="F1117" s="788"/>
      <c r="G1117" s="789"/>
      <c r="H1117" s="787" t="s">
        <v>103</v>
      </c>
      <c r="I1117" s="788"/>
      <c r="J1117" s="804"/>
      <c r="K1117" s="809" t="s">
        <v>52</v>
      </c>
      <c r="L1117" s="788"/>
      <c r="M1117" s="789"/>
    </row>
    <row r="1118" spans="1:13" ht="13.8" thickBot="1">
      <c r="A1118" s="250"/>
      <c r="B1118" s="241" t="s">
        <v>87</v>
      </c>
      <c r="C1118" s="242" t="s">
        <v>88</v>
      </c>
      <c r="D1118" s="230" t="s">
        <v>71</v>
      </c>
      <c r="E1118" s="242" t="s">
        <v>87</v>
      </c>
      <c r="F1118" s="242" t="s">
        <v>88</v>
      </c>
      <c r="G1118" s="229" t="s">
        <v>71</v>
      </c>
      <c r="H1118" s="341" t="s">
        <v>87</v>
      </c>
      <c r="I1118" s="242" t="s">
        <v>88</v>
      </c>
      <c r="J1118" s="229" t="s">
        <v>71</v>
      </c>
      <c r="K1118" s="241" t="s">
        <v>87</v>
      </c>
      <c r="L1118" s="242" t="s">
        <v>88</v>
      </c>
      <c r="M1118" s="230" t="s">
        <v>71</v>
      </c>
    </row>
    <row r="1119" spans="1:13" ht="13.8" thickTop="1">
      <c r="A1119" s="232" t="str">
        <f>$A$396</f>
        <v>2011-12</v>
      </c>
      <c r="D1119" s="226"/>
      <c r="G1119" s="226"/>
      <c r="J1119" s="226"/>
      <c r="M1119" s="226"/>
    </row>
    <row r="1120" spans="1:13">
      <c r="A1120" s="232" t="str">
        <f>$A$397</f>
        <v>2012-13</v>
      </c>
      <c r="B1120" s="61">
        <f>B1028</f>
        <v>238</v>
      </c>
      <c r="D1120" s="226"/>
      <c r="E1120" s="61">
        <f>C1028</f>
        <v>416</v>
      </c>
      <c r="G1120" s="226"/>
      <c r="H1120" s="61">
        <f>D1028</f>
        <v>337</v>
      </c>
      <c r="J1120" s="226"/>
      <c r="K1120" s="61">
        <f t="shared" ref="K1120:L1127" si="433">B1120+E1120+H1120</f>
        <v>991</v>
      </c>
      <c r="M1120" s="226"/>
    </row>
    <row r="1121" spans="1:13">
      <c r="A1121" s="232" t="str">
        <f>$A$398</f>
        <v>2013-14</v>
      </c>
      <c r="B1121" s="61">
        <f>F1028</f>
        <v>226</v>
      </c>
      <c r="C1121" s="61">
        <f>F1029</f>
        <v>238</v>
      </c>
      <c r="D1121" s="233">
        <f t="shared" ref="D1121:D1127" si="434">C1121/B1120</f>
        <v>1</v>
      </c>
      <c r="E1121" s="61">
        <f>G1028</f>
        <v>395</v>
      </c>
      <c r="F1121" s="61">
        <f>G1029</f>
        <v>417</v>
      </c>
      <c r="G1121" s="233">
        <f t="shared" ref="G1121:G1127" si="435">F1121/E1120</f>
        <v>1.0024038461538463</v>
      </c>
      <c r="H1121" s="61">
        <f>H1028</f>
        <v>320</v>
      </c>
      <c r="I1121" s="61">
        <f>H1029</f>
        <v>337</v>
      </c>
      <c r="J1121" s="233">
        <f t="shared" ref="J1121:J1127" si="436">I1121/H1120</f>
        <v>1</v>
      </c>
      <c r="K1121" s="61">
        <f t="shared" si="433"/>
        <v>941</v>
      </c>
      <c r="L1121" s="61">
        <f t="shared" si="433"/>
        <v>992</v>
      </c>
      <c r="M1121" s="233">
        <f t="shared" ref="M1121:M1127" si="437">L1121/K1120</f>
        <v>1.0010090817356205</v>
      </c>
    </row>
    <row r="1122" spans="1:13">
      <c r="A1122" s="232" t="str">
        <f>$A$399</f>
        <v>2014-15</v>
      </c>
      <c r="B1122" s="61">
        <f>J1028</f>
        <v>229</v>
      </c>
      <c r="C1122" s="61">
        <f>J1029</f>
        <v>230</v>
      </c>
      <c r="D1122" s="233">
        <f t="shared" si="434"/>
        <v>1.0176991150442478</v>
      </c>
      <c r="E1122" s="61">
        <f>K1028</f>
        <v>400</v>
      </c>
      <c r="F1122" s="61">
        <f>K1029</f>
        <v>403</v>
      </c>
      <c r="G1122" s="233">
        <f t="shared" si="435"/>
        <v>1.0202531645569621</v>
      </c>
      <c r="H1122" s="61">
        <f>L1028</f>
        <v>324</v>
      </c>
      <c r="I1122" s="61">
        <f>L1029</f>
        <v>326</v>
      </c>
      <c r="J1122" s="233">
        <f t="shared" si="436"/>
        <v>1.01875</v>
      </c>
      <c r="K1122" s="61">
        <f t="shared" si="433"/>
        <v>953</v>
      </c>
      <c r="L1122" s="61">
        <f t="shared" si="433"/>
        <v>959</v>
      </c>
      <c r="M1122" s="233">
        <f t="shared" si="437"/>
        <v>1.0191285866099893</v>
      </c>
    </row>
    <row r="1123" spans="1:13">
      <c r="A1123" s="232" t="str">
        <f>$A$400</f>
        <v>2015-16</v>
      </c>
      <c r="B1123" s="61">
        <f>N1028</f>
        <v>239</v>
      </c>
      <c r="C1123" s="61">
        <f>N1029</f>
        <v>232</v>
      </c>
      <c r="D1123" s="233">
        <f t="shared" si="434"/>
        <v>1.0131004366812226</v>
      </c>
      <c r="E1123" s="61">
        <f>O1028</f>
        <v>419</v>
      </c>
      <c r="F1123" s="61">
        <f>O1029</f>
        <v>406</v>
      </c>
      <c r="G1123" s="233">
        <f t="shared" si="435"/>
        <v>1.0149999999999999</v>
      </c>
      <c r="H1123" s="61">
        <f>P1028</f>
        <v>339</v>
      </c>
      <c r="I1123" s="61">
        <f>P1029</f>
        <v>329</v>
      </c>
      <c r="J1123" s="233">
        <f t="shared" si="436"/>
        <v>1.0154320987654322</v>
      </c>
      <c r="K1123" s="61">
        <f t="shared" si="433"/>
        <v>997</v>
      </c>
      <c r="L1123" s="61">
        <f t="shared" si="433"/>
        <v>967</v>
      </c>
      <c r="M1123" s="233">
        <f t="shared" si="437"/>
        <v>1.0146904512067156</v>
      </c>
    </row>
    <row r="1124" spans="1:13">
      <c r="A1124" s="232" t="str">
        <f>$A$401</f>
        <v>2016-17</v>
      </c>
      <c r="B1124" s="61">
        <f>R1028</f>
        <v>236</v>
      </c>
      <c r="C1124" s="61">
        <f>R1029</f>
        <v>249</v>
      </c>
      <c r="D1124" s="233">
        <f t="shared" si="434"/>
        <v>1.0418410041841004</v>
      </c>
      <c r="E1124" s="61">
        <f>S1028</f>
        <v>413</v>
      </c>
      <c r="F1124" s="61">
        <f>S1029</f>
        <v>436</v>
      </c>
      <c r="G1124" s="233">
        <f t="shared" si="435"/>
        <v>1.0405727923627686</v>
      </c>
      <c r="H1124" s="61">
        <f>T1028</f>
        <v>334</v>
      </c>
      <c r="I1124" s="61">
        <f>T1029</f>
        <v>353</v>
      </c>
      <c r="J1124" s="233">
        <f t="shared" si="436"/>
        <v>1.0412979351032448</v>
      </c>
      <c r="K1124" s="61">
        <f t="shared" si="433"/>
        <v>983</v>
      </c>
      <c r="L1124" s="61">
        <f t="shared" si="433"/>
        <v>1038</v>
      </c>
      <c r="M1124" s="233">
        <f t="shared" si="437"/>
        <v>1.0411233701103311</v>
      </c>
    </row>
    <row r="1125" spans="1:13">
      <c r="A1125" s="232" t="str">
        <f>$A$402</f>
        <v>2017-18</v>
      </c>
      <c r="B1125" s="61">
        <f>V1028</f>
        <v>245</v>
      </c>
      <c r="C1125" s="61">
        <f>V1029</f>
        <v>239</v>
      </c>
      <c r="D1125" s="233">
        <f t="shared" si="434"/>
        <v>1.0127118644067796</v>
      </c>
      <c r="E1125" s="61">
        <f>W1028</f>
        <v>429</v>
      </c>
      <c r="F1125" s="61">
        <f>W1029</f>
        <v>419</v>
      </c>
      <c r="G1125" s="233">
        <f t="shared" si="435"/>
        <v>1.0145278450363195</v>
      </c>
      <c r="H1125" s="61">
        <f>X1028</f>
        <v>347</v>
      </c>
      <c r="I1125" s="61">
        <f>X1029</f>
        <v>339</v>
      </c>
      <c r="J1125" s="233">
        <f t="shared" si="436"/>
        <v>1.0149700598802396</v>
      </c>
      <c r="K1125" s="61">
        <f t="shared" si="433"/>
        <v>1021</v>
      </c>
      <c r="L1125" s="61">
        <f t="shared" si="433"/>
        <v>997</v>
      </c>
      <c r="M1125" s="233">
        <f t="shared" si="437"/>
        <v>1.0142421159715158</v>
      </c>
    </row>
    <row r="1126" spans="1:13">
      <c r="A1126" s="232" t="str">
        <f>$A$403</f>
        <v>2018-19</v>
      </c>
      <c r="B1126" s="61">
        <f>Z1028</f>
        <v>227</v>
      </c>
      <c r="C1126" s="61">
        <f>Z1029</f>
        <v>250</v>
      </c>
      <c r="D1126" s="233">
        <f t="shared" si="434"/>
        <v>1.0204081632653061</v>
      </c>
      <c r="E1126" s="61">
        <f>AA1028</f>
        <v>396</v>
      </c>
      <c r="F1126" s="61">
        <f>AA1029</f>
        <v>437</v>
      </c>
      <c r="G1126" s="233">
        <f t="shared" si="435"/>
        <v>1.0186480186480187</v>
      </c>
      <c r="H1126" s="61">
        <f>AB1028</f>
        <v>321</v>
      </c>
      <c r="I1126" s="61">
        <f>AB1029</f>
        <v>354</v>
      </c>
      <c r="J1126" s="233">
        <f t="shared" si="436"/>
        <v>1.0201729106628241</v>
      </c>
      <c r="K1126" s="61">
        <f t="shared" si="433"/>
        <v>944</v>
      </c>
      <c r="L1126" s="61">
        <f t="shared" si="433"/>
        <v>1041</v>
      </c>
      <c r="M1126" s="233">
        <f t="shared" si="437"/>
        <v>1.019588638589618</v>
      </c>
    </row>
    <row r="1127" spans="1:13">
      <c r="A1127" s="232" t="str">
        <f>$A$404</f>
        <v>2019-20</v>
      </c>
      <c r="B1127" s="61">
        <f>B1047</f>
        <v>254</v>
      </c>
      <c r="C1127" s="61">
        <f>B1048</f>
        <v>235</v>
      </c>
      <c r="D1127" s="233">
        <f t="shared" si="434"/>
        <v>1.0352422907488987</v>
      </c>
      <c r="E1127" s="61">
        <f>C1047</f>
        <v>444</v>
      </c>
      <c r="F1127" s="61">
        <f>C1048</f>
        <v>411</v>
      </c>
      <c r="G1127" s="233">
        <f t="shared" si="435"/>
        <v>1.0378787878787878</v>
      </c>
      <c r="H1127" s="61">
        <f>D1047</f>
        <v>359</v>
      </c>
      <c r="I1127" s="61">
        <f>D1048</f>
        <v>333</v>
      </c>
      <c r="J1127" s="233">
        <f t="shared" si="436"/>
        <v>1.0373831775700935</v>
      </c>
      <c r="K1127" s="61">
        <f>B1127+E1127+H1127</f>
        <v>1057</v>
      </c>
      <c r="L1127" s="61">
        <f t="shared" si="433"/>
        <v>979</v>
      </c>
      <c r="M1127" s="233">
        <f t="shared" si="437"/>
        <v>1.0370762711864407</v>
      </c>
    </row>
    <row r="1128" spans="1:13">
      <c r="A1128" s="232" t="str">
        <f>$A$405</f>
        <v>2020-21</v>
      </c>
      <c r="B1128" s="61">
        <f>F1047</f>
        <v>233</v>
      </c>
      <c r="C1128" s="61">
        <f>F1048</f>
        <v>252</v>
      </c>
      <c r="D1128" s="233">
        <f t="shared" ref="D1128:D1133" si="438">C1128/B1127</f>
        <v>0.99212598425196852</v>
      </c>
      <c r="E1128" s="61">
        <f>G1047</f>
        <v>407</v>
      </c>
      <c r="F1128" s="61">
        <f>G1048</f>
        <v>441</v>
      </c>
      <c r="G1128" s="233">
        <f t="shared" ref="G1128:G1133" si="439">F1128/E1127</f>
        <v>0.9932432432432432</v>
      </c>
      <c r="H1128" s="61">
        <f>H1047</f>
        <v>329</v>
      </c>
      <c r="I1128" s="61">
        <f>H1048</f>
        <v>357</v>
      </c>
      <c r="J1128" s="233">
        <f t="shared" ref="J1128:J1133" si="440">I1128/H1127</f>
        <v>0.99442896935933145</v>
      </c>
      <c r="K1128" s="61">
        <f t="shared" ref="K1128:K1133" si="441">B1128+E1128+H1128</f>
        <v>969</v>
      </c>
      <c r="L1128" s="61">
        <f t="shared" ref="L1128:L1133" si="442">C1128+F1128+I1128</f>
        <v>1050</v>
      </c>
      <c r="M1128" s="233">
        <f t="shared" ref="M1128:M1133" si="443">L1128/K1127</f>
        <v>0.99337748344370858</v>
      </c>
    </row>
    <row r="1129" spans="1:13">
      <c r="A1129" s="232" t="str">
        <f>$A$406</f>
        <v>2021-22</v>
      </c>
      <c r="B1129" s="61">
        <f>J1047</f>
        <v>230</v>
      </c>
      <c r="C1129" s="61">
        <f>J1048</f>
        <v>234</v>
      </c>
      <c r="D1129" s="233">
        <f t="shared" si="438"/>
        <v>1.0042918454935623</v>
      </c>
      <c r="E1129" s="61">
        <f>K1047</f>
        <v>403</v>
      </c>
      <c r="F1129" s="61">
        <f>K1048</f>
        <v>409</v>
      </c>
      <c r="G1129" s="233">
        <f t="shared" si="439"/>
        <v>1.0049140049140048</v>
      </c>
      <c r="H1129" s="61">
        <f>L1047</f>
        <v>326</v>
      </c>
      <c r="I1129" s="61">
        <f>L1048</f>
        <v>331</v>
      </c>
      <c r="J1129" s="233">
        <f t="shared" si="440"/>
        <v>1.006079027355623</v>
      </c>
      <c r="K1129" s="61">
        <f t="shared" si="441"/>
        <v>959</v>
      </c>
      <c r="L1129" s="61">
        <f t="shared" si="442"/>
        <v>974</v>
      </c>
      <c r="M1129" s="233">
        <f t="shared" si="443"/>
        <v>1.0051599587203301</v>
      </c>
    </row>
    <row r="1130" spans="1:13">
      <c r="A1130" s="232" t="str">
        <f>$A$407</f>
        <v>2022-23</v>
      </c>
      <c r="B1130" s="61">
        <f>N1047</f>
        <v>243</v>
      </c>
      <c r="C1130" s="61">
        <f>N1048</f>
        <v>234</v>
      </c>
      <c r="D1130" s="233">
        <f t="shared" si="438"/>
        <v>1.017391304347826</v>
      </c>
      <c r="E1130" s="61">
        <f>O1047</f>
        <v>425</v>
      </c>
      <c r="F1130" s="61">
        <f>O1048</f>
        <v>410</v>
      </c>
      <c r="G1130" s="233">
        <f t="shared" si="439"/>
        <v>1.0173697270471465</v>
      </c>
      <c r="H1130" s="61">
        <f>P1047</f>
        <v>344</v>
      </c>
      <c r="I1130" s="61">
        <f>P1048</f>
        <v>332</v>
      </c>
      <c r="J1130" s="233">
        <f t="shared" si="440"/>
        <v>1.01840490797546</v>
      </c>
      <c r="K1130" s="61">
        <f t="shared" si="441"/>
        <v>1012</v>
      </c>
      <c r="L1130" s="61">
        <f t="shared" si="442"/>
        <v>976</v>
      </c>
      <c r="M1130" s="233">
        <f t="shared" si="443"/>
        <v>1.0177267987486966</v>
      </c>
    </row>
    <row r="1131" spans="1:13">
      <c r="A1131" s="232" t="str">
        <f>$A$408</f>
        <v>2023-24</v>
      </c>
      <c r="B1131" s="61">
        <f>R1047</f>
        <v>219</v>
      </c>
      <c r="C1131" s="61">
        <f>R1048</f>
        <v>243</v>
      </c>
      <c r="D1131" s="233">
        <f t="shared" si="438"/>
        <v>1</v>
      </c>
      <c r="E1131" s="61">
        <f>S1047</f>
        <v>383</v>
      </c>
      <c r="F1131" s="61">
        <f>S1048</f>
        <v>425</v>
      </c>
      <c r="G1131" s="233">
        <f t="shared" si="439"/>
        <v>1</v>
      </c>
      <c r="H1131" s="61">
        <f>T1047</f>
        <v>310</v>
      </c>
      <c r="I1131" s="61">
        <f>T1048</f>
        <v>344</v>
      </c>
      <c r="J1131" s="233">
        <f t="shared" si="440"/>
        <v>1</v>
      </c>
      <c r="K1131" s="61">
        <f t="shared" si="441"/>
        <v>912</v>
      </c>
      <c r="L1131" s="61">
        <f t="shared" si="442"/>
        <v>1012</v>
      </c>
      <c r="M1131" s="233">
        <f t="shared" si="443"/>
        <v>1</v>
      </c>
    </row>
    <row r="1132" spans="1:13">
      <c r="A1132" s="232" t="str">
        <f>$A$409</f>
        <v>2024-25</v>
      </c>
      <c r="B1132" s="61">
        <f>V1047</f>
        <v>234</v>
      </c>
      <c r="C1132" s="61">
        <f>V1048</f>
        <v>223</v>
      </c>
      <c r="D1132" s="233">
        <f t="shared" si="438"/>
        <v>1.0182648401826484</v>
      </c>
      <c r="E1132" s="61">
        <f>W1047</f>
        <v>410</v>
      </c>
      <c r="F1132" s="61">
        <f>W1048</f>
        <v>391</v>
      </c>
      <c r="G1132" s="233">
        <f t="shared" si="439"/>
        <v>1.0208877284595301</v>
      </c>
      <c r="H1132" s="61">
        <f>X1047</f>
        <v>332</v>
      </c>
      <c r="I1132" s="61">
        <f>X1048</f>
        <v>316</v>
      </c>
      <c r="J1132" s="233">
        <f t="shared" si="440"/>
        <v>1.0193548387096774</v>
      </c>
      <c r="K1132" s="61">
        <f t="shared" si="441"/>
        <v>976</v>
      </c>
      <c r="L1132" s="61">
        <f t="shared" si="442"/>
        <v>930</v>
      </c>
      <c r="M1132" s="233">
        <f t="shared" si="443"/>
        <v>1.0197368421052631</v>
      </c>
    </row>
    <row r="1133" spans="1:13" ht="13.8" thickBot="1">
      <c r="A1133" s="234" t="str">
        <f>$A$410</f>
        <v>2025-26</v>
      </c>
      <c r="B1133" s="136">
        <f>Z1047</f>
        <v>248</v>
      </c>
      <c r="C1133" s="136">
        <f>Z1048</f>
        <v>259</v>
      </c>
      <c r="D1133" s="235">
        <f t="shared" si="438"/>
        <v>1.1068376068376069</v>
      </c>
      <c r="E1133" s="136">
        <f>AA1047</f>
        <v>393</v>
      </c>
      <c r="F1133" s="136">
        <f>AA1048</f>
        <v>410</v>
      </c>
      <c r="G1133" s="235">
        <f t="shared" si="439"/>
        <v>1</v>
      </c>
      <c r="H1133" s="136">
        <f>AB1047</f>
        <v>298</v>
      </c>
      <c r="I1133" s="136">
        <f>AB1048</f>
        <v>312</v>
      </c>
      <c r="J1133" s="235">
        <f t="shared" si="440"/>
        <v>0.93975903614457834</v>
      </c>
      <c r="K1133" s="159">
        <f t="shared" si="441"/>
        <v>939</v>
      </c>
      <c r="L1133" s="136">
        <f t="shared" si="442"/>
        <v>981</v>
      </c>
      <c r="M1133" s="235">
        <f t="shared" si="443"/>
        <v>1.0051229508196722</v>
      </c>
    </row>
    <row r="1134" spans="1:13" ht="13.8" thickTop="1">
      <c r="A1134" s="232"/>
      <c r="D1134" s="226"/>
      <c r="G1134" s="226"/>
      <c r="J1134" s="226"/>
      <c r="M1134" s="226"/>
    </row>
    <row r="1135" spans="1:13">
      <c r="A1135" s="236" t="s">
        <v>72</v>
      </c>
      <c r="B1135" s="61">
        <f>SUM(B1130:B1132)</f>
        <v>696</v>
      </c>
      <c r="C1135" s="61">
        <f>SUM(C1131:C1133)</f>
        <v>725</v>
      </c>
      <c r="D1135" s="233">
        <f>C1135/B1135</f>
        <v>1.0416666666666667</v>
      </c>
      <c r="E1135" s="61">
        <f>SUM(E1130:E1132)</f>
        <v>1218</v>
      </c>
      <c r="F1135" s="61">
        <f>SUM(F1131:F1133)</f>
        <v>1226</v>
      </c>
      <c r="G1135" s="233">
        <f>F1135/E1135</f>
        <v>1.006568144499179</v>
      </c>
      <c r="H1135" s="61">
        <f>SUM(H1130:H1132)</f>
        <v>986</v>
      </c>
      <c r="I1135" s="61">
        <f>SUM(I1131:I1133)</f>
        <v>972</v>
      </c>
      <c r="J1135" s="233">
        <f>I1135/H1135</f>
        <v>0.98580121703853951</v>
      </c>
      <c r="K1135" s="61">
        <f>SUM(K1130:K1132)</f>
        <v>2900</v>
      </c>
      <c r="L1135" s="61">
        <f>SUM(L1131:L1133)</f>
        <v>2923</v>
      </c>
      <c r="M1135" s="233">
        <f>L1135/K1135</f>
        <v>1.0079310344827586</v>
      </c>
    </row>
    <row r="1136" spans="1:13">
      <c r="A1136" s="236" t="s">
        <v>73</v>
      </c>
      <c r="B1136" s="61">
        <f>SUM(B1128:B1132)</f>
        <v>1159</v>
      </c>
      <c r="C1136" s="61">
        <f>SUM(C1129:C1133)</f>
        <v>1193</v>
      </c>
      <c r="D1136" s="233">
        <f>C1136/B1136</f>
        <v>1.0293356341673856</v>
      </c>
      <c r="E1136" s="61">
        <f>SUM(E1128:E1132)</f>
        <v>2028</v>
      </c>
      <c r="F1136" s="61">
        <f>SUM(F1129:F1133)</f>
        <v>2045</v>
      </c>
      <c r="G1136" s="233">
        <f>F1136/E1136</f>
        <v>1.0083826429980276</v>
      </c>
      <c r="H1136" s="61">
        <f>SUM(H1128:H1132)</f>
        <v>1641</v>
      </c>
      <c r="I1136" s="61">
        <f>SUM(I1129:I1133)</f>
        <v>1635</v>
      </c>
      <c r="J1136" s="233">
        <f>I1136/H1136</f>
        <v>0.99634369287020108</v>
      </c>
      <c r="K1136" s="61">
        <f>SUM(K1128:K1132)</f>
        <v>4828</v>
      </c>
      <c r="L1136" s="61">
        <f>SUM(L1129:L1133)</f>
        <v>4873</v>
      </c>
      <c r="M1136" s="233">
        <f>L1136/K1136</f>
        <v>1.0093206296603148</v>
      </c>
    </row>
    <row r="1137" spans="1:13" ht="13.8" thickBot="1">
      <c r="A1137" s="238" t="s">
        <v>74</v>
      </c>
      <c r="B1137" s="136">
        <f>SUM(B1123:B1132)</f>
        <v>2360</v>
      </c>
      <c r="C1137" s="136">
        <f>SUM(C1124:C1133)</f>
        <v>2418</v>
      </c>
      <c r="D1137" s="235">
        <f>C1137/B1137</f>
        <v>1.0245762711864406</v>
      </c>
      <c r="E1137" s="136">
        <f>SUM(E1123:E1132)</f>
        <v>4129</v>
      </c>
      <c r="F1137" s="136">
        <f>SUM(F1124:F1133)</f>
        <v>4189</v>
      </c>
      <c r="G1137" s="235">
        <f>F1137/E1137</f>
        <v>1.0145313635262776</v>
      </c>
      <c r="H1137" s="136">
        <f>SUM(H1123:H1132)</f>
        <v>3341</v>
      </c>
      <c r="I1137" s="136">
        <f>SUM(I1124:I1133)</f>
        <v>3371</v>
      </c>
      <c r="J1137" s="235">
        <f>I1137/H1137</f>
        <v>1.0089793475007482</v>
      </c>
      <c r="K1137" s="136">
        <f>SUM(K1123:K1132)</f>
        <v>9830</v>
      </c>
      <c r="L1137" s="136">
        <f>SUM(L1124:L1133)</f>
        <v>9978</v>
      </c>
      <c r="M1137" s="235">
        <f>L1137/K1137</f>
        <v>1.015055951169888</v>
      </c>
    </row>
    <row r="1138" spans="1:13" ht="13.8" thickTop="1"/>
    <row r="1142" spans="1:13">
      <c r="E1142" s="61" t="s">
        <v>100</v>
      </c>
    </row>
    <row r="1144" spans="1:13">
      <c r="A1144" s="249" t="s">
        <v>66</v>
      </c>
      <c r="B1144" s="809" t="s">
        <v>346</v>
      </c>
      <c r="C1144" s="788"/>
      <c r="D1144" s="789"/>
      <c r="E1144" s="787" t="s">
        <v>90</v>
      </c>
      <c r="F1144" s="788"/>
      <c r="G1144" s="789"/>
      <c r="H1144" s="787" t="s">
        <v>103</v>
      </c>
      <c r="I1144" s="788"/>
      <c r="J1144" s="804"/>
      <c r="K1144" s="809" t="s">
        <v>52</v>
      </c>
      <c r="L1144" s="788"/>
      <c r="M1144" s="789"/>
    </row>
    <row r="1145" spans="1:13" ht="13.8" thickBot="1">
      <c r="A1145" s="250"/>
      <c r="B1145" s="241" t="s">
        <v>83</v>
      </c>
      <c r="C1145" s="242" t="s">
        <v>87</v>
      </c>
      <c r="D1145" s="230" t="s">
        <v>71</v>
      </c>
      <c r="E1145" s="242" t="s">
        <v>83</v>
      </c>
      <c r="F1145" s="242" t="s">
        <v>87</v>
      </c>
      <c r="G1145" s="229" t="s">
        <v>71</v>
      </c>
      <c r="H1145" s="242" t="s">
        <v>83</v>
      </c>
      <c r="I1145" s="242" t="s">
        <v>87</v>
      </c>
      <c r="J1145" s="229" t="s">
        <v>71</v>
      </c>
      <c r="K1145" s="241" t="s">
        <v>83</v>
      </c>
      <c r="L1145" s="242" t="s">
        <v>87</v>
      </c>
      <c r="M1145" s="230" t="s">
        <v>71</v>
      </c>
    </row>
    <row r="1146" spans="1:13" ht="13.8" thickTop="1">
      <c r="A1146" s="232" t="str">
        <f>$A$396</f>
        <v>2011-12</v>
      </c>
      <c r="D1146" s="226"/>
      <c r="G1146" s="226"/>
      <c r="J1146" s="226"/>
      <c r="M1146" s="226"/>
    </row>
    <row r="1147" spans="1:13">
      <c r="A1147" s="232" t="str">
        <f>$A$397</f>
        <v>2012-13</v>
      </c>
      <c r="B1147" s="61">
        <f>B1027</f>
        <v>219</v>
      </c>
      <c r="D1147" s="226"/>
      <c r="E1147" s="61">
        <f>C1027</f>
        <v>383</v>
      </c>
      <c r="G1147" s="226"/>
      <c r="H1147" s="61">
        <f>D1027</f>
        <v>310</v>
      </c>
      <c r="J1147" s="226"/>
      <c r="K1147" s="61">
        <f t="shared" ref="K1147:L1154" si="444">B1147+E1147+H1147</f>
        <v>912</v>
      </c>
      <c r="M1147" s="226"/>
    </row>
    <row r="1148" spans="1:13">
      <c r="A1148" s="232" t="str">
        <f>$A$398</f>
        <v>2013-14</v>
      </c>
      <c r="B1148" s="61">
        <f>F1027</f>
        <v>223</v>
      </c>
      <c r="C1148" s="61">
        <f>F1028</f>
        <v>226</v>
      </c>
      <c r="D1148" s="233">
        <f t="shared" ref="D1148:D1154" si="445">C1148/B1147</f>
        <v>1.0319634703196348</v>
      </c>
      <c r="E1148" s="61">
        <f>G1027</f>
        <v>390</v>
      </c>
      <c r="F1148" s="61">
        <f>G1028</f>
        <v>395</v>
      </c>
      <c r="G1148" s="233">
        <f t="shared" ref="G1148:G1154" si="446">F1148/E1147</f>
        <v>1.031331592689295</v>
      </c>
      <c r="H1148" s="61">
        <f>H1027</f>
        <v>316</v>
      </c>
      <c r="I1148" s="61">
        <f>H1028</f>
        <v>320</v>
      </c>
      <c r="J1148" s="233">
        <f t="shared" ref="J1148:J1154" si="447">I1148/H1147</f>
        <v>1.032258064516129</v>
      </c>
      <c r="K1148" s="61">
        <f t="shared" si="444"/>
        <v>929</v>
      </c>
      <c r="L1148" s="61">
        <f t="shared" si="444"/>
        <v>941</v>
      </c>
      <c r="M1148" s="233">
        <f t="shared" ref="M1148:M1154" si="448">L1148/K1147</f>
        <v>1.0317982456140351</v>
      </c>
    </row>
    <row r="1149" spans="1:13">
      <c r="A1149" s="232" t="str">
        <f>$A$399</f>
        <v>2014-15</v>
      </c>
      <c r="B1149" s="61">
        <f>J1027</f>
        <v>231</v>
      </c>
      <c r="C1149" s="61">
        <f>J1028</f>
        <v>229</v>
      </c>
      <c r="D1149" s="233">
        <f t="shared" si="445"/>
        <v>1.0269058295964126</v>
      </c>
      <c r="E1149" s="61">
        <f>K1027</f>
        <v>404</v>
      </c>
      <c r="F1149" s="61">
        <f>K1028</f>
        <v>400</v>
      </c>
      <c r="G1149" s="233">
        <f t="shared" si="446"/>
        <v>1.0256410256410255</v>
      </c>
      <c r="H1149" s="61">
        <f>L1027</f>
        <v>327</v>
      </c>
      <c r="I1149" s="61">
        <f>L1028</f>
        <v>324</v>
      </c>
      <c r="J1149" s="233">
        <f t="shared" si="447"/>
        <v>1.0253164556962024</v>
      </c>
      <c r="K1149" s="61">
        <f t="shared" si="444"/>
        <v>962</v>
      </c>
      <c r="L1149" s="61">
        <f t="shared" si="444"/>
        <v>953</v>
      </c>
      <c r="M1149" s="233">
        <f t="shared" si="448"/>
        <v>1.0258342303552206</v>
      </c>
    </row>
    <row r="1150" spans="1:13">
      <c r="A1150" s="232" t="str">
        <f>$A$400</f>
        <v>2015-16</v>
      </c>
      <c r="B1150" s="61">
        <f>N1027</f>
        <v>222</v>
      </c>
      <c r="C1150" s="61">
        <f>N1028</f>
        <v>239</v>
      </c>
      <c r="D1150" s="233">
        <f t="shared" si="445"/>
        <v>1.0346320346320346</v>
      </c>
      <c r="E1150" s="61">
        <f>O1027</f>
        <v>389</v>
      </c>
      <c r="F1150" s="61">
        <f>O1028</f>
        <v>419</v>
      </c>
      <c r="G1150" s="233">
        <f t="shared" si="446"/>
        <v>1.0371287128712872</v>
      </c>
      <c r="H1150" s="61">
        <f>P1027</f>
        <v>315</v>
      </c>
      <c r="I1150" s="61">
        <f>P1028</f>
        <v>339</v>
      </c>
      <c r="J1150" s="233">
        <f t="shared" si="447"/>
        <v>1.036697247706422</v>
      </c>
      <c r="K1150" s="61">
        <f t="shared" si="444"/>
        <v>926</v>
      </c>
      <c r="L1150" s="61">
        <f t="shared" si="444"/>
        <v>997</v>
      </c>
      <c r="M1150" s="233">
        <f t="shared" si="448"/>
        <v>1.0363825363825363</v>
      </c>
    </row>
    <row r="1151" spans="1:13">
      <c r="A1151" s="232" t="str">
        <f>$A$401</f>
        <v>2016-17</v>
      </c>
      <c r="B1151" s="61">
        <f>R1027</f>
        <v>231</v>
      </c>
      <c r="C1151" s="61">
        <f>R1028</f>
        <v>236</v>
      </c>
      <c r="D1151" s="233">
        <f t="shared" si="445"/>
        <v>1.0630630630630631</v>
      </c>
      <c r="E1151" s="61">
        <f>S1027</f>
        <v>404</v>
      </c>
      <c r="F1151" s="61">
        <f>S1028</f>
        <v>413</v>
      </c>
      <c r="G1151" s="233">
        <f t="shared" si="446"/>
        <v>1.0616966580976863</v>
      </c>
      <c r="H1151" s="61">
        <f>T1027</f>
        <v>327</v>
      </c>
      <c r="I1151" s="61">
        <f>T1028</f>
        <v>334</v>
      </c>
      <c r="J1151" s="233">
        <f t="shared" si="447"/>
        <v>1.0603174603174603</v>
      </c>
      <c r="K1151" s="61">
        <f t="shared" si="444"/>
        <v>962</v>
      </c>
      <c r="L1151" s="61">
        <f t="shared" si="444"/>
        <v>983</v>
      </c>
      <c r="M1151" s="233">
        <f t="shared" si="448"/>
        <v>1.0615550755939525</v>
      </c>
    </row>
    <row r="1152" spans="1:13">
      <c r="A1152" s="232" t="str">
        <f>$A$402</f>
        <v>2017-18</v>
      </c>
      <c r="B1152" s="61">
        <f>V1027</f>
        <v>217</v>
      </c>
      <c r="C1152" s="61">
        <f>V1028</f>
        <v>245</v>
      </c>
      <c r="D1152" s="233">
        <f t="shared" si="445"/>
        <v>1.0606060606060606</v>
      </c>
      <c r="E1152" s="61">
        <f>W1027</f>
        <v>380</v>
      </c>
      <c r="F1152" s="61">
        <f>W1028</f>
        <v>429</v>
      </c>
      <c r="G1152" s="233">
        <f t="shared" si="446"/>
        <v>1.0618811881188119</v>
      </c>
      <c r="H1152" s="61">
        <f>X1027</f>
        <v>308</v>
      </c>
      <c r="I1152" s="61">
        <f>X1028</f>
        <v>347</v>
      </c>
      <c r="J1152" s="233">
        <f t="shared" si="447"/>
        <v>1.0611620795107033</v>
      </c>
      <c r="K1152" s="61">
        <f t="shared" si="444"/>
        <v>905</v>
      </c>
      <c r="L1152" s="61">
        <f t="shared" si="444"/>
        <v>1021</v>
      </c>
      <c r="M1152" s="233">
        <f t="shared" si="448"/>
        <v>1.0613305613305613</v>
      </c>
    </row>
    <row r="1153" spans="1:13">
      <c r="A1153" s="232" t="str">
        <f>$A$403</f>
        <v>2018-19</v>
      </c>
      <c r="B1153" s="61">
        <f>Z1027</f>
        <v>244</v>
      </c>
      <c r="C1153" s="61">
        <f>Z1028</f>
        <v>227</v>
      </c>
      <c r="D1153" s="233">
        <f t="shared" si="445"/>
        <v>1.0460829493087558</v>
      </c>
      <c r="E1153" s="61">
        <f>AA1027</f>
        <v>427</v>
      </c>
      <c r="F1153" s="61">
        <f>AA1028</f>
        <v>396</v>
      </c>
      <c r="G1153" s="233">
        <f t="shared" si="446"/>
        <v>1.0421052631578946</v>
      </c>
      <c r="H1153" s="61">
        <f>AB1027</f>
        <v>346</v>
      </c>
      <c r="I1153" s="61">
        <f>AB1028</f>
        <v>321</v>
      </c>
      <c r="J1153" s="233">
        <f t="shared" si="447"/>
        <v>1.0422077922077921</v>
      </c>
      <c r="K1153" s="61">
        <f t="shared" si="444"/>
        <v>1017</v>
      </c>
      <c r="L1153" s="61">
        <f t="shared" si="444"/>
        <v>944</v>
      </c>
      <c r="M1153" s="233">
        <f t="shared" si="448"/>
        <v>1.0430939226519338</v>
      </c>
    </row>
    <row r="1154" spans="1:13">
      <c r="A1154" s="232" t="str">
        <f>$A$404</f>
        <v>2019-20</v>
      </c>
      <c r="B1154" s="61">
        <f>B1046</f>
        <v>230</v>
      </c>
      <c r="C1154" s="61">
        <f>B1047</f>
        <v>254</v>
      </c>
      <c r="D1154" s="233">
        <f t="shared" si="445"/>
        <v>1.040983606557377</v>
      </c>
      <c r="E1154" s="61">
        <f>C1046</f>
        <v>403</v>
      </c>
      <c r="F1154" s="61">
        <f>C1047</f>
        <v>444</v>
      </c>
      <c r="G1154" s="233">
        <f t="shared" si="446"/>
        <v>1.0398126463700235</v>
      </c>
      <c r="H1154" s="61">
        <f>D1046</f>
        <v>326</v>
      </c>
      <c r="I1154" s="61">
        <f>D1047</f>
        <v>359</v>
      </c>
      <c r="J1154" s="233">
        <f t="shared" si="447"/>
        <v>1.0375722543352601</v>
      </c>
      <c r="K1154" s="61">
        <f>B1154+E1154+H1154</f>
        <v>959</v>
      </c>
      <c r="L1154" s="61">
        <f t="shared" si="444"/>
        <v>1057</v>
      </c>
      <c r="M1154" s="233">
        <f t="shared" si="448"/>
        <v>1.039331366764995</v>
      </c>
    </row>
    <row r="1155" spans="1:13">
      <c r="A1155" s="232" t="str">
        <f>$A$405</f>
        <v>2020-21</v>
      </c>
      <c r="B1155" s="61">
        <f>F1046</f>
        <v>219</v>
      </c>
      <c r="C1155" s="61">
        <f>F1047</f>
        <v>233</v>
      </c>
      <c r="D1155" s="233">
        <f t="shared" ref="D1155:D1160" si="449">C1155/B1154</f>
        <v>1.0130434782608695</v>
      </c>
      <c r="E1155" s="61">
        <f>G1046</f>
        <v>384</v>
      </c>
      <c r="F1155" s="61">
        <f>G1047</f>
        <v>407</v>
      </c>
      <c r="G1155" s="233">
        <f t="shared" ref="G1155:G1160" si="450">F1155/E1154</f>
        <v>1.0099255583126552</v>
      </c>
      <c r="H1155" s="61">
        <f>H1046</f>
        <v>311</v>
      </c>
      <c r="I1155" s="61">
        <f>H1047</f>
        <v>329</v>
      </c>
      <c r="J1155" s="233">
        <f t="shared" ref="J1155:J1160" si="451">I1155/H1154</f>
        <v>1.00920245398773</v>
      </c>
      <c r="K1155" s="61">
        <f t="shared" ref="K1155:K1160" si="452">B1155+E1155+H1155</f>
        <v>914</v>
      </c>
      <c r="L1155" s="61">
        <f t="shared" ref="L1155:L1160" si="453">C1155+F1155+I1155</f>
        <v>969</v>
      </c>
      <c r="M1155" s="233">
        <f t="shared" ref="M1155:M1160" si="454">L1155/K1154</f>
        <v>1.0104275286757038</v>
      </c>
    </row>
    <row r="1156" spans="1:13">
      <c r="A1156" s="232" t="str">
        <f>$A$406</f>
        <v>2021-22</v>
      </c>
      <c r="B1156" s="61">
        <f>J1046</f>
        <v>231</v>
      </c>
      <c r="C1156" s="61">
        <f>J1047</f>
        <v>230</v>
      </c>
      <c r="D1156" s="233">
        <f t="shared" si="449"/>
        <v>1.0502283105022832</v>
      </c>
      <c r="E1156" s="61">
        <f>K1046</f>
        <v>404</v>
      </c>
      <c r="F1156" s="61">
        <f>K1047</f>
        <v>403</v>
      </c>
      <c r="G1156" s="233">
        <f t="shared" si="450"/>
        <v>1.0494791666666667</v>
      </c>
      <c r="H1156" s="61">
        <f>L1046</f>
        <v>327</v>
      </c>
      <c r="I1156" s="61">
        <f>L1047</f>
        <v>326</v>
      </c>
      <c r="J1156" s="233">
        <f t="shared" si="451"/>
        <v>1.0482315112540193</v>
      </c>
      <c r="K1156" s="61">
        <f t="shared" si="452"/>
        <v>962</v>
      </c>
      <c r="L1156" s="61">
        <f t="shared" si="453"/>
        <v>959</v>
      </c>
      <c r="M1156" s="233">
        <f t="shared" si="454"/>
        <v>1.049234135667396</v>
      </c>
    </row>
    <row r="1157" spans="1:13">
      <c r="A1157" s="232" t="str">
        <f>$A$407</f>
        <v>2022-23</v>
      </c>
      <c r="B1157" s="61">
        <f>N1046</f>
        <v>209</v>
      </c>
      <c r="C1157" s="61">
        <f>N1047</f>
        <v>243</v>
      </c>
      <c r="D1157" s="233">
        <f t="shared" si="449"/>
        <v>1.051948051948052</v>
      </c>
      <c r="E1157" s="61">
        <f>O1046</f>
        <v>366</v>
      </c>
      <c r="F1157" s="61">
        <f>O1047</f>
        <v>425</v>
      </c>
      <c r="G1157" s="233">
        <f t="shared" si="450"/>
        <v>1.051980198019802</v>
      </c>
      <c r="H1157" s="61">
        <f>P1046</f>
        <v>296</v>
      </c>
      <c r="I1157" s="61">
        <f>P1047</f>
        <v>344</v>
      </c>
      <c r="J1157" s="233">
        <f t="shared" si="451"/>
        <v>1.0519877675840978</v>
      </c>
      <c r="K1157" s="61">
        <f t="shared" si="452"/>
        <v>871</v>
      </c>
      <c r="L1157" s="61">
        <f t="shared" si="453"/>
        <v>1012</v>
      </c>
      <c r="M1157" s="233">
        <f t="shared" si="454"/>
        <v>1.0519750519750519</v>
      </c>
    </row>
    <row r="1158" spans="1:13">
      <c r="A1158" s="232" t="str">
        <f>$A$408</f>
        <v>2023-24</v>
      </c>
      <c r="B1158" s="61">
        <f>R1046</f>
        <v>225</v>
      </c>
      <c r="C1158" s="61">
        <f>R1047</f>
        <v>219</v>
      </c>
      <c r="D1158" s="233">
        <f t="shared" si="449"/>
        <v>1.0478468899521531</v>
      </c>
      <c r="E1158" s="61">
        <f>S1046</f>
        <v>394</v>
      </c>
      <c r="F1158" s="61">
        <f>S1047</f>
        <v>383</v>
      </c>
      <c r="G1158" s="233">
        <f t="shared" si="450"/>
        <v>1.0464480874316939</v>
      </c>
      <c r="H1158" s="61">
        <f>T1046</f>
        <v>319</v>
      </c>
      <c r="I1158" s="61">
        <f>T1047</f>
        <v>310</v>
      </c>
      <c r="J1158" s="233">
        <f t="shared" si="451"/>
        <v>1.0472972972972974</v>
      </c>
      <c r="K1158" s="61">
        <f t="shared" si="452"/>
        <v>938</v>
      </c>
      <c r="L1158" s="61">
        <f t="shared" si="453"/>
        <v>912</v>
      </c>
      <c r="M1158" s="233">
        <f t="shared" si="454"/>
        <v>1.0470723306544203</v>
      </c>
    </row>
    <row r="1159" spans="1:13">
      <c r="A1159" s="232" t="str">
        <f>$A$409</f>
        <v>2024-25</v>
      </c>
      <c r="B1159" s="61">
        <f>V1046</f>
        <v>217</v>
      </c>
      <c r="C1159" s="61">
        <f>V1047</f>
        <v>234</v>
      </c>
      <c r="D1159" s="233">
        <f t="shared" si="449"/>
        <v>1.04</v>
      </c>
      <c r="E1159" s="61">
        <f>W1046</f>
        <v>380</v>
      </c>
      <c r="F1159" s="61">
        <f>W1047</f>
        <v>410</v>
      </c>
      <c r="G1159" s="233">
        <f t="shared" si="450"/>
        <v>1.0406091370558375</v>
      </c>
      <c r="H1159" s="61">
        <f>X1046</f>
        <v>308</v>
      </c>
      <c r="I1159" s="61">
        <f>X1047</f>
        <v>332</v>
      </c>
      <c r="J1159" s="233">
        <f t="shared" si="451"/>
        <v>1.0407523510971788</v>
      </c>
      <c r="K1159" s="61">
        <f t="shared" si="452"/>
        <v>905</v>
      </c>
      <c r="L1159" s="61">
        <f t="shared" si="453"/>
        <v>976</v>
      </c>
      <c r="M1159" s="233">
        <f t="shared" si="454"/>
        <v>1.0405117270788913</v>
      </c>
    </row>
    <row r="1160" spans="1:13" ht="13.8" thickBot="1">
      <c r="A1160" s="234" t="str">
        <f>$A$410</f>
        <v>2025-26</v>
      </c>
      <c r="B1160" s="136">
        <f>Z1046</f>
        <v>240</v>
      </c>
      <c r="C1160" s="136">
        <f>Z1047</f>
        <v>248</v>
      </c>
      <c r="D1160" s="235">
        <f t="shared" si="449"/>
        <v>1.1428571428571428</v>
      </c>
      <c r="E1160" s="136">
        <f>AA1046</f>
        <v>381</v>
      </c>
      <c r="F1160" s="136">
        <f>AA1047</f>
        <v>393</v>
      </c>
      <c r="G1160" s="235">
        <f t="shared" si="450"/>
        <v>1.0342105263157895</v>
      </c>
      <c r="H1160" s="136">
        <f>AB1046</f>
        <v>289</v>
      </c>
      <c r="I1160" s="136">
        <f>AB1047</f>
        <v>298</v>
      </c>
      <c r="J1160" s="235">
        <f t="shared" si="451"/>
        <v>0.96753246753246758</v>
      </c>
      <c r="K1160" s="159">
        <f t="shared" si="452"/>
        <v>910</v>
      </c>
      <c r="L1160" s="136">
        <f t="shared" si="453"/>
        <v>939</v>
      </c>
      <c r="M1160" s="235">
        <f t="shared" si="454"/>
        <v>1.0375690607734807</v>
      </c>
    </row>
    <row r="1161" spans="1:13" ht="13.8" thickTop="1">
      <c r="A1161" s="232"/>
      <c r="D1161" s="226"/>
      <c r="G1161" s="226"/>
      <c r="J1161" s="226"/>
      <c r="M1161" s="226"/>
    </row>
    <row r="1162" spans="1:13">
      <c r="A1162" s="236" t="s">
        <v>72</v>
      </c>
      <c r="B1162" s="61">
        <f>SUM(B1157:B1159)</f>
        <v>651</v>
      </c>
      <c r="C1162" s="61">
        <f>SUM(C1158:C1160)</f>
        <v>701</v>
      </c>
      <c r="D1162" s="233">
        <f>C1162/B1162</f>
        <v>1.0768049155145929</v>
      </c>
      <c r="E1162" s="61">
        <f>SUM(E1157:E1159)</f>
        <v>1140</v>
      </c>
      <c r="F1162" s="61">
        <f>SUM(F1158:F1160)</f>
        <v>1186</v>
      </c>
      <c r="G1162" s="233">
        <f>F1162/E1162</f>
        <v>1.0403508771929824</v>
      </c>
      <c r="H1162" s="61">
        <f>SUM(H1157:H1159)</f>
        <v>923</v>
      </c>
      <c r="I1162" s="61">
        <f>SUM(I1158:I1160)</f>
        <v>940</v>
      </c>
      <c r="J1162" s="233">
        <f>I1162/H1162</f>
        <v>1.0184182015167931</v>
      </c>
      <c r="K1162" s="61">
        <f>SUM(K1157:K1159)</f>
        <v>2714</v>
      </c>
      <c r="L1162" s="61">
        <f>SUM(L1158:L1160)</f>
        <v>2827</v>
      </c>
      <c r="M1162" s="233">
        <f>L1162/K1162</f>
        <v>1.0416359616801769</v>
      </c>
    </row>
    <row r="1163" spans="1:13">
      <c r="A1163" s="236" t="s">
        <v>73</v>
      </c>
      <c r="B1163" s="61">
        <f>SUM(B1155:B1159)</f>
        <v>1101</v>
      </c>
      <c r="C1163" s="61">
        <f>SUM(C1156:C1160)</f>
        <v>1174</v>
      </c>
      <c r="D1163" s="233">
        <f>C1163/B1163</f>
        <v>1.0663033605812897</v>
      </c>
      <c r="E1163" s="61">
        <f>SUM(E1155:E1159)</f>
        <v>1928</v>
      </c>
      <c r="F1163" s="61">
        <f>SUM(F1156:F1160)</f>
        <v>2014</v>
      </c>
      <c r="G1163" s="233">
        <f>F1163/E1163</f>
        <v>1.0446058091286308</v>
      </c>
      <c r="H1163" s="61">
        <f>SUM(H1155:H1159)</f>
        <v>1561</v>
      </c>
      <c r="I1163" s="61">
        <f>SUM(I1156:I1160)</f>
        <v>1610</v>
      </c>
      <c r="J1163" s="233">
        <f>I1163/H1163</f>
        <v>1.0313901345291481</v>
      </c>
      <c r="K1163" s="61">
        <f>SUM(K1155:K1159)</f>
        <v>4590</v>
      </c>
      <c r="L1163" s="61">
        <f>SUM(L1156:L1160)</f>
        <v>4798</v>
      </c>
      <c r="M1163" s="233">
        <f>L1163/K1163</f>
        <v>1.0453159041394335</v>
      </c>
    </row>
    <row r="1164" spans="1:13" ht="13.8" thickBot="1">
      <c r="A1164" s="238" t="s">
        <v>74</v>
      </c>
      <c r="B1164" s="136">
        <f>SUM(B1150:B1159)</f>
        <v>2245</v>
      </c>
      <c r="C1164" s="136">
        <f>SUM(C1151:C1160)</f>
        <v>2369</v>
      </c>
      <c r="D1164" s="235">
        <f>C1164/B1164</f>
        <v>1.0552338530066816</v>
      </c>
      <c r="E1164" s="136">
        <f>SUM(E1150:E1159)</f>
        <v>3931</v>
      </c>
      <c r="F1164" s="136">
        <f>SUM(F1151:F1160)</f>
        <v>4103</v>
      </c>
      <c r="G1164" s="235">
        <f>F1164/E1164</f>
        <v>1.0437547697786822</v>
      </c>
      <c r="H1164" s="136">
        <f>SUM(H1150:H1159)</f>
        <v>3183</v>
      </c>
      <c r="I1164" s="136">
        <f>SUM(I1151:I1160)</f>
        <v>3300</v>
      </c>
      <c r="J1164" s="235">
        <f>I1164/H1164</f>
        <v>1.0367577756833177</v>
      </c>
      <c r="K1164" s="136">
        <f>SUM(K1150:K1159)</f>
        <v>9359</v>
      </c>
      <c r="L1164" s="136">
        <f>SUM(L1151:L1160)</f>
        <v>9772</v>
      </c>
      <c r="M1164" s="235">
        <f>L1164/K1164</f>
        <v>1.0441286462228871</v>
      </c>
    </row>
    <row r="1165" spans="1:13" ht="13.8" thickTop="1"/>
    <row r="1169" spans="1:17">
      <c r="C1169" s="61" t="s">
        <v>107</v>
      </c>
      <c r="J1169" s="29"/>
      <c r="K1169" s="29"/>
    </row>
    <row r="1171" spans="1:17" ht="13.8" thickBot="1">
      <c r="A1171" s="253"/>
      <c r="B1171" s="781" t="s">
        <v>453</v>
      </c>
      <c r="C1171" s="782"/>
      <c r="D1171" s="782"/>
      <c r="E1171" s="783"/>
      <c r="F1171" s="797" t="s">
        <v>450</v>
      </c>
      <c r="G1171" s="798"/>
      <c r="H1171" s="798"/>
      <c r="I1171" s="799"/>
      <c r="J1171" s="797" t="s">
        <v>451</v>
      </c>
      <c r="K1171" s="798"/>
      <c r="L1171" s="798"/>
      <c r="M1171" s="799"/>
      <c r="N1171" s="797" t="s">
        <v>452</v>
      </c>
      <c r="O1171" s="798"/>
      <c r="P1171" s="798"/>
      <c r="Q1171" s="799"/>
    </row>
    <row r="1172" spans="1:17" ht="13.8" thickTop="1">
      <c r="A1172" s="244"/>
      <c r="B1172" s="247" t="s">
        <v>346</v>
      </c>
      <c r="C1172" s="247" t="s">
        <v>90</v>
      </c>
      <c r="D1172" s="247" t="s">
        <v>103</v>
      </c>
      <c r="E1172" s="247" t="s">
        <v>27</v>
      </c>
      <c r="F1172" s="247" t="s">
        <v>346</v>
      </c>
      <c r="G1172" s="247" t="s">
        <v>90</v>
      </c>
      <c r="H1172" s="247" t="s">
        <v>103</v>
      </c>
      <c r="I1172" s="247" t="s">
        <v>27</v>
      </c>
      <c r="J1172" s="247" t="s">
        <v>346</v>
      </c>
      <c r="K1172" s="247" t="s">
        <v>90</v>
      </c>
      <c r="L1172" s="247" t="s">
        <v>103</v>
      </c>
      <c r="M1172" s="247" t="s">
        <v>27</v>
      </c>
      <c r="N1172" s="247" t="s">
        <v>346</v>
      </c>
      <c r="O1172" s="247" t="s">
        <v>90</v>
      </c>
      <c r="P1172" s="247" t="s">
        <v>103</v>
      </c>
      <c r="Q1172" s="247" t="s">
        <v>27</v>
      </c>
    </row>
    <row r="1173" spans="1:17">
      <c r="A1173" s="244" t="s">
        <v>351</v>
      </c>
      <c r="B1173" s="244">
        <f>Z1046</f>
        <v>240</v>
      </c>
      <c r="C1173" s="244">
        <f t="shared" ref="B1173:D1176" si="455">AA1046</f>
        <v>381</v>
      </c>
      <c r="D1173" s="244">
        <f t="shared" si="455"/>
        <v>289</v>
      </c>
      <c r="E1173" s="254">
        <f>SUM(B1173:D1173)</f>
        <v>910</v>
      </c>
      <c r="F1173" s="244"/>
      <c r="G1173" s="244"/>
      <c r="H1173" s="244"/>
      <c r="I1173" s="244"/>
      <c r="J1173" s="244"/>
      <c r="K1173" s="244"/>
      <c r="L1173" s="244"/>
      <c r="M1173" s="244"/>
      <c r="N1173" s="244"/>
      <c r="O1173" s="244"/>
      <c r="P1173" s="244"/>
      <c r="Q1173" s="244"/>
    </row>
    <row r="1174" spans="1:17">
      <c r="A1174" s="244" t="s">
        <v>350</v>
      </c>
      <c r="B1174" s="254">
        <f t="shared" si="455"/>
        <v>248</v>
      </c>
      <c r="C1174" s="254">
        <f t="shared" si="455"/>
        <v>393</v>
      </c>
      <c r="D1174" s="254">
        <f t="shared" si="455"/>
        <v>298</v>
      </c>
      <c r="E1174" s="254">
        <f>SUM(B1174:D1174)</f>
        <v>939</v>
      </c>
      <c r="F1174" s="254">
        <f>B1173*D1162</f>
        <v>258.43317972350229</v>
      </c>
      <c r="G1174" s="466">
        <f>C1173*G1162</f>
        <v>396.37368421052628</v>
      </c>
      <c r="H1174" s="254">
        <f>D1173*J1162</f>
        <v>294.3228602383532</v>
      </c>
      <c r="I1174" s="254">
        <f>SUM(F1174:H1174)</f>
        <v>949.12972417238177</v>
      </c>
      <c r="J1174" s="244"/>
      <c r="K1174" s="244"/>
      <c r="L1174" s="244"/>
      <c r="M1174" s="244"/>
      <c r="N1174" s="244"/>
      <c r="O1174" s="244"/>
      <c r="P1174" s="244"/>
      <c r="Q1174" s="244"/>
    </row>
    <row r="1175" spans="1:17">
      <c r="A1175" s="244" t="s">
        <v>349</v>
      </c>
      <c r="B1175" s="254">
        <f t="shared" si="455"/>
        <v>259</v>
      </c>
      <c r="C1175" s="254">
        <f t="shared" si="455"/>
        <v>410</v>
      </c>
      <c r="D1175" s="254">
        <f t="shared" si="455"/>
        <v>312</v>
      </c>
      <c r="E1175" s="254">
        <f>SUM(B1175:D1175)</f>
        <v>981</v>
      </c>
      <c r="F1175" s="254">
        <f>B1174*D1135</f>
        <v>258.33333333333337</v>
      </c>
      <c r="G1175" s="254">
        <f>C1174*G1135</f>
        <v>395.58128078817731</v>
      </c>
      <c r="H1175" s="254">
        <f>D1174*J1135</f>
        <v>293.7687626774848</v>
      </c>
      <c r="I1175" s="254">
        <f>SUM(F1175:H1175)</f>
        <v>947.68337679899548</v>
      </c>
      <c r="J1175" s="254">
        <f>F1174*D1135</f>
        <v>269.20122887864824</v>
      </c>
      <c r="K1175" s="254">
        <f>G1174*G1135</f>
        <v>398.97712384409294</v>
      </c>
      <c r="L1175" s="254">
        <f>H1174*J1135</f>
        <v>290.14383382523255</v>
      </c>
      <c r="M1175" s="254">
        <f>SUM(J1175:L1175)</f>
        <v>958.32218654797384</v>
      </c>
      <c r="N1175" s="254"/>
      <c r="O1175" s="254"/>
      <c r="P1175" s="254"/>
      <c r="Q1175" s="254"/>
    </row>
    <row r="1176" spans="1:17">
      <c r="A1176" s="244" t="s">
        <v>348</v>
      </c>
      <c r="B1176" s="254">
        <f>Z1049</f>
        <v>247</v>
      </c>
      <c r="C1176" s="254">
        <f t="shared" si="455"/>
        <v>391</v>
      </c>
      <c r="D1176" s="254">
        <f t="shared" si="455"/>
        <v>297</v>
      </c>
      <c r="E1176" s="254">
        <f>SUM(B1176:D1176)</f>
        <v>935</v>
      </c>
      <c r="F1176" s="254">
        <f>B1175*D1107</f>
        <v>265.66000000000003</v>
      </c>
      <c r="G1176" s="254">
        <f>C1175*G1107</f>
        <v>406.65579119086459</v>
      </c>
      <c r="H1176" s="254">
        <f>D1175*J1107</f>
        <v>295.01612903225805</v>
      </c>
      <c r="I1176" s="254">
        <f>SUM(F1176:H1176)</f>
        <v>967.33192022312267</v>
      </c>
      <c r="J1176" s="254">
        <f>F1175*D1107</f>
        <v>264.97619047619054</v>
      </c>
      <c r="K1176" s="254">
        <f>G1175*G1107</f>
        <v>392.35467980295567</v>
      </c>
      <c r="L1176" s="254">
        <f>H1175*J1107</f>
        <v>277.77731793496042</v>
      </c>
      <c r="M1176" s="254">
        <f>SUM(J1176:L1176)</f>
        <v>935.10818821410658</v>
      </c>
      <c r="N1176" s="254">
        <f>J1175*D1107</f>
        <v>276.12354619267063</v>
      </c>
      <c r="O1176" s="254">
        <f>K1175*G1107</f>
        <v>395.7228243021346</v>
      </c>
      <c r="P1176" s="254">
        <f>L1175*J1107</f>
        <v>274.34971383877837</v>
      </c>
      <c r="Q1176" s="254">
        <f>SUM(N1176:P1176)</f>
        <v>946.1960843335836</v>
      </c>
    </row>
    <row r="1177" spans="1:17">
      <c r="A1177" s="244" t="s">
        <v>347</v>
      </c>
      <c r="B1177" s="254">
        <f>Z1050</f>
        <v>239</v>
      </c>
      <c r="C1177" s="254">
        <f>AA1050</f>
        <v>412</v>
      </c>
      <c r="D1177" s="254">
        <f>AB1050</f>
        <v>370</v>
      </c>
      <c r="E1177" s="254">
        <f>SUM(B1177:D1177)</f>
        <v>1021</v>
      </c>
      <c r="F1177" s="254">
        <f>B1176*D1081</f>
        <v>250.83215796897036</v>
      </c>
      <c r="G1177" s="254">
        <f>C1176*G1081</f>
        <v>385.32876712328772</v>
      </c>
      <c r="H1177" s="254">
        <f>D1176*J1081</f>
        <v>304.38805970149252</v>
      </c>
      <c r="I1177" s="254">
        <f>SUM(F1177:H1177)</f>
        <v>940.54898479375061</v>
      </c>
      <c r="J1177" s="254">
        <f>F1176*D1081</f>
        <v>269.78166431593797</v>
      </c>
      <c r="K1177" s="254">
        <f>G1176*G1081</f>
        <v>400.75747995683111</v>
      </c>
      <c r="L1177" s="254">
        <f>H1176*J1081</f>
        <v>302.35483870967738</v>
      </c>
      <c r="M1177" s="254">
        <f>SUM(J1177:L1177)</f>
        <v>972.89398298244646</v>
      </c>
      <c r="N1177" s="254">
        <f>J1176*D1081</f>
        <v>269.08724561757009</v>
      </c>
      <c r="O1177" s="254">
        <f>K1176*G1081</f>
        <v>386.66379806528187</v>
      </c>
      <c r="P1177" s="254">
        <f>L1176*J1081</f>
        <v>284.68720146568086</v>
      </c>
      <c r="Q1177" s="254">
        <f>SUM(N1177:P1177)</f>
        <v>940.43824514853281</v>
      </c>
    </row>
  </sheetData>
  <mergeCells count="169">
    <mergeCell ref="B11:J11"/>
    <mergeCell ref="R1038:U1038"/>
    <mergeCell ref="B1089:D1089"/>
    <mergeCell ref="E1089:G1089"/>
    <mergeCell ref="K1089:M1089"/>
    <mergeCell ref="K1063:M1063"/>
    <mergeCell ref="J1038:M1038"/>
    <mergeCell ref="E1063:G1063"/>
    <mergeCell ref="E984:G984"/>
    <mergeCell ref="H984:J984"/>
    <mergeCell ref="K984:M984"/>
    <mergeCell ref="K11:N11"/>
    <mergeCell ref="Q463:S463"/>
    <mergeCell ref="K463:M463"/>
    <mergeCell ref="T463:V463"/>
    <mergeCell ref="N463:P463"/>
    <mergeCell ref="Q393:S393"/>
    <mergeCell ref="K63:N63"/>
    <mergeCell ref="B463:D463"/>
    <mergeCell ref="E463:G463"/>
    <mergeCell ref="H463:J463"/>
    <mergeCell ref="N393:P393"/>
    <mergeCell ref="J688:L688"/>
    <mergeCell ref="G711:I711"/>
    <mergeCell ref="B1144:D1144"/>
    <mergeCell ref="E1144:G1144"/>
    <mergeCell ref="K1144:M1144"/>
    <mergeCell ref="H1117:J1117"/>
    <mergeCell ref="H1144:J1144"/>
    <mergeCell ref="K822:N822"/>
    <mergeCell ref="K852:N852"/>
    <mergeCell ref="N984:P984"/>
    <mergeCell ref="O764:Q764"/>
    <mergeCell ref="B1117:D1117"/>
    <mergeCell ref="E1117:G1117"/>
    <mergeCell ref="K1117:M1117"/>
    <mergeCell ref="B822:J822"/>
    <mergeCell ref="O822:Q822"/>
    <mergeCell ref="B908:D908"/>
    <mergeCell ref="H959:J959"/>
    <mergeCell ref="A932:P932"/>
    <mergeCell ref="A982:P982"/>
    <mergeCell ref="N959:P959"/>
    <mergeCell ref="K908:M908"/>
    <mergeCell ref="H908:J908"/>
    <mergeCell ref="A957:P957"/>
    <mergeCell ref="B959:D959"/>
    <mergeCell ref="E959:G959"/>
    <mergeCell ref="D605:F605"/>
    <mergeCell ref="G605:I605"/>
    <mergeCell ref="J605:L605"/>
    <mergeCell ref="M605:O605"/>
    <mergeCell ref="K793:N793"/>
    <mergeCell ref="V892:Y892"/>
    <mergeCell ref="Z1038:AC1038"/>
    <mergeCell ref="B1008:E1008"/>
    <mergeCell ref="F1008:I1008"/>
    <mergeCell ref="J1008:M1008"/>
    <mergeCell ref="N1008:Q1008"/>
    <mergeCell ref="R1019:U1019"/>
    <mergeCell ref="B1038:E1038"/>
    <mergeCell ref="F1038:I1038"/>
    <mergeCell ref="N1038:Q1038"/>
    <mergeCell ref="B1019:E1019"/>
    <mergeCell ref="F1019:I1019"/>
    <mergeCell ref="V1038:Y1038"/>
    <mergeCell ref="B437:D437"/>
    <mergeCell ref="E437:G437"/>
    <mergeCell ref="H437:J437"/>
    <mergeCell ref="K437:M437"/>
    <mergeCell ref="Q437:S437"/>
    <mergeCell ref="D580:F580"/>
    <mergeCell ref="G580:I580"/>
    <mergeCell ref="J580:L580"/>
    <mergeCell ref="M580:O580"/>
    <mergeCell ref="P554:R554"/>
    <mergeCell ref="B1171:E1171"/>
    <mergeCell ref="N1019:Q1019"/>
    <mergeCell ref="H1089:J1089"/>
    <mergeCell ref="H1063:J1063"/>
    <mergeCell ref="B1063:D1063"/>
    <mergeCell ref="H489:J489"/>
    <mergeCell ref="E489:G489"/>
    <mergeCell ref="B489:D489"/>
    <mergeCell ref="B515:D515"/>
    <mergeCell ref="E515:G515"/>
    <mergeCell ref="H515:J515"/>
    <mergeCell ref="K515:M515"/>
    <mergeCell ref="B984:D984"/>
    <mergeCell ref="G688:I688"/>
    <mergeCell ref="P580:R580"/>
    <mergeCell ref="J711:L711"/>
    <mergeCell ref="B764:J764"/>
    <mergeCell ref="B793:J793"/>
    <mergeCell ref="D688:F688"/>
    <mergeCell ref="M688:O688"/>
    <mergeCell ref="D711:F711"/>
    <mergeCell ref="K959:M959"/>
    <mergeCell ref="B934:D934"/>
    <mergeCell ref="N908:P908"/>
    <mergeCell ref="K85:N85"/>
    <mergeCell ref="O85:Q85"/>
    <mergeCell ref="AC437:AE437"/>
    <mergeCell ref="T437:V437"/>
    <mergeCell ref="Z437:AB437"/>
    <mergeCell ref="N437:P437"/>
    <mergeCell ref="N1171:Q1171"/>
    <mergeCell ref="J1171:M1171"/>
    <mergeCell ref="F1171:I1171"/>
    <mergeCell ref="E908:G908"/>
    <mergeCell ref="Z1019:AC1019"/>
    <mergeCell ref="V1019:Y1019"/>
    <mergeCell ref="P605:R605"/>
    <mergeCell ref="J1019:M1019"/>
    <mergeCell ref="A906:P906"/>
    <mergeCell ref="B878:E878"/>
    <mergeCell ref="F878:I878"/>
    <mergeCell ref="N878:Q878"/>
    <mergeCell ref="B892:E892"/>
    <mergeCell ref="F892:I892"/>
    <mergeCell ref="J892:M892"/>
    <mergeCell ref="N892:Q892"/>
    <mergeCell ref="B852:J852"/>
    <mergeCell ref="O852:Q852"/>
    <mergeCell ref="Z463:AB463"/>
    <mergeCell ref="W463:Y463"/>
    <mergeCell ref="AC463:AE463"/>
    <mergeCell ref="W393:Y393"/>
    <mergeCell ref="Z393:AB393"/>
    <mergeCell ref="W437:Y437"/>
    <mergeCell ref="T393:V393"/>
    <mergeCell ref="O11:Q11"/>
    <mergeCell ref="O63:Q63"/>
    <mergeCell ref="Z515:AB515"/>
    <mergeCell ref="N515:P515"/>
    <mergeCell ref="Q515:S515"/>
    <mergeCell ref="T515:V515"/>
    <mergeCell ref="W515:Y515"/>
    <mergeCell ref="AC489:AE489"/>
    <mergeCell ref="T489:V489"/>
    <mergeCell ref="K489:M489"/>
    <mergeCell ref="Q489:S489"/>
    <mergeCell ref="Z489:AB489"/>
    <mergeCell ref="N489:P489"/>
    <mergeCell ref="W489:Y489"/>
    <mergeCell ref="B63:J63"/>
    <mergeCell ref="B85:J85"/>
    <mergeCell ref="J878:M878"/>
    <mergeCell ref="Z878:AC878"/>
    <mergeCell ref="V878:Y878"/>
    <mergeCell ref="R878:U878"/>
    <mergeCell ref="R892:U892"/>
    <mergeCell ref="D642:F642"/>
    <mergeCell ref="J642:L642"/>
    <mergeCell ref="M642:O642"/>
    <mergeCell ref="D665:F665"/>
    <mergeCell ref="M665:O665"/>
    <mergeCell ref="G642:I642"/>
    <mergeCell ref="G665:I665"/>
    <mergeCell ref="J665:L665"/>
    <mergeCell ref="O793:Q793"/>
    <mergeCell ref="K764:N764"/>
    <mergeCell ref="Z892:AC892"/>
    <mergeCell ref="M711:O711"/>
    <mergeCell ref="AC515:AE515"/>
    <mergeCell ref="D554:F554"/>
    <mergeCell ref="G554:I554"/>
    <mergeCell ref="J554:L554"/>
    <mergeCell ref="M554:O554"/>
  </mergeCells>
  <phoneticPr fontId="0" type="noConversion"/>
  <printOptions gridLinesSet="0"/>
  <pageMargins left="0.01" right="0.01" top="0.5" bottom="0.51" header="0.5" footer="0.5"/>
  <pageSetup paperSize="5" scale="59" orientation="landscape" r:id="rId1"/>
  <headerFooter alignWithMargins="0">
    <oddFooter xml:space="preserve">&amp;LDPP - OCBE
&amp;F&amp;R
&amp;16&amp;A
</oddFooter>
  </headerFooter>
  <rowBreaks count="29" manualBreakCount="29">
    <brk id="60" max="16383" man="1"/>
    <brk id="126" max="16383" man="1"/>
    <brk id="192" max="16383" man="1"/>
    <brk id="258" max="16383" man="1"/>
    <brk id="324" max="16383" man="1"/>
    <brk id="389" max="16383" man="1"/>
    <brk id="458" max="16383" man="1"/>
    <brk id="484" max="16383" man="1"/>
    <brk id="510" max="16383" man="1"/>
    <brk id="549" max="16383" man="1"/>
    <brk id="575" max="16383" man="1"/>
    <brk id="600" max="16383" man="1"/>
    <brk id="638" max="16383" man="1"/>
    <brk id="684" max="16383" man="1"/>
    <brk id="707" max="16383" man="1"/>
    <brk id="742" max="16383" man="1"/>
    <brk id="788" max="18" man="1"/>
    <brk id="817" max="16383" man="1"/>
    <brk id="846" max="18" man="1"/>
    <brk id="904" max="16383" man="1"/>
    <brk id="930" max="16383" man="1"/>
    <brk id="955" max="16383" man="1"/>
    <brk id="1004" max="16383" man="1"/>
    <brk id="1014" max="16383" man="1"/>
    <brk id="1036" max="16383" man="1"/>
    <brk id="1085" max="16383" man="1"/>
    <brk id="1112" max="16383" man="1"/>
    <brk id="1138" max="16383" man="1"/>
    <brk id="1165" max="16383" man="1"/>
  </rowBreaks>
  <ignoredErrors>
    <ignoredError sqref="V29 X29 Z29 S35 S37" formula="1"/>
    <ignoredError sqref="S67:S69" formulaRange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view="pageBreakPreview" zoomScaleNormal="100" zoomScaleSheetLayoutView="100" workbookViewId="0"/>
  </sheetViews>
  <sheetFormatPr defaultRowHeight="13.2"/>
  <sheetData/>
  <pageMargins left="0.7" right="0.7" top="0.75" bottom="0.75" header="0.3" footer="0.3"/>
  <pageSetup scale="40" orientation="landscape" r:id="rId1"/>
  <headerFooter>
    <oddHeader>&amp;L&amp;11ENPRJ3&amp;C&amp;11OLDHAM COUNTY BOARD OF EDUCTION
CRESTWOOD, KENTUCKY&amp;R&amp;11&amp;D</oddHeader>
    <oddFooter>&amp;L
&amp;11DPP - OCBE
&amp;F&amp;R
&amp;11ENPRJ3
Page 17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view="pageBreakPreview" zoomScale="90" zoomScaleNormal="100" zoomScaleSheetLayoutView="90" workbookViewId="0">
      <selection activeCell="I43" sqref="I43"/>
    </sheetView>
  </sheetViews>
  <sheetFormatPr defaultRowHeight="13.2"/>
  <sheetData/>
  <pageMargins left="0.7" right="0.7" top="0.75" bottom="0.75" header="0.3" footer="0.3"/>
  <pageSetup scale="40" orientation="landscape" r:id="rId1"/>
  <headerFooter>
    <oddHeader>&amp;L&amp;11ENPRJ3&amp;C&amp;11OLDHAM COUNTY BOARD OF EDUCTION
CRESTWOOD, KENTUCKY&amp;R&amp;11&amp;D</oddHeader>
    <oddFooter>&amp;L
&amp;11DPP - OCBE
&amp;F&amp;R
&amp;11ENPRJ3
Page 18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view="pageBreakPreview" zoomScale="60" zoomScaleNormal="100" workbookViewId="0"/>
  </sheetViews>
  <sheetFormatPr defaultRowHeight="13.2"/>
  <sheetData/>
  <pageMargins left="0.7" right="0.7" top="0.75" bottom="0.75" header="0.3" footer="0.3"/>
  <pageSetup scale="60" orientation="landscape" r:id="rId1"/>
  <headerFooter>
    <oddHeader>&amp;L&amp;11ENPRJ3&amp;C&amp;11OLDHAM COUNTY BOARD OF EDUCTION
CRESTWOOD, KENTUCKY&amp;R&amp;11&amp;D</oddHeader>
    <oddFooter>&amp;L
&amp;11DPP - OCBE
&amp;F&amp;R
&amp;11ENPRJ3
PAGE 19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view="pageBreakPreview" zoomScale="60" zoomScaleNormal="100" workbookViewId="0">
      <selection activeCell="R53" sqref="R53"/>
    </sheetView>
  </sheetViews>
  <sheetFormatPr defaultRowHeight="13.2"/>
  <sheetData/>
  <pageMargins left="0.7" right="0.7" top="0.75" bottom="0.75" header="0.3" footer="0.3"/>
  <pageSetup scale="40" orientation="landscape" r:id="rId1"/>
  <headerFooter>
    <oddHeader>&amp;L&amp;11ENPRJ5&amp;C&amp;11OLDHAM COUNTY BOARD OF EDUCATION
CRESTWOOD, KENTUCKY&amp;R&amp;11&amp;D</oddHeader>
    <oddFooter>&amp;L&amp;11
DPP - OCBE
&amp;F&amp;R
&amp;11ENPRJ5
Page 20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view="pageBreakPreview" zoomScale="60" zoomScaleNormal="100" workbookViewId="0"/>
  </sheetViews>
  <sheetFormatPr defaultRowHeight="13.2"/>
  <sheetData/>
  <pageMargins left="0.7" right="0.7" top="0.75" bottom="0.75" header="0.3" footer="0.3"/>
  <pageSetup scale="50" orientation="landscape" r:id="rId1"/>
  <headerFooter>
    <oddHeader>&amp;L&amp;11ENPRJ5&amp;C&amp;11OLDHAM COUNTY BOARD OF EDUCATION
CRESTWOOD, KENTUCKY&amp;R&amp;11&amp;D</oddHeader>
    <oddFooter>&amp;L&amp;11
DPP - OCBE
&amp;F&amp;R
&amp;11ENPRJ5
Page 21</oddFooter>
  </headerFooter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view="pageBreakPreview" topLeftCell="A4" zoomScale="60" zoomScaleNormal="100" workbookViewId="0"/>
  </sheetViews>
  <sheetFormatPr defaultRowHeight="13.2"/>
  <sheetData/>
  <pageMargins left="0.7" right="0.7" top="0.75" bottom="0.75" header="0.3" footer="0.3"/>
  <pageSetup scale="65" orientation="landscape" r:id="rId1"/>
  <headerFooter>
    <oddHeader>&amp;L&amp;11ENPRJ5&amp;C&amp;11OLDHAM COUNTY BOARD OF EDUCATION
CRESTWOOD, KENTUCKY&amp;R&amp;11&amp;D</oddHeader>
    <oddFooter>&amp;L&amp;11
DPP - OCBE
&amp;F&amp;R
&amp;11ENPRJ5
Page 22</oddFooter>
  </headerFooter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view="pageBreakPreview" zoomScaleNormal="100" zoomScaleSheetLayoutView="100" workbookViewId="0"/>
  </sheetViews>
  <sheetFormatPr defaultRowHeight="13.2"/>
  <sheetData/>
  <pageMargins left="0.7" right="0.7" top="0.75" bottom="0.75" header="0.3" footer="0.3"/>
  <pageSetup scale="45" orientation="landscape" r:id="rId1"/>
  <headerFooter>
    <oddHeader>&amp;L&amp;11ENPRJ5&amp;C&amp;11OLDHAM COUNTY BOARD OF EDUCATION
CRESTWOOD, KENTUCKY&amp;R&amp;11&amp;D</oddHeader>
    <oddFooter>&amp;L&amp;11
DPP - OCBE
&amp;F&amp;R
&amp;11ENPRJ5
Page 23</oddFooter>
  </headerFooter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view="pageBreakPreview" zoomScale="90" zoomScaleNormal="100" zoomScaleSheetLayoutView="90" workbookViewId="0"/>
  </sheetViews>
  <sheetFormatPr defaultRowHeight="13.2"/>
  <sheetData/>
  <pageMargins left="0.7" right="0.7" top="0.75" bottom="0.75" header="0.3" footer="0.3"/>
  <pageSetup scale="45" orientation="landscape" r:id="rId1"/>
  <headerFooter>
    <oddHeader>&amp;L&amp;11ENPRJ5&amp;C&amp;11OLDHAM COUNTY BOARD OF EDUCATION
CRESTWOOD, KENTUCKY&amp;R&amp;11&amp;D</oddHeader>
    <oddFooter>&amp;L&amp;11
DPP - OCBE
&amp;F&amp;R
&amp;11ENPRJ5
Page 24</oddFooter>
  </headerFooter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view="pageBreakPreview" zoomScaleNormal="100" zoomScaleSheetLayoutView="100" workbookViewId="0"/>
  </sheetViews>
  <sheetFormatPr defaultRowHeight="13.2"/>
  <sheetData/>
  <pageMargins left="0.7" right="0.7" top="0.75" bottom="0.75" header="0.3" footer="0.3"/>
  <pageSetup scale="45" orientation="landscape" r:id="rId1"/>
  <headerFooter>
    <oddHeader>&amp;L&amp;11ENPRJ5&amp;C&amp;11OLDHAM COUNTY BOARD OF EDUCATION
CRESTWOOD, KENTUCKY&amp;R&amp;11&amp;D</oddHeader>
    <oddFooter>&amp;L&amp;11
DPP - OCBE
&amp;F&amp;R
&amp;11ENPRJ5
Page 25</oddFooter>
  </headerFooter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view="pageBreakPreview" zoomScale="60" zoomScaleNormal="100" workbookViewId="0"/>
  </sheetViews>
  <sheetFormatPr defaultRowHeight="13.2"/>
  <sheetData/>
  <pageMargins left="0.7" right="0.7" top="0.75" bottom="0.75" header="0.3" footer="0.3"/>
  <pageSetup scale="65" orientation="landscape" r:id="rId1"/>
  <headerFooter>
    <oddHeader>&amp;L&amp;11ENPRJ5&amp;C&amp;11OLDHAM COUNTY BOARD OF EDUCATION
CRESTWOOD, KENTUCKY&amp;R&amp;11&amp;D</oddHeader>
    <oddFooter>&amp;L&amp;11
DPP - OCBE
&amp;F&amp;R
&amp;11ENPRJ5
Page 26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Z453"/>
  <sheetViews>
    <sheetView showGridLines="0" view="pageBreakPreview" topLeftCell="A240" zoomScale="80" zoomScaleNormal="60" zoomScaleSheetLayoutView="80" workbookViewId="0">
      <selection activeCell="B66" sqref="B66:O66"/>
    </sheetView>
  </sheetViews>
  <sheetFormatPr defaultColWidth="9.6640625" defaultRowHeight="13.2"/>
  <cols>
    <col min="1" max="1" width="23.33203125" customWidth="1"/>
    <col min="2" max="2" width="16.44140625" customWidth="1"/>
    <col min="3" max="16" width="13.33203125" customWidth="1"/>
    <col min="17" max="17" width="16.88671875" customWidth="1"/>
    <col min="18" max="18" width="15.88671875" customWidth="1"/>
    <col min="19" max="20" width="16.5546875" customWidth="1"/>
    <col min="21" max="21" width="12.109375" customWidth="1"/>
    <col min="22" max="22" width="18.109375" customWidth="1"/>
    <col min="23" max="23" width="18.88671875" customWidth="1"/>
  </cols>
  <sheetData>
    <row r="1" spans="1:25">
      <c r="A1" s="2"/>
      <c r="M1" s="13"/>
    </row>
    <row r="2" spans="1:25" ht="17.399999999999999">
      <c r="C2" s="14"/>
      <c r="D2" s="15"/>
      <c r="E2" s="14"/>
    </row>
    <row r="3" spans="1:25" ht="17.399999999999999">
      <c r="C3" s="14"/>
      <c r="D3" s="15"/>
      <c r="E3" s="14"/>
      <c r="J3" s="16"/>
    </row>
    <row r="5" spans="1:25" ht="17.399999999999999">
      <c r="C5" s="1" t="s">
        <v>23</v>
      </c>
      <c r="H5" s="16"/>
      <c r="I5" s="16" t="str">
        <f>ENRHIST!K9</f>
        <v>2025-26</v>
      </c>
    </row>
    <row r="6" spans="1:25">
      <c r="A6" s="531"/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  <c r="M6" s="531"/>
      <c r="N6" s="531"/>
      <c r="O6" s="531"/>
      <c r="P6" s="531"/>
      <c r="Q6" s="531"/>
      <c r="R6" s="531"/>
    </row>
    <row r="7" spans="1:25" ht="17.399999999999999">
      <c r="A7" s="543" t="s">
        <v>24</v>
      </c>
      <c r="B7" s="817" t="s">
        <v>25</v>
      </c>
      <c r="C7" s="817"/>
      <c r="D7" s="817"/>
      <c r="E7" s="817"/>
      <c r="F7" s="817"/>
      <c r="G7" s="817"/>
      <c r="H7" s="817"/>
      <c r="I7" s="817"/>
      <c r="J7" s="817"/>
      <c r="K7" s="813" t="s">
        <v>63</v>
      </c>
      <c r="L7" s="813"/>
      <c r="M7" s="813"/>
      <c r="N7" s="813"/>
      <c r="O7" s="813" t="s">
        <v>364</v>
      </c>
      <c r="P7" s="813"/>
      <c r="Q7" s="813"/>
      <c r="R7" s="545"/>
      <c r="S7" s="546" t="s">
        <v>27</v>
      </c>
      <c r="T7" s="349" t="s">
        <v>367</v>
      </c>
      <c r="U7" s="266" t="s">
        <v>109</v>
      </c>
      <c r="V7" s="267" t="s">
        <v>29</v>
      </c>
    </row>
    <row r="8" spans="1:25" ht="17.399999999999999">
      <c r="A8" s="547"/>
      <c r="B8" s="548" t="s">
        <v>289</v>
      </c>
      <c r="C8" s="548" t="s">
        <v>357</v>
      </c>
      <c r="D8" s="548" t="s">
        <v>358</v>
      </c>
      <c r="E8" s="548" t="s">
        <v>359</v>
      </c>
      <c r="F8" s="548" t="s">
        <v>360</v>
      </c>
      <c r="G8" s="548" t="s">
        <v>370</v>
      </c>
      <c r="H8" s="548" t="s">
        <v>356</v>
      </c>
      <c r="I8" s="548" t="s">
        <v>361</v>
      </c>
      <c r="J8" s="548" t="s">
        <v>406</v>
      </c>
      <c r="K8" s="548" t="s">
        <v>363</v>
      </c>
      <c r="L8" s="549" t="s">
        <v>36</v>
      </c>
      <c r="M8" s="549" t="s">
        <v>86</v>
      </c>
      <c r="N8" s="549" t="s">
        <v>99</v>
      </c>
      <c r="O8" s="550" t="s">
        <v>346</v>
      </c>
      <c r="P8" s="550" t="s">
        <v>90</v>
      </c>
      <c r="Q8" s="550" t="s">
        <v>103</v>
      </c>
      <c r="R8" s="551" t="s">
        <v>343</v>
      </c>
      <c r="S8" s="552"/>
      <c r="T8" s="529" t="s">
        <v>368</v>
      </c>
      <c r="U8" s="270"/>
      <c r="V8" s="319" t="s">
        <v>111</v>
      </c>
    </row>
    <row r="9" spans="1:25" ht="17.399999999999999">
      <c r="A9" s="345"/>
      <c r="B9" s="345"/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345"/>
      <c r="T9" s="28"/>
      <c r="U9" s="28"/>
      <c r="V9" s="28"/>
    </row>
    <row r="10" spans="1:25" ht="17.399999999999999">
      <c r="A10" s="553" t="s">
        <v>391</v>
      </c>
      <c r="B10" s="28">
        <f>ENRHIST!B14</f>
        <v>84</v>
      </c>
      <c r="C10" s="28">
        <f>ENRHIST!C14</f>
        <v>62</v>
      </c>
      <c r="D10" s="28">
        <f>ENRHIST!D14</f>
        <v>86</v>
      </c>
      <c r="E10" s="28">
        <f>ENRHIST!E14</f>
        <v>69</v>
      </c>
      <c r="F10" s="28">
        <f>ENRHIST!F14</f>
        <v>89</v>
      </c>
      <c r="G10" s="28">
        <f>ENRHIST!G14</f>
        <v>79</v>
      </c>
      <c r="H10" s="28">
        <f>ENRHIST!H14</f>
        <v>79</v>
      </c>
      <c r="I10" s="28">
        <f>ENRHIST!I14</f>
        <v>73</v>
      </c>
      <c r="J10" s="28">
        <f>ENRHIST!J14</f>
        <v>102</v>
      </c>
      <c r="K10" s="28"/>
      <c r="L10" s="28"/>
      <c r="M10" s="28"/>
      <c r="N10" s="28"/>
      <c r="O10" s="28"/>
      <c r="P10" s="28"/>
      <c r="Q10" s="28"/>
      <c r="R10" s="28"/>
      <c r="S10" s="345">
        <f t="shared" ref="S10:S23" si="0">SUM(B10:R10)</f>
        <v>723</v>
      </c>
      <c r="T10" s="28">
        <f>ENRHIST!U14</f>
        <v>818</v>
      </c>
      <c r="U10" s="272">
        <f>S10-T10</f>
        <v>-95</v>
      </c>
      <c r="V10" s="273">
        <f>T10/S10</f>
        <v>1.1313969571230982</v>
      </c>
    </row>
    <row r="11" spans="1:25" ht="17.399999999999999">
      <c r="A11" s="553">
        <v>1</v>
      </c>
      <c r="B11" s="28">
        <f>ENRHIST!B15</f>
        <v>84</v>
      </c>
      <c r="C11" s="28">
        <f>ENRHIST!C15</f>
        <v>69</v>
      </c>
      <c r="D11" s="28">
        <f>ENRHIST!D15</f>
        <v>87</v>
      </c>
      <c r="E11" s="28">
        <f>ENRHIST!E15</f>
        <v>75</v>
      </c>
      <c r="F11" s="28">
        <f>ENRHIST!F15</f>
        <v>86</v>
      </c>
      <c r="G11" s="28">
        <f>ENRHIST!G15</f>
        <v>88</v>
      </c>
      <c r="H11" s="28">
        <f>ENRHIST!H15</f>
        <v>90</v>
      </c>
      <c r="I11" s="28">
        <f>ENRHIST!I15</f>
        <v>72</v>
      </c>
      <c r="J11" s="28">
        <f>ENRHIST!J15</f>
        <v>84</v>
      </c>
      <c r="K11" s="28"/>
      <c r="L11" s="28"/>
      <c r="M11" s="28"/>
      <c r="N11" s="28"/>
      <c r="O11" s="28"/>
      <c r="P11" s="28"/>
      <c r="Q11" s="28"/>
      <c r="R11" s="28"/>
      <c r="S11" s="345">
        <f t="shared" si="0"/>
        <v>735</v>
      </c>
      <c r="T11" s="28">
        <f>ENRHIST!U15</f>
        <v>768</v>
      </c>
      <c r="U11" s="272">
        <f t="shared" ref="U11:U23" si="1">S11-T11</f>
        <v>-33</v>
      </c>
      <c r="V11" s="273">
        <f t="shared" ref="V11:V23" si="2">T11/S11</f>
        <v>1.0448979591836736</v>
      </c>
    </row>
    <row r="12" spans="1:25" ht="17.399999999999999">
      <c r="A12" s="553">
        <v>2</v>
      </c>
      <c r="B12" s="28">
        <f>ENRHIST!B16</f>
        <v>103</v>
      </c>
      <c r="C12" s="28">
        <f>ENRHIST!C16</f>
        <v>72</v>
      </c>
      <c r="D12" s="28">
        <f>ENRHIST!D16</f>
        <v>95</v>
      </c>
      <c r="E12" s="28">
        <f>ENRHIST!E16</f>
        <v>93</v>
      </c>
      <c r="F12" s="28">
        <f>ENRHIST!F16</f>
        <v>103</v>
      </c>
      <c r="G12" s="28">
        <f>ENRHIST!G16</f>
        <v>80</v>
      </c>
      <c r="H12" s="28">
        <f>ENRHIST!H16</f>
        <v>97</v>
      </c>
      <c r="I12" s="28">
        <f>ENRHIST!I16</f>
        <v>68</v>
      </c>
      <c r="J12" s="28">
        <f>ENRHIST!J16</f>
        <v>96</v>
      </c>
      <c r="K12" s="28"/>
      <c r="L12" s="28"/>
      <c r="M12" s="28"/>
      <c r="N12" s="28"/>
      <c r="O12" s="28"/>
      <c r="P12" s="28"/>
      <c r="Q12" s="28"/>
      <c r="R12" s="28"/>
      <c r="S12" s="345">
        <f t="shared" si="0"/>
        <v>807</v>
      </c>
      <c r="T12" s="28">
        <f>ENRHIST!U16</f>
        <v>801</v>
      </c>
      <c r="U12" s="272">
        <f t="shared" si="1"/>
        <v>6</v>
      </c>
      <c r="V12" s="273">
        <f t="shared" si="2"/>
        <v>0.99256505576208176</v>
      </c>
    </row>
    <row r="13" spans="1:25" ht="17.399999999999999">
      <c r="A13" s="553">
        <v>3</v>
      </c>
      <c r="B13" s="28">
        <f>ENRHIST!B17</f>
        <v>99</v>
      </c>
      <c r="C13" s="28">
        <f>ENRHIST!C17</f>
        <v>81</v>
      </c>
      <c r="D13" s="28">
        <f>ENRHIST!D17</f>
        <v>95</v>
      </c>
      <c r="E13" s="28">
        <f>ENRHIST!E17</f>
        <v>84</v>
      </c>
      <c r="F13" s="28">
        <f>ENRHIST!F17</f>
        <v>109</v>
      </c>
      <c r="G13" s="28">
        <f>ENRHIST!G17</f>
        <v>102</v>
      </c>
      <c r="H13" s="28">
        <f>ENRHIST!H17</f>
        <v>120</v>
      </c>
      <c r="I13" s="28">
        <f>ENRHIST!I17</f>
        <v>77</v>
      </c>
      <c r="J13" s="28">
        <f>ENRHIST!J17</f>
        <v>109</v>
      </c>
      <c r="K13" s="28"/>
      <c r="L13" s="28"/>
      <c r="M13" s="28"/>
      <c r="N13" s="28"/>
      <c r="O13" s="28"/>
      <c r="P13" s="28"/>
      <c r="Q13" s="28"/>
      <c r="R13" s="28"/>
      <c r="S13" s="345">
        <f t="shared" si="0"/>
        <v>876</v>
      </c>
      <c r="T13" s="28">
        <f>ENRHIST!U17</f>
        <v>866</v>
      </c>
      <c r="U13" s="272">
        <f t="shared" si="1"/>
        <v>10</v>
      </c>
      <c r="V13" s="273">
        <f t="shared" si="2"/>
        <v>0.98858447488584478</v>
      </c>
    </row>
    <row r="14" spans="1:25" ht="17.399999999999999">
      <c r="A14" s="555">
        <v>4</v>
      </c>
      <c r="B14" s="28">
        <f>ENRHIST!B18</f>
        <v>132</v>
      </c>
      <c r="C14" s="28">
        <f>ENRHIST!C18</f>
        <v>79</v>
      </c>
      <c r="D14" s="28">
        <f>ENRHIST!D18</f>
        <v>80</v>
      </c>
      <c r="E14" s="28">
        <f>ENRHIST!E18</f>
        <v>104</v>
      </c>
      <c r="F14" s="28">
        <f>ENRHIST!F18</f>
        <v>106</v>
      </c>
      <c r="G14" s="28">
        <f>ENRHIST!G18</f>
        <v>89</v>
      </c>
      <c r="H14" s="28">
        <f>ENRHIST!H18</f>
        <v>97</v>
      </c>
      <c r="I14" s="28">
        <f>ENRHIST!I18</f>
        <v>94</v>
      </c>
      <c r="J14" s="28">
        <f>ENRHIST!J18</f>
        <v>93</v>
      </c>
      <c r="K14" s="28"/>
      <c r="L14" s="28"/>
      <c r="M14" s="28"/>
      <c r="N14" s="28"/>
      <c r="O14" s="28"/>
      <c r="P14" s="28"/>
      <c r="Q14" s="28"/>
      <c r="R14" s="28"/>
      <c r="S14" s="345">
        <f t="shared" si="0"/>
        <v>874</v>
      </c>
      <c r="T14" s="28">
        <f>ENRHIST!U18</f>
        <v>869</v>
      </c>
      <c r="U14" s="272">
        <f t="shared" si="1"/>
        <v>5</v>
      </c>
      <c r="V14" s="273">
        <f t="shared" si="2"/>
        <v>0.99427917620137296</v>
      </c>
    </row>
    <row r="15" spans="1:25" ht="17.399999999999999">
      <c r="A15" s="555">
        <v>5</v>
      </c>
      <c r="B15" s="28">
        <f>ENRHIST!B19</f>
        <v>115</v>
      </c>
      <c r="C15" s="28">
        <f>ENRHIST!C19</f>
        <v>89</v>
      </c>
      <c r="D15" s="28">
        <f>ENRHIST!D19</f>
        <v>96</v>
      </c>
      <c r="E15" s="28">
        <f>ENRHIST!E19</f>
        <v>101</v>
      </c>
      <c r="F15" s="28">
        <f>ENRHIST!F19</f>
        <v>119</v>
      </c>
      <c r="G15" s="28">
        <f>ENRHIST!G19</f>
        <v>111</v>
      </c>
      <c r="H15" s="28">
        <f>ENRHIST!H19</f>
        <v>119</v>
      </c>
      <c r="I15" s="28">
        <f>ENRHIST!I19</f>
        <v>62</v>
      </c>
      <c r="J15" s="28">
        <f>ENRHIST!J19</f>
        <v>111</v>
      </c>
      <c r="K15" s="28"/>
      <c r="L15" s="28"/>
      <c r="M15" s="28"/>
      <c r="N15" s="28"/>
      <c r="O15" s="28"/>
      <c r="P15" s="28"/>
      <c r="Q15" s="28"/>
      <c r="R15" s="28"/>
      <c r="S15" s="345">
        <f t="shared" si="0"/>
        <v>923</v>
      </c>
      <c r="T15" s="28">
        <f>ENRHIST!U19</f>
        <v>927</v>
      </c>
      <c r="U15" s="272">
        <f t="shared" si="1"/>
        <v>-4</v>
      </c>
      <c r="V15" s="273">
        <f t="shared" si="2"/>
        <v>1.0043336944745396</v>
      </c>
    </row>
    <row r="16" spans="1:25" ht="17.399999999999999">
      <c r="A16" s="555">
        <v>6</v>
      </c>
      <c r="B16" s="28"/>
      <c r="C16" s="28"/>
      <c r="D16" s="28"/>
      <c r="E16" s="28"/>
      <c r="F16" s="28"/>
      <c r="G16" s="28"/>
      <c r="H16" s="28"/>
      <c r="I16" s="28"/>
      <c r="J16" s="28"/>
      <c r="K16" s="28">
        <f>ENRHIST!K20</f>
        <v>176</v>
      </c>
      <c r="L16" s="28">
        <f>ENRHIST!L20</f>
        <v>246</v>
      </c>
      <c r="M16" s="28">
        <f>ENRHIST!M20</f>
        <v>232</v>
      </c>
      <c r="N16" s="28">
        <f>ENRHIST!N20</f>
        <v>297</v>
      </c>
      <c r="O16" s="28"/>
      <c r="P16" s="28"/>
      <c r="Q16" s="28"/>
      <c r="R16" s="28">
        <f>ENRHIST!R20</f>
        <v>1</v>
      </c>
      <c r="S16" s="345">
        <f t="shared" si="0"/>
        <v>952</v>
      </c>
      <c r="T16" s="28">
        <f>ENRHIST!U20</f>
        <v>947</v>
      </c>
      <c r="U16" s="272">
        <f t="shared" si="1"/>
        <v>5</v>
      </c>
      <c r="V16" s="273">
        <f t="shared" si="2"/>
        <v>0.99474789915966388</v>
      </c>
      <c r="Y16" s="776"/>
    </row>
    <row r="17" spans="1:25" ht="17.399999999999999">
      <c r="A17" s="555">
        <v>7</v>
      </c>
      <c r="B17" s="28"/>
      <c r="C17" s="28"/>
      <c r="D17" s="28"/>
      <c r="E17" s="28"/>
      <c r="F17" s="28"/>
      <c r="G17" s="28"/>
      <c r="H17" s="28"/>
      <c r="I17" s="28"/>
      <c r="J17" s="28"/>
      <c r="K17" s="28">
        <f>ENRHIST!K21</f>
        <v>193</v>
      </c>
      <c r="L17" s="28">
        <f>ENRHIST!L21</f>
        <v>236</v>
      </c>
      <c r="M17" s="28">
        <f>ENRHIST!M21</f>
        <v>269</v>
      </c>
      <c r="N17" s="28">
        <f>ENRHIST!N21</f>
        <v>296</v>
      </c>
      <c r="O17" s="28"/>
      <c r="P17" s="28"/>
      <c r="Q17" s="28"/>
      <c r="R17" s="28">
        <f>ENRHIST!R21</f>
        <v>1</v>
      </c>
      <c r="S17" s="345">
        <f t="shared" si="0"/>
        <v>995</v>
      </c>
      <c r="T17" s="28">
        <f>ENRHIST!U21</f>
        <v>990</v>
      </c>
      <c r="U17" s="272">
        <f t="shared" si="1"/>
        <v>5</v>
      </c>
      <c r="V17" s="273">
        <f t="shared" si="2"/>
        <v>0.99497487437185927</v>
      </c>
      <c r="Y17" s="776"/>
    </row>
    <row r="18" spans="1:25" ht="17.399999999999999">
      <c r="A18" s="555">
        <v>8</v>
      </c>
      <c r="B18" s="28"/>
      <c r="C18" s="28"/>
      <c r="D18" s="28"/>
      <c r="E18" s="28"/>
      <c r="F18" s="28"/>
      <c r="G18" s="28"/>
      <c r="H18" s="28"/>
      <c r="I18" s="28"/>
      <c r="J18" s="28"/>
      <c r="K18" s="28">
        <f>ENRHIST!K22</f>
        <v>189</v>
      </c>
      <c r="L18" s="28">
        <f>ENRHIST!L22</f>
        <v>238</v>
      </c>
      <c r="M18" s="28">
        <f>ENRHIST!M22</f>
        <v>247</v>
      </c>
      <c r="N18" s="28">
        <f>ENRHIST!N22</f>
        <v>272</v>
      </c>
      <c r="O18" s="28"/>
      <c r="P18" s="28"/>
      <c r="Q18" s="28"/>
      <c r="R18" s="28">
        <f>ENRHIST!R22</f>
        <v>2</v>
      </c>
      <c r="S18" s="345">
        <f t="shared" si="0"/>
        <v>948</v>
      </c>
      <c r="T18" s="28">
        <f>ENRHIST!U22</f>
        <v>936</v>
      </c>
      <c r="U18" s="272">
        <f t="shared" si="1"/>
        <v>12</v>
      </c>
      <c r="V18" s="273">
        <f t="shared" si="2"/>
        <v>0.98734177215189878</v>
      </c>
      <c r="Y18" s="776"/>
    </row>
    <row r="19" spans="1:25" ht="17.399999999999999">
      <c r="A19" s="555">
        <v>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>
        <f>ENRHIST!O23</f>
        <v>239</v>
      </c>
      <c r="P19" s="28">
        <f>ENRHIST!P23</f>
        <v>412</v>
      </c>
      <c r="Q19" s="28">
        <f>ENRHIST!Q23</f>
        <v>370</v>
      </c>
      <c r="R19" s="28">
        <f>ENRHIST!R23</f>
        <v>15</v>
      </c>
      <c r="S19" s="345">
        <f t="shared" si="0"/>
        <v>1036</v>
      </c>
      <c r="T19" s="28">
        <f>ENRHIST!U23</f>
        <v>1038</v>
      </c>
      <c r="U19" s="272">
        <f t="shared" si="1"/>
        <v>-2</v>
      </c>
      <c r="V19" s="273">
        <f t="shared" si="2"/>
        <v>1.001930501930502</v>
      </c>
      <c r="Y19" s="776"/>
    </row>
    <row r="20" spans="1:25" ht="17.399999999999999">
      <c r="A20" s="555">
        <v>10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>
        <f>ENRHIST!O24</f>
        <v>234</v>
      </c>
      <c r="P20" s="28">
        <f>ENRHIST!P24</f>
        <v>351</v>
      </c>
      <c r="Q20" s="28">
        <f>ENRHIST!Q24</f>
        <v>355</v>
      </c>
      <c r="R20" s="28">
        <f>ENRHIST!R24</f>
        <v>14</v>
      </c>
      <c r="S20" s="345">
        <f t="shared" si="0"/>
        <v>954</v>
      </c>
      <c r="T20" s="28">
        <f>ENRHIST!U24</f>
        <v>958</v>
      </c>
      <c r="U20" s="272">
        <f t="shared" si="1"/>
        <v>-4</v>
      </c>
      <c r="V20" s="273">
        <f t="shared" si="2"/>
        <v>1.0041928721174005</v>
      </c>
      <c r="Y20" s="776"/>
    </row>
    <row r="21" spans="1:25" ht="17.399999999999999">
      <c r="A21" s="555">
        <v>11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>
        <f>ENRHIST!O25</f>
        <v>247</v>
      </c>
      <c r="P21" s="28">
        <f>ENRHIST!P25</f>
        <v>396</v>
      </c>
      <c r="Q21" s="28">
        <f>ENRHIST!Q25</f>
        <v>285</v>
      </c>
      <c r="R21" s="28">
        <f>ENRHIST!R25</f>
        <v>13</v>
      </c>
      <c r="S21" s="345">
        <f t="shared" si="0"/>
        <v>941</v>
      </c>
      <c r="T21" s="28">
        <f>ENRHIST!U25</f>
        <v>928</v>
      </c>
      <c r="U21" s="272">
        <f t="shared" si="1"/>
        <v>13</v>
      </c>
      <c r="V21" s="273">
        <f t="shared" si="2"/>
        <v>0.98618490967056327</v>
      </c>
      <c r="Y21" s="776"/>
    </row>
    <row r="22" spans="1:25" ht="17.399999999999999">
      <c r="A22" s="555">
        <v>12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>
        <f>ENRHIST!O26</f>
        <v>227</v>
      </c>
      <c r="P22" s="28">
        <f>ENRHIST!P26</f>
        <v>400</v>
      </c>
      <c r="Q22" s="28">
        <f>ENRHIST!Q26</f>
        <v>358</v>
      </c>
      <c r="R22" s="28">
        <f>ENRHIST!R26</f>
        <v>11</v>
      </c>
      <c r="S22" s="345">
        <f t="shared" si="0"/>
        <v>996</v>
      </c>
      <c r="T22" s="28">
        <f>ENRHIST!U26</f>
        <v>977</v>
      </c>
      <c r="U22" s="272">
        <f t="shared" si="1"/>
        <v>19</v>
      </c>
      <c r="V22" s="273">
        <f t="shared" si="2"/>
        <v>0.98092369477911645</v>
      </c>
      <c r="Y22" s="776"/>
    </row>
    <row r="23" spans="1:25" ht="17.399999999999999">
      <c r="A23" s="555" t="s">
        <v>386</v>
      </c>
      <c r="B23" s="28">
        <f>ENRHIST!B27</f>
        <v>0</v>
      </c>
      <c r="C23" s="28">
        <f>ENRHIST!C27</f>
        <v>0</v>
      </c>
      <c r="D23" s="28">
        <f>ENRHIST!D27</f>
        <v>0</v>
      </c>
      <c r="E23" s="28">
        <f>ENRHIST!E27</f>
        <v>0</v>
      </c>
      <c r="F23" s="28">
        <f>ENRHIST!F27</f>
        <v>0</v>
      </c>
      <c r="G23" s="28">
        <f>ENRHIST!G27</f>
        <v>0</v>
      </c>
      <c r="H23" s="28">
        <f>ENRHIST!H27</f>
        <v>0</v>
      </c>
      <c r="I23" s="28">
        <f>ENRHIST!I27</f>
        <v>0</v>
      </c>
      <c r="J23" s="28">
        <f>ENRHIST!J27</f>
        <v>0</v>
      </c>
      <c r="K23" s="28">
        <f>ENRHIST!K27</f>
        <v>0</v>
      </c>
      <c r="L23" s="28">
        <f>ENRHIST!L27</f>
        <v>0</v>
      </c>
      <c r="M23" s="28">
        <f>ENRHIST!M27</f>
        <v>0</v>
      </c>
      <c r="N23" s="28">
        <f>ENRHIST!N27</f>
        <v>0</v>
      </c>
      <c r="O23" s="28">
        <f>ENRHIST!O27</f>
        <v>6</v>
      </c>
      <c r="P23" s="28">
        <f>ENRHIST!P27</f>
        <v>9</v>
      </c>
      <c r="Q23" s="28">
        <f>ENRHIST!Q27</f>
        <v>7</v>
      </c>
      <c r="R23" s="28">
        <f>ENRHIST!R27</f>
        <v>0</v>
      </c>
      <c r="S23" s="345">
        <f t="shared" si="0"/>
        <v>22</v>
      </c>
      <c r="T23" s="28">
        <f>ENRHIST!U27</f>
        <v>13</v>
      </c>
      <c r="U23" s="272">
        <f t="shared" si="1"/>
        <v>9</v>
      </c>
      <c r="V23" s="273">
        <f t="shared" si="2"/>
        <v>0.59090909090909094</v>
      </c>
      <c r="Y23" s="776"/>
    </row>
    <row r="24" spans="1:25" ht="17.399999999999999">
      <c r="A24" s="556"/>
      <c r="B24" s="544"/>
      <c r="C24" s="557"/>
      <c r="D24" s="557"/>
      <c r="E24" s="557"/>
      <c r="F24" s="557"/>
      <c r="G24" s="557"/>
      <c r="H24" s="557"/>
      <c r="I24" s="557"/>
      <c r="J24" s="557"/>
      <c r="K24" s="557"/>
      <c r="L24" s="557"/>
      <c r="M24" s="557"/>
      <c r="N24" s="557"/>
      <c r="O24" s="557"/>
      <c r="P24" s="557"/>
      <c r="Q24" s="557"/>
      <c r="R24" s="774"/>
      <c r="S24" s="558"/>
      <c r="T24" s="276"/>
      <c r="U24" s="315"/>
      <c r="V24" s="277"/>
    </row>
    <row r="25" spans="1:25" ht="17.399999999999999">
      <c r="A25" s="547" t="s">
        <v>51</v>
      </c>
      <c r="B25" s="559">
        <f>SUM(B10:B23)</f>
        <v>617</v>
      </c>
      <c r="C25" s="559">
        <f t="shared" ref="C25:S25" si="3">SUM(C10:C23)</f>
        <v>452</v>
      </c>
      <c r="D25" s="559">
        <f t="shared" si="3"/>
        <v>539</v>
      </c>
      <c r="E25" s="559">
        <f t="shared" si="3"/>
        <v>526</v>
      </c>
      <c r="F25" s="559">
        <f t="shared" si="3"/>
        <v>612</v>
      </c>
      <c r="G25" s="559">
        <f>SUM(G10:G23)</f>
        <v>549</v>
      </c>
      <c r="H25" s="559">
        <f t="shared" si="3"/>
        <v>602</v>
      </c>
      <c r="I25" s="559">
        <f t="shared" si="3"/>
        <v>446</v>
      </c>
      <c r="J25" s="559">
        <f>SUM(J10:J23)</f>
        <v>595</v>
      </c>
      <c r="K25" s="559">
        <f>SUM(K10:K23)</f>
        <v>558</v>
      </c>
      <c r="L25" s="560">
        <f t="shared" si="3"/>
        <v>720</v>
      </c>
      <c r="M25" s="560">
        <f t="shared" si="3"/>
        <v>748</v>
      </c>
      <c r="N25" s="560">
        <f t="shared" si="3"/>
        <v>865</v>
      </c>
      <c r="O25" s="560">
        <f t="shared" si="3"/>
        <v>953</v>
      </c>
      <c r="P25" s="560">
        <f t="shared" si="3"/>
        <v>1568</v>
      </c>
      <c r="Q25" s="560">
        <f t="shared" si="3"/>
        <v>1375</v>
      </c>
      <c r="R25" s="775">
        <f>ENRHIST!R29</f>
        <v>57</v>
      </c>
      <c r="S25" s="561">
        <f t="shared" si="3"/>
        <v>11782</v>
      </c>
      <c r="T25" s="280">
        <f>SUM(T10:T23)</f>
        <v>11836</v>
      </c>
      <c r="U25" s="279">
        <f>SUM(U10:U23)</f>
        <v>-54</v>
      </c>
      <c r="V25" s="281">
        <f>T25/S25</f>
        <v>1.0045832626039721</v>
      </c>
    </row>
    <row r="26" spans="1:25" ht="17.399999999999999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S26" s="28"/>
      <c r="T26" s="28"/>
      <c r="U26" s="28"/>
      <c r="V26" s="28"/>
    </row>
    <row r="27" spans="1:25" ht="17.399999999999999">
      <c r="A27" s="274" t="s">
        <v>112</v>
      </c>
      <c r="B27" s="288">
        <f>ENRHIST!B31</f>
        <v>634</v>
      </c>
      <c r="C27" s="288">
        <f>ENRHIST!C31</f>
        <v>464</v>
      </c>
      <c r="D27" s="288">
        <f>ENRHIST!D31</f>
        <v>526</v>
      </c>
      <c r="E27" s="288">
        <f>ENRHIST!E31</f>
        <v>545</v>
      </c>
      <c r="F27" s="288">
        <f>ENRHIST!F31</f>
        <v>629</v>
      </c>
      <c r="G27" s="288">
        <f>ENRHIST!G31</f>
        <v>566</v>
      </c>
      <c r="H27" s="288">
        <f>ENRHIST!H31</f>
        <v>629</v>
      </c>
      <c r="I27" s="288">
        <f>ENRHIST!I31</f>
        <v>461</v>
      </c>
      <c r="J27" s="288">
        <f>ENRHIST!J31</f>
        <v>595</v>
      </c>
      <c r="K27" s="288">
        <f>ENRHIST!K31</f>
        <v>585</v>
      </c>
      <c r="L27" s="288">
        <f>ENRHIST!L31</f>
        <v>726</v>
      </c>
      <c r="M27" s="288">
        <f>ENRHIST!M31</f>
        <v>762</v>
      </c>
      <c r="N27" s="288">
        <f>ENRHIST!N31</f>
        <v>799</v>
      </c>
      <c r="O27" s="288">
        <f>ENRHIST!O31</f>
        <v>964</v>
      </c>
      <c r="P27" s="288">
        <f>ENRHIST!P31</f>
        <v>1589</v>
      </c>
      <c r="Q27" s="288">
        <f>ENRHIST!Q31</f>
        <v>1315</v>
      </c>
      <c r="R27" s="288">
        <f>ENRHIST!R31</f>
        <v>47</v>
      </c>
      <c r="S27" s="282"/>
      <c r="T27" s="283">
        <f>SUM(B27:S27)</f>
        <v>11836</v>
      </c>
      <c r="U27" s="28"/>
      <c r="V27" s="28"/>
    </row>
    <row r="28" spans="1:25" ht="17.399999999999999">
      <c r="A28" s="28"/>
      <c r="B28" s="288"/>
      <c r="C28" s="288"/>
      <c r="D28" s="288"/>
      <c r="E28" s="288"/>
      <c r="F28" s="288"/>
      <c r="G28" s="288"/>
      <c r="H28" s="288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4"/>
      <c r="T28" s="284"/>
      <c r="U28" s="28"/>
      <c r="V28" s="28"/>
      <c r="W28" s="28"/>
    </row>
    <row r="29" spans="1:25" ht="17.399999999999999">
      <c r="A29" s="274" t="s">
        <v>113</v>
      </c>
      <c r="B29" s="289">
        <f t="shared" ref="B29:J29" si="4">B25-B27</f>
        <v>-17</v>
      </c>
      <c r="C29" s="289">
        <f t="shared" si="4"/>
        <v>-12</v>
      </c>
      <c r="D29" s="289">
        <f t="shared" si="4"/>
        <v>13</v>
      </c>
      <c r="E29" s="289">
        <f t="shared" si="4"/>
        <v>-19</v>
      </c>
      <c r="F29" s="289">
        <f t="shared" si="4"/>
        <v>-17</v>
      </c>
      <c r="G29" s="289">
        <f t="shared" si="4"/>
        <v>-17</v>
      </c>
      <c r="H29" s="289">
        <f t="shared" si="4"/>
        <v>-27</v>
      </c>
      <c r="I29" s="289">
        <f t="shared" si="4"/>
        <v>-15</v>
      </c>
      <c r="J29" s="289">
        <f t="shared" si="4"/>
        <v>0</v>
      </c>
      <c r="K29" s="289">
        <f>K25-K27</f>
        <v>-27</v>
      </c>
      <c r="L29" s="289">
        <f t="shared" ref="L29:Q29" si="5">L25-L27</f>
        <v>-6</v>
      </c>
      <c r="M29" s="289">
        <f t="shared" si="5"/>
        <v>-14</v>
      </c>
      <c r="N29" s="289">
        <f t="shared" si="5"/>
        <v>66</v>
      </c>
      <c r="O29" s="289">
        <f t="shared" si="5"/>
        <v>-11</v>
      </c>
      <c r="P29" s="289">
        <f t="shared" si="5"/>
        <v>-21</v>
      </c>
      <c r="Q29" s="289">
        <f t="shared" si="5"/>
        <v>60</v>
      </c>
      <c r="R29" s="289">
        <f>R25-R27</f>
        <v>10</v>
      </c>
      <c r="S29" s="272"/>
      <c r="T29" s="272"/>
      <c r="U29" s="28"/>
      <c r="V29" s="28"/>
      <c r="W29" s="28"/>
    </row>
    <row r="30" spans="1:25" ht="17.399999999999999">
      <c r="A30" s="28"/>
      <c r="B30" s="288"/>
      <c r="C30" s="288"/>
      <c r="D30" s="288"/>
      <c r="E30" s="288"/>
      <c r="F30" s="288"/>
      <c r="G30" s="288"/>
      <c r="H30" s="288"/>
      <c r="I30" s="288"/>
      <c r="J30" s="288"/>
      <c r="K30" s="288"/>
      <c r="L30" s="288"/>
      <c r="M30" s="288"/>
      <c r="N30" s="288"/>
      <c r="O30" s="288"/>
      <c r="P30" s="288"/>
      <c r="Q30" s="288"/>
      <c r="R30" s="288"/>
      <c r="S30" s="272"/>
      <c r="T30" s="272"/>
      <c r="U30" s="28"/>
      <c r="V30" s="28"/>
      <c r="W30" s="28"/>
    </row>
    <row r="31" spans="1:25" ht="17.399999999999999">
      <c r="A31" s="274" t="s">
        <v>114</v>
      </c>
      <c r="B31" s="287">
        <f t="shared" ref="B31:J31" si="6">B27/B25</f>
        <v>1.027552674230146</v>
      </c>
      <c r="C31" s="287">
        <f t="shared" si="6"/>
        <v>1.0265486725663717</v>
      </c>
      <c r="D31" s="287">
        <f t="shared" si="6"/>
        <v>0.97588126159554733</v>
      </c>
      <c r="E31" s="287">
        <f t="shared" si="6"/>
        <v>1.0361216730038023</v>
      </c>
      <c r="F31" s="287">
        <f t="shared" si="6"/>
        <v>1.0277777777777777</v>
      </c>
      <c r="G31" s="287">
        <f t="shared" si="6"/>
        <v>1.0309653916211294</v>
      </c>
      <c r="H31" s="287">
        <f t="shared" si="6"/>
        <v>1.0448504983388704</v>
      </c>
      <c r="I31" s="287">
        <f t="shared" si="6"/>
        <v>1.0336322869955157</v>
      </c>
      <c r="J31" s="287">
        <f t="shared" si="6"/>
        <v>1</v>
      </c>
      <c r="K31" s="287">
        <f>K27/K25</f>
        <v>1.0483870967741935</v>
      </c>
      <c r="L31" s="287">
        <f t="shared" ref="L31:Q31" si="7">L27/L25</f>
        <v>1.0083333333333333</v>
      </c>
      <c r="M31" s="287">
        <f t="shared" si="7"/>
        <v>1.018716577540107</v>
      </c>
      <c r="N31" s="287">
        <f t="shared" si="7"/>
        <v>0.92369942196531796</v>
      </c>
      <c r="O31" s="287">
        <f t="shared" si="7"/>
        <v>1.0115424973767051</v>
      </c>
      <c r="P31" s="287">
        <f t="shared" si="7"/>
        <v>1.0133928571428572</v>
      </c>
      <c r="Q31" s="287">
        <f t="shared" si="7"/>
        <v>0.95636363636363642</v>
      </c>
      <c r="R31" s="287">
        <f>R27/R25</f>
        <v>0.82456140350877194</v>
      </c>
      <c r="S31" s="287">
        <f>T27/S25</f>
        <v>1.0045832626039721</v>
      </c>
      <c r="T31" s="287"/>
      <c r="U31" s="28"/>
      <c r="V31" s="28"/>
      <c r="W31" s="28"/>
    </row>
    <row r="32" spans="1:25" ht="17.399999999999999">
      <c r="A32" s="28"/>
      <c r="B32" s="288"/>
      <c r="C32" s="288"/>
      <c r="D32" s="288"/>
      <c r="E32" s="288"/>
      <c r="F32" s="288"/>
      <c r="G32" s="288"/>
      <c r="H32" s="288"/>
      <c r="I32" s="288"/>
      <c r="J32" s="288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"/>
      <c r="V32" s="28"/>
      <c r="W32" s="28"/>
    </row>
    <row r="33" spans="1:23" ht="17.399999999999999">
      <c r="A33" s="274" t="s">
        <v>115</v>
      </c>
      <c r="B33" s="288">
        <v>625</v>
      </c>
      <c r="C33" s="288">
        <v>575</v>
      </c>
      <c r="D33" s="288">
        <v>600</v>
      </c>
      <c r="E33" s="289">
        <v>725</v>
      </c>
      <c r="F33" s="289">
        <v>725</v>
      </c>
      <c r="G33" s="289">
        <v>625</v>
      </c>
      <c r="H33" s="289">
        <v>700</v>
      </c>
      <c r="I33" s="288">
        <v>593</v>
      </c>
      <c r="J33" s="288">
        <v>750</v>
      </c>
      <c r="K33" s="288">
        <v>667</v>
      </c>
      <c r="L33" s="289">
        <v>864</v>
      </c>
      <c r="M33" s="289">
        <v>779</v>
      </c>
      <c r="N33" s="289">
        <v>756</v>
      </c>
      <c r="O33" s="289">
        <v>1267</v>
      </c>
      <c r="P33" s="289">
        <v>1495</v>
      </c>
      <c r="Q33" s="289">
        <v>1019</v>
      </c>
      <c r="R33" s="288">
        <v>100</v>
      </c>
      <c r="S33" s="289">
        <f>SUM(B33:Q33)</f>
        <v>12765</v>
      </c>
      <c r="T33" s="289"/>
      <c r="U33" s="28"/>
      <c r="V33" s="28"/>
      <c r="W33" s="28"/>
    </row>
    <row r="34" spans="1:23" ht="17.399999999999999">
      <c r="A34" s="28"/>
      <c r="B34" s="288"/>
      <c r="C34" s="288"/>
      <c r="D34" s="288"/>
      <c r="E34" s="288"/>
      <c r="F34" s="288"/>
      <c r="G34" s="288"/>
      <c r="H34" s="288"/>
      <c r="I34" s="288"/>
      <c r="J34" s="288"/>
      <c r="K34" s="288"/>
      <c r="L34" s="288"/>
      <c r="M34" s="288"/>
      <c r="N34" s="288"/>
      <c r="O34" s="288"/>
      <c r="P34" s="288"/>
      <c r="Q34" s="288"/>
      <c r="R34" s="288"/>
      <c r="S34" s="288"/>
      <c r="T34" s="288"/>
      <c r="U34" s="28"/>
      <c r="V34" s="28"/>
      <c r="W34" s="28"/>
    </row>
    <row r="35" spans="1:23" ht="17.399999999999999">
      <c r="A35" s="274" t="s">
        <v>116</v>
      </c>
      <c r="B35" s="287">
        <f t="shared" ref="B35:J35" si="8">B25/B33</f>
        <v>0.98719999999999997</v>
      </c>
      <c r="C35" s="287">
        <f t="shared" si="8"/>
        <v>0.7860869565217391</v>
      </c>
      <c r="D35" s="287">
        <f t="shared" si="8"/>
        <v>0.89833333333333332</v>
      </c>
      <c r="E35" s="287">
        <f t="shared" si="8"/>
        <v>0.7255172413793104</v>
      </c>
      <c r="F35" s="287">
        <f t="shared" si="8"/>
        <v>0.84413793103448276</v>
      </c>
      <c r="G35" s="287">
        <f t="shared" si="8"/>
        <v>0.87839999999999996</v>
      </c>
      <c r="H35" s="287">
        <f t="shared" si="8"/>
        <v>0.86</v>
      </c>
      <c r="I35" s="287">
        <f t="shared" si="8"/>
        <v>0.75210792580101182</v>
      </c>
      <c r="J35" s="287">
        <f t="shared" si="8"/>
        <v>0.79333333333333333</v>
      </c>
      <c r="K35" s="287">
        <f>K25/K33</f>
        <v>0.83658170914542729</v>
      </c>
      <c r="L35" s="287">
        <f t="shared" ref="L35:Q35" si="9">L25/L33</f>
        <v>0.83333333333333337</v>
      </c>
      <c r="M35" s="287">
        <f t="shared" si="9"/>
        <v>0.96020539152759954</v>
      </c>
      <c r="N35" s="287">
        <f t="shared" si="9"/>
        <v>1.1441798941798942</v>
      </c>
      <c r="O35" s="287">
        <f t="shared" si="9"/>
        <v>0.75217048145224941</v>
      </c>
      <c r="P35" s="287">
        <f t="shared" si="9"/>
        <v>1.048829431438127</v>
      </c>
      <c r="Q35" s="287">
        <f t="shared" si="9"/>
        <v>1.3493621197252208</v>
      </c>
      <c r="R35" s="287">
        <f>R25/R33</f>
        <v>0.56999999999999995</v>
      </c>
      <c r="S35" s="287">
        <f>S25/S33</f>
        <v>0.92299255777516642</v>
      </c>
      <c r="T35" s="287"/>
      <c r="U35" s="28"/>
      <c r="V35" s="28"/>
      <c r="W35" s="28"/>
    </row>
    <row r="36" spans="1:23" ht="17.399999999999999">
      <c r="A36" s="274"/>
      <c r="B36" s="286"/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72"/>
      <c r="P36" s="287"/>
      <c r="Q36" s="28"/>
      <c r="R36" s="272"/>
      <c r="S36" s="28"/>
      <c r="T36" s="28"/>
    </row>
    <row r="37" spans="1:23" ht="17.399999999999999">
      <c r="A37" s="290"/>
      <c r="B37" s="286"/>
      <c r="C37" s="286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72"/>
      <c r="P37" s="287"/>
      <c r="Q37" s="28"/>
      <c r="R37" s="28"/>
      <c r="S37" s="28"/>
      <c r="T37" s="28"/>
    </row>
    <row r="38" spans="1:23" ht="17.399999999999999">
      <c r="A38" s="274"/>
      <c r="B38" s="291"/>
      <c r="C38" s="291"/>
      <c r="D38" s="291"/>
      <c r="E38" s="291"/>
      <c r="F38" s="291"/>
      <c r="G38" s="291"/>
      <c r="H38" s="291"/>
      <c r="I38" s="291"/>
      <c r="J38" s="291"/>
      <c r="K38" s="291"/>
      <c r="L38" s="291"/>
      <c r="M38" s="291"/>
      <c r="N38" s="28"/>
      <c r="O38" s="291"/>
      <c r="P38" s="28"/>
      <c r="Q38" s="28"/>
      <c r="R38" s="28"/>
    </row>
    <row r="39" spans="1:23" ht="17.399999999999999">
      <c r="D39" s="1" t="s">
        <v>117</v>
      </c>
    </row>
    <row r="40" spans="1:23" ht="17.399999999999999">
      <c r="D40" s="1" t="s">
        <v>118</v>
      </c>
    </row>
    <row r="42" spans="1:23">
      <c r="A42" s="19" t="s">
        <v>119</v>
      </c>
      <c r="B42" s="19" t="s">
        <v>120</v>
      </c>
      <c r="C42" s="19" t="s">
        <v>121</v>
      </c>
      <c r="D42" s="19" t="s">
        <v>122</v>
      </c>
      <c r="E42" s="19" t="s">
        <v>123</v>
      </c>
      <c r="F42" s="19" t="s">
        <v>124</v>
      </c>
      <c r="G42" s="19" t="s">
        <v>125</v>
      </c>
      <c r="H42" s="19" t="s">
        <v>126</v>
      </c>
      <c r="I42" s="19" t="s">
        <v>127</v>
      </c>
      <c r="J42" s="19" t="s">
        <v>128</v>
      </c>
      <c r="K42" s="19" t="s">
        <v>129</v>
      </c>
      <c r="L42" s="19" t="s">
        <v>130</v>
      </c>
      <c r="M42" s="19" t="s">
        <v>131</v>
      </c>
      <c r="N42" s="19" t="s">
        <v>139</v>
      </c>
      <c r="O42" s="19" t="s">
        <v>336</v>
      </c>
    </row>
    <row r="43" spans="1:2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23">
      <c r="A44" s="8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0"/>
    </row>
    <row r="45" spans="1:23" ht="17.399999999999999">
      <c r="A45" s="292" t="s">
        <v>24</v>
      </c>
      <c r="B45" s="269" t="str">
        <f>ENRHIST!N325</f>
        <v>2012-13</v>
      </c>
      <c r="C45" s="269" t="str">
        <f>ENRHIST!N303</f>
        <v>2013-14</v>
      </c>
      <c r="D45" s="269" t="str">
        <f>ENRHIST!N281</f>
        <v>2014-15</v>
      </c>
      <c r="E45" s="269" t="str">
        <f>ENRHIST!N259</f>
        <v>2015-16</v>
      </c>
      <c r="F45" s="269" t="str">
        <f>ENRHIST!N237</f>
        <v>2016-17</v>
      </c>
      <c r="G45" s="269" t="str">
        <f>ENRHIST!N215</f>
        <v>2017-18</v>
      </c>
      <c r="H45" s="269" t="str">
        <f>ENRHIST!N193</f>
        <v>2018-19</v>
      </c>
      <c r="I45" s="269" t="str">
        <f>ENRHIST!N171</f>
        <v>2019-20</v>
      </c>
      <c r="J45" s="269" t="str">
        <f>ENRHIST!N149</f>
        <v>2020-21</v>
      </c>
      <c r="K45" s="269" t="str">
        <f>ENRHIST!N127</f>
        <v>2021-22</v>
      </c>
      <c r="L45" s="269" t="str">
        <f>ENRHIST!N105</f>
        <v>2022-23</v>
      </c>
      <c r="M45" s="269" t="str">
        <f>ENRHIST!N83</f>
        <v>2023-24</v>
      </c>
      <c r="N45" s="269" t="str">
        <f>ENRHIST!N61</f>
        <v>2024-25</v>
      </c>
      <c r="O45" s="271" t="str">
        <f>ENRHIST!K9</f>
        <v>2025-26</v>
      </c>
    </row>
    <row r="46" spans="1:23" ht="17.399999999999999">
      <c r="A46" s="28"/>
      <c r="B46" s="272"/>
      <c r="C46" s="272"/>
      <c r="D46" s="272"/>
      <c r="E46" s="272"/>
      <c r="F46" s="272"/>
      <c r="G46" s="272"/>
      <c r="H46" s="272"/>
      <c r="I46" s="272"/>
      <c r="J46" s="272"/>
      <c r="K46" s="272"/>
      <c r="L46" s="272"/>
      <c r="M46" s="272"/>
      <c r="N46" s="272"/>
      <c r="O46" s="272"/>
    </row>
    <row r="47" spans="1:23" ht="17.399999999999999">
      <c r="A47" s="657" t="s">
        <v>391</v>
      </c>
      <c r="B47" s="272">
        <f>ENRHIST!S330</f>
        <v>737</v>
      </c>
      <c r="C47" s="272">
        <f>ENRHIST!S308</f>
        <v>838</v>
      </c>
      <c r="D47" s="272">
        <f>ENRHIST!S286</f>
        <v>743</v>
      </c>
      <c r="E47" s="272">
        <f>ENRHIST!S264</f>
        <v>778</v>
      </c>
      <c r="F47" s="272">
        <f>ENRHIST!S242</f>
        <v>809</v>
      </c>
      <c r="G47" s="272">
        <f>ENRHIST!S220</f>
        <v>767</v>
      </c>
      <c r="H47" s="272">
        <f>ENRHIST!S198</f>
        <v>857</v>
      </c>
      <c r="I47" s="272">
        <f>ENRHIST!S176</f>
        <v>819</v>
      </c>
      <c r="J47" s="272">
        <f>ENRHIST!S154</f>
        <v>795</v>
      </c>
      <c r="K47" s="272">
        <f>ENRHIST!S132</f>
        <v>782</v>
      </c>
      <c r="L47" s="272">
        <f>ENRHIST!S110</f>
        <v>803</v>
      </c>
      <c r="M47" s="272">
        <f>ENRHIST!S88</f>
        <v>763</v>
      </c>
      <c r="N47" s="272">
        <f>ENRHIST!S66</f>
        <v>742</v>
      </c>
      <c r="O47" s="272">
        <f>ENRHIST!S14</f>
        <v>723</v>
      </c>
    </row>
    <row r="48" spans="1:23" ht="17.399999999999999">
      <c r="A48" s="274">
        <v>1</v>
      </c>
      <c r="B48" s="272">
        <f>ENRHIST!S331</f>
        <v>826</v>
      </c>
      <c r="C48" s="272">
        <f>ENRHIST!S309</f>
        <v>797</v>
      </c>
      <c r="D48" s="272">
        <f>ENRHIST!S287</f>
        <v>861</v>
      </c>
      <c r="E48" s="272">
        <f>ENRHIST!S265</f>
        <v>792</v>
      </c>
      <c r="F48" s="272">
        <f>ENRHIST!S243</f>
        <v>836</v>
      </c>
      <c r="G48" s="272">
        <f>ENRHIST!S221</f>
        <v>831</v>
      </c>
      <c r="H48" s="272">
        <f>ENRHIST!S199</f>
        <v>801</v>
      </c>
      <c r="I48" s="272">
        <f>ENRHIST!S177</f>
        <v>909</v>
      </c>
      <c r="J48" s="272">
        <f>ENRHIST!S155</f>
        <v>806</v>
      </c>
      <c r="K48" s="272">
        <f>ENRHIST!S133</f>
        <v>875</v>
      </c>
      <c r="L48" s="272">
        <f>ENRHIST!S111</f>
        <v>820</v>
      </c>
      <c r="M48" s="272">
        <f>ENRHIST!S89</f>
        <v>827</v>
      </c>
      <c r="N48" s="272">
        <f>ENRHIST!S67</f>
        <v>784</v>
      </c>
      <c r="O48" s="272">
        <f>ENRHIST!S15</f>
        <v>735</v>
      </c>
    </row>
    <row r="49" spans="1:15" ht="17.399999999999999">
      <c r="A49" s="274">
        <v>2</v>
      </c>
      <c r="B49" s="272">
        <f>ENRHIST!S332</f>
        <v>853</v>
      </c>
      <c r="C49" s="272">
        <f>ENRHIST!S310</f>
        <v>845</v>
      </c>
      <c r="D49" s="272">
        <f>ENRHIST!S288</f>
        <v>814</v>
      </c>
      <c r="E49" s="272">
        <f>ENRHIST!S266</f>
        <v>888</v>
      </c>
      <c r="F49" s="272">
        <f>ENRHIST!S244</f>
        <v>852</v>
      </c>
      <c r="G49" s="272">
        <f>ENRHIST!S222</f>
        <v>861</v>
      </c>
      <c r="H49" s="272">
        <f>ENRHIST!S200</f>
        <v>875</v>
      </c>
      <c r="I49" s="272">
        <f>ENRHIST!S178</f>
        <v>830</v>
      </c>
      <c r="J49" s="272">
        <f>ENRHIST!S156</f>
        <v>892</v>
      </c>
      <c r="K49" s="272">
        <f>ENRHIST!S134</f>
        <v>819</v>
      </c>
      <c r="L49" s="272">
        <f>ENRHIST!S112</f>
        <v>888</v>
      </c>
      <c r="M49" s="272">
        <f>ENRHIST!S90</f>
        <v>837</v>
      </c>
      <c r="N49" s="272">
        <f>ENRHIST!S68</f>
        <v>850</v>
      </c>
      <c r="O49" s="272">
        <f>ENRHIST!S16</f>
        <v>807</v>
      </c>
    </row>
    <row r="50" spans="1:15" ht="17.399999999999999">
      <c r="A50" s="274">
        <v>3</v>
      </c>
      <c r="B50" s="272">
        <f>ENRHIST!S333</f>
        <v>882</v>
      </c>
      <c r="C50" s="272">
        <f>ENRHIST!S311</f>
        <v>879</v>
      </c>
      <c r="D50" s="272">
        <f>ENRHIST!S289</f>
        <v>908</v>
      </c>
      <c r="E50" s="272">
        <f>ENRHIST!S267</f>
        <v>844</v>
      </c>
      <c r="F50" s="272">
        <f>ENRHIST!S245</f>
        <v>955</v>
      </c>
      <c r="G50" s="272">
        <f>ENRHIST!S223</f>
        <v>901</v>
      </c>
      <c r="H50" s="272">
        <f>ENRHIST!S201</f>
        <v>873</v>
      </c>
      <c r="I50" s="272">
        <f>ENRHIST!S179</f>
        <v>910</v>
      </c>
      <c r="J50" s="272">
        <f>ENRHIST!S157</f>
        <v>829</v>
      </c>
      <c r="K50" s="272">
        <f>ENRHIST!S135</f>
        <v>920</v>
      </c>
      <c r="L50" s="272">
        <f>ENRHIST!S113</f>
        <v>857</v>
      </c>
      <c r="M50" s="272">
        <f>ENRHIST!S91</f>
        <v>885</v>
      </c>
      <c r="N50" s="272">
        <f>ENRHIST!S69</f>
        <v>848</v>
      </c>
      <c r="O50" s="272">
        <f>ENRHIST!S17</f>
        <v>876</v>
      </c>
    </row>
    <row r="51" spans="1:15" ht="17.399999999999999">
      <c r="A51" s="274">
        <v>4</v>
      </c>
      <c r="B51" s="272">
        <f>ENRHIST!S334</f>
        <v>897</v>
      </c>
      <c r="C51" s="272">
        <f>ENRHIST!S312</f>
        <v>927</v>
      </c>
      <c r="D51" s="272">
        <f>ENRHIST!S290</f>
        <v>904</v>
      </c>
      <c r="E51" s="272">
        <f>ENRHIST!S268</f>
        <v>951</v>
      </c>
      <c r="F51" s="272">
        <f>ENRHIST!S246</f>
        <v>886</v>
      </c>
      <c r="G51" s="272">
        <f>ENRHIST!S224</f>
        <v>998</v>
      </c>
      <c r="H51" s="272">
        <f>ENRHIST!S202</f>
        <v>932</v>
      </c>
      <c r="I51" s="272">
        <f>ENRHIST!S180</f>
        <v>906</v>
      </c>
      <c r="J51" s="272">
        <f>ENRHIST!S158</f>
        <v>920</v>
      </c>
      <c r="K51" s="272">
        <f>ENRHIST!S136</f>
        <v>854</v>
      </c>
      <c r="L51" s="272">
        <f>ENRHIST!S114</f>
        <v>941</v>
      </c>
      <c r="M51" s="272">
        <f>ENRHIST!S92</f>
        <v>875</v>
      </c>
      <c r="N51" s="272">
        <f>ENRHIST!S70</f>
        <v>911</v>
      </c>
      <c r="O51" s="272">
        <f>ENRHIST!S18</f>
        <v>874</v>
      </c>
    </row>
    <row r="52" spans="1:15" ht="17.399999999999999">
      <c r="A52" s="274">
        <v>5</v>
      </c>
      <c r="B52" s="272">
        <f>ENRHIST!S335</f>
        <v>912</v>
      </c>
      <c r="C52" s="272">
        <f>ENRHIST!S313</f>
        <v>929</v>
      </c>
      <c r="D52" s="272">
        <f>ENRHIST!S291</f>
        <v>961</v>
      </c>
      <c r="E52" s="272">
        <f>ENRHIST!S269</f>
        <v>927</v>
      </c>
      <c r="F52" s="272">
        <f>ENRHIST!S247</f>
        <v>962</v>
      </c>
      <c r="G52" s="272">
        <f>ENRHIST!S225</f>
        <v>905</v>
      </c>
      <c r="H52" s="272">
        <f>ENRHIST!S203</f>
        <v>1017</v>
      </c>
      <c r="I52" s="272">
        <f>ENRHIST!S181</f>
        <v>960</v>
      </c>
      <c r="J52" s="272">
        <f>ENRHIST!S159</f>
        <v>914</v>
      </c>
      <c r="K52" s="272">
        <f>ENRHIST!S137</f>
        <v>962</v>
      </c>
      <c r="L52" s="272">
        <f>ENRHIST!S115</f>
        <v>872</v>
      </c>
      <c r="M52" s="272">
        <f>ENRHIST!S93</f>
        <v>939</v>
      </c>
      <c r="N52" s="272">
        <f>ENRHIST!S71</f>
        <v>905</v>
      </c>
      <c r="O52" s="272">
        <f>ENRHIST!S19</f>
        <v>923</v>
      </c>
    </row>
    <row r="53" spans="1:15" ht="17.399999999999999">
      <c r="A53" s="274">
        <v>6</v>
      </c>
      <c r="B53" s="272">
        <f>ENRHIST!S336</f>
        <v>990</v>
      </c>
      <c r="C53" s="272">
        <f>ENRHIST!S314</f>
        <v>940</v>
      </c>
      <c r="D53" s="272">
        <f>ENRHIST!S292</f>
        <v>953</v>
      </c>
      <c r="E53" s="272">
        <f>ENRHIST!S270</f>
        <v>997</v>
      </c>
      <c r="F53" s="272">
        <f>ENRHIST!S248</f>
        <v>983</v>
      </c>
      <c r="G53" s="272">
        <f>ENRHIST!S226</f>
        <v>1021</v>
      </c>
      <c r="H53" s="272">
        <f>ENRHIST!S204</f>
        <v>944</v>
      </c>
      <c r="I53" s="272">
        <f>ENRHIST!S182</f>
        <v>1057</v>
      </c>
      <c r="J53" s="272">
        <f>ENRHIST!S160</f>
        <v>969</v>
      </c>
      <c r="K53" s="272">
        <f>ENRHIST!S138</f>
        <v>960</v>
      </c>
      <c r="L53" s="272">
        <f>ENRHIST!S116</f>
        <v>1013</v>
      </c>
      <c r="M53" s="272">
        <f>ENRHIST!S94</f>
        <v>913</v>
      </c>
      <c r="N53" s="272">
        <f>ENRHIST!S72</f>
        <v>975</v>
      </c>
      <c r="O53" s="272">
        <f>ENRHIST!S20</f>
        <v>952</v>
      </c>
    </row>
    <row r="54" spans="1:15" ht="17.399999999999999">
      <c r="A54" s="274">
        <v>7</v>
      </c>
      <c r="B54" s="272">
        <f>ENRHIST!S337</f>
        <v>998</v>
      </c>
      <c r="C54" s="272">
        <f>ENRHIST!S315</f>
        <v>992</v>
      </c>
      <c r="D54" s="272">
        <f>ENRHIST!S293</f>
        <v>959</v>
      </c>
      <c r="E54" s="272">
        <f>ENRHIST!S271</f>
        <v>967</v>
      </c>
      <c r="F54" s="272">
        <f>ENRHIST!S249</f>
        <v>1038</v>
      </c>
      <c r="G54" s="272">
        <f>ENRHIST!S227</f>
        <v>997</v>
      </c>
      <c r="H54" s="272">
        <f>ENRHIST!S205</f>
        <v>1041</v>
      </c>
      <c r="I54" s="272">
        <f>ENRHIST!S183</f>
        <v>979</v>
      </c>
      <c r="J54" s="272">
        <f>ENRHIST!S161</f>
        <v>1051</v>
      </c>
      <c r="K54" s="272">
        <f>ENRHIST!S139</f>
        <v>973</v>
      </c>
      <c r="L54" s="272">
        <f>ENRHIST!S117</f>
        <v>976</v>
      </c>
      <c r="M54" s="272">
        <f>ENRHIST!S95</f>
        <v>1013</v>
      </c>
      <c r="N54" s="272">
        <f>ENRHIST!S73</f>
        <v>930</v>
      </c>
      <c r="O54" s="272">
        <f>ENRHIST!S21</f>
        <v>995</v>
      </c>
    </row>
    <row r="55" spans="1:15" ht="17.399999999999999">
      <c r="A55" s="274">
        <v>8</v>
      </c>
      <c r="B55" s="272">
        <f>ENRHIST!S338</f>
        <v>971</v>
      </c>
      <c r="C55" s="272">
        <f>ENRHIST!S316</f>
        <v>1016</v>
      </c>
      <c r="D55" s="272">
        <f>ENRHIST!S294</f>
        <v>1024</v>
      </c>
      <c r="E55" s="272">
        <f>ENRHIST!S272</f>
        <v>979</v>
      </c>
      <c r="F55" s="272">
        <f>ENRHIST!S250</f>
        <v>981</v>
      </c>
      <c r="G55" s="272">
        <f>ENRHIST!S228</f>
        <v>1065</v>
      </c>
      <c r="H55" s="272">
        <f>ENRHIST!S206</f>
        <v>1039</v>
      </c>
      <c r="I55" s="272">
        <f>ENRHIST!S184</f>
        <v>1042</v>
      </c>
      <c r="J55" s="272">
        <f>ENRHIST!S162</f>
        <v>987</v>
      </c>
      <c r="K55" s="272">
        <f>ENRHIST!S140</f>
        <v>1054</v>
      </c>
      <c r="L55" s="272">
        <f>ENRHIST!S118</f>
        <v>990</v>
      </c>
      <c r="M55" s="272">
        <f>ENRHIST!S96</f>
        <v>955</v>
      </c>
      <c r="N55" s="272">
        <f>ENRHIST!S74</f>
        <v>1010</v>
      </c>
      <c r="O55" s="272">
        <f>ENRHIST!S22</f>
        <v>948</v>
      </c>
    </row>
    <row r="56" spans="1:15" ht="17.399999999999999">
      <c r="A56" s="274">
        <v>9</v>
      </c>
      <c r="B56" s="272">
        <f>ENRHIST!S339</f>
        <v>974</v>
      </c>
      <c r="C56" s="272">
        <f>ENRHIST!S317</f>
        <v>978</v>
      </c>
      <c r="D56" s="272">
        <f>ENRHIST!S295</f>
        <v>1025</v>
      </c>
      <c r="E56" s="272">
        <f>ENRHIST!S273</f>
        <v>1052</v>
      </c>
      <c r="F56" s="272">
        <f>ENRHIST!S251</f>
        <v>1018</v>
      </c>
      <c r="G56" s="272">
        <f>ENRHIST!S229</f>
        <v>1048</v>
      </c>
      <c r="H56" s="272">
        <f>ENRHIST!S207</f>
        <v>1062</v>
      </c>
      <c r="I56" s="272">
        <f>ENRHIST!S185</f>
        <v>1075</v>
      </c>
      <c r="J56" s="272">
        <f>ENRHIST!S163</f>
        <v>1054</v>
      </c>
      <c r="K56" s="272">
        <f>ENRHIST!S141</f>
        <v>1040</v>
      </c>
      <c r="L56" s="272">
        <f>ENRHIST!S119</f>
        <v>1076</v>
      </c>
      <c r="M56" s="272">
        <f>ENRHIST!S97</f>
        <v>985</v>
      </c>
      <c r="N56" s="272">
        <f>ENRHIST!S75</f>
        <v>987</v>
      </c>
      <c r="O56" s="272">
        <f>ENRHIST!S23</f>
        <v>1036</v>
      </c>
    </row>
    <row r="57" spans="1:15" ht="17.399999999999999">
      <c r="A57" s="274">
        <v>10</v>
      </c>
      <c r="B57" s="272">
        <f>ENRHIST!S340</f>
        <v>989</v>
      </c>
      <c r="C57" s="272">
        <f>ENRHIST!S318</f>
        <v>961</v>
      </c>
      <c r="D57" s="272">
        <f>ENRHIST!S296</f>
        <v>981</v>
      </c>
      <c r="E57" s="272">
        <f>ENRHIST!S274</f>
        <v>1020</v>
      </c>
      <c r="F57" s="272">
        <f>ENRHIST!S252</f>
        <v>1060</v>
      </c>
      <c r="G57" s="272">
        <f>ENRHIST!S230</f>
        <v>1007</v>
      </c>
      <c r="H57" s="272">
        <f>ENRHIST!S208</f>
        <v>1033</v>
      </c>
      <c r="I57" s="272">
        <f>ENRHIST!S186</f>
        <v>1047</v>
      </c>
      <c r="J57" s="272">
        <f>ENRHIST!S164</f>
        <v>1048</v>
      </c>
      <c r="K57" s="272">
        <f>ENRHIST!S142</f>
        <v>1023</v>
      </c>
      <c r="L57" s="272">
        <f>ENRHIST!S120</f>
        <v>995</v>
      </c>
      <c r="M57" s="272">
        <f>ENRHIST!S98</f>
        <v>1038</v>
      </c>
      <c r="N57" s="272">
        <f>ENRHIST!S76</f>
        <v>939</v>
      </c>
      <c r="O57" s="272">
        <f>ENRHIST!S24</f>
        <v>954</v>
      </c>
    </row>
    <row r="58" spans="1:15" ht="17.399999999999999">
      <c r="A58" s="274">
        <v>11</v>
      </c>
      <c r="B58" s="272">
        <f>ENRHIST!S341</f>
        <v>924</v>
      </c>
      <c r="C58" s="272">
        <f>ENRHIST!S319</f>
        <v>985</v>
      </c>
      <c r="D58" s="272">
        <f>ENRHIST!S297</f>
        <v>921</v>
      </c>
      <c r="E58" s="272">
        <f>ENRHIST!S275</f>
        <v>957</v>
      </c>
      <c r="F58" s="272">
        <f>ENRHIST!S253</f>
        <v>994</v>
      </c>
      <c r="G58" s="272">
        <f>ENRHIST!S231</f>
        <v>1049</v>
      </c>
      <c r="H58" s="272">
        <f>ENRHIST!S209</f>
        <v>1002</v>
      </c>
      <c r="I58" s="272">
        <f>ENRHIST!S187</f>
        <v>1013</v>
      </c>
      <c r="J58" s="272">
        <f>ENRHIST!S165</f>
        <v>1029</v>
      </c>
      <c r="K58" s="272">
        <f>ENRHIST!S143</f>
        <v>995</v>
      </c>
      <c r="L58" s="272">
        <f>ENRHIST!S121</f>
        <v>995</v>
      </c>
      <c r="M58" s="272">
        <f>ENRHIST!S99</f>
        <v>964</v>
      </c>
      <c r="N58" s="272">
        <f>ENRHIST!S77</f>
        <v>1008</v>
      </c>
      <c r="O58" s="272">
        <f>ENRHIST!S25</f>
        <v>941</v>
      </c>
    </row>
    <row r="59" spans="1:15" ht="17.399999999999999">
      <c r="A59" s="658">
        <v>12</v>
      </c>
      <c r="B59" s="272">
        <f>ENRHIST!S342</f>
        <v>835</v>
      </c>
      <c r="C59" s="272">
        <f>ENRHIST!S320</f>
        <v>880</v>
      </c>
      <c r="D59" s="272">
        <f>ENRHIST!S298</f>
        <v>938</v>
      </c>
      <c r="E59" s="272">
        <f>ENRHIST!S276</f>
        <v>888</v>
      </c>
      <c r="F59" s="272">
        <f>ENRHIST!S254</f>
        <v>894</v>
      </c>
      <c r="G59" s="272">
        <f>ENRHIST!S232</f>
        <v>953</v>
      </c>
      <c r="H59" s="272">
        <f>ENRHIST!S210</f>
        <v>1008</v>
      </c>
      <c r="I59" s="272">
        <f>ENRHIST!S188</f>
        <v>978</v>
      </c>
      <c r="J59" s="272">
        <f>ENRHIST!S166</f>
        <v>990</v>
      </c>
      <c r="K59" s="272">
        <f>ENRHIST!S144</f>
        <v>983</v>
      </c>
      <c r="L59" s="272">
        <f>ENRHIST!S122</f>
        <v>949</v>
      </c>
      <c r="M59" s="272">
        <f>ENRHIST!S100</f>
        <v>941</v>
      </c>
      <c r="N59" s="272">
        <f>ENRHIST!S78</f>
        <v>909</v>
      </c>
      <c r="O59" s="272">
        <f>ENRHIST!S26</f>
        <v>996</v>
      </c>
    </row>
    <row r="60" spans="1:15" ht="17.399999999999999">
      <c r="A60" s="28"/>
      <c r="B60" s="266"/>
      <c r="C60" s="266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93"/>
      <c r="O60" s="294"/>
    </row>
    <row r="61" spans="1:15" ht="17.399999999999999">
      <c r="A61" s="292" t="s">
        <v>132</v>
      </c>
      <c r="B61" s="295">
        <f t="shared" ref="B61:O61" si="10">SUM(B46:B60)</f>
        <v>11788</v>
      </c>
      <c r="C61" s="295">
        <f t="shared" si="10"/>
        <v>11967</v>
      </c>
      <c r="D61" s="295">
        <f t="shared" si="10"/>
        <v>11992</v>
      </c>
      <c r="E61" s="295">
        <f t="shared" si="10"/>
        <v>12040</v>
      </c>
      <c r="F61" s="295">
        <f t="shared" si="10"/>
        <v>12268</v>
      </c>
      <c r="G61" s="295">
        <f t="shared" si="10"/>
        <v>12403</v>
      </c>
      <c r="H61" s="295">
        <f t="shared" si="10"/>
        <v>12484</v>
      </c>
      <c r="I61" s="295">
        <f t="shared" si="10"/>
        <v>12525</v>
      </c>
      <c r="J61" s="295">
        <f t="shared" si="10"/>
        <v>12284</v>
      </c>
      <c r="K61" s="295">
        <f t="shared" si="10"/>
        <v>12240</v>
      </c>
      <c r="L61" s="295">
        <f t="shared" si="10"/>
        <v>12175</v>
      </c>
      <c r="M61" s="295">
        <f t="shared" si="10"/>
        <v>11935</v>
      </c>
      <c r="N61" s="295">
        <f t="shared" si="10"/>
        <v>11798</v>
      </c>
      <c r="O61" s="296">
        <f t="shared" si="10"/>
        <v>11760</v>
      </c>
    </row>
    <row r="62" spans="1:15" ht="17.399999999999999">
      <c r="A62" s="274" t="s">
        <v>133</v>
      </c>
      <c r="B62" s="285">
        <f>ENRHIST!S343</f>
        <v>14</v>
      </c>
      <c r="C62" s="272">
        <f>ENRHIST!S321</f>
        <v>12</v>
      </c>
      <c r="D62" s="272">
        <f>ENRHIST!S299</f>
        <v>12</v>
      </c>
      <c r="E62" s="272">
        <f>ENRHIST!S277</f>
        <v>9</v>
      </c>
      <c r="F62" s="272">
        <f>ENRHIST!S255</f>
        <v>7</v>
      </c>
      <c r="G62" s="272">
        <f>ENRHIST!S233</f>
        <v>9</v>
      </c>
      <c r="H62" s="272">
        <f>ENRHIST!S211</f>
        <v>21</v>
      </c>
      <c r="I62" s="272">
        <f>ENRHIST!S189</f>
        <v>22</v>
      </c>
      <c r="J62" s="272">
        <f>ENRHIST!S167</f>
        <v>24</v>
      </c>
      <c r="K62" s="272">
        <f>ENRHIST!S145</f>
        <v>21</v>
      </c>
      <c r="L62" s="272">
        <f>ENRHIST!S123</f>
        <v>20</v>
      </c>
      <c r="M62" s="272">
        <f>ENRHIST!S101</f>
        <v>15</v>
      </c>
      <c r="N62" s="272">
        <f>ENRHIST!S79</f>
        <v>13</v>
      </c>
      <c r="O62" s="272">
        <f>ENRHIST!S27</f>
        <v>22</v>
      </c>
    </row>
    <row r="63" spans="1:15" ht="17.399999999999999">
      <c r="A63" s="275"/>
      <c r="B63" s="276"/>
      <c r="C63" s="276"/>
      <c r="D63" s="276"/>
      <c r="E63" s="276"/>
      <c r="F63" s="276"/>
      <c r="G63" s="276"/>
      <c r="H63" s="276"/>
      <c r="I63" s="276"/>
      <c r="J63" s="276"/>
      <c r="K63" s="276"/>
      <c r="L63" s="276"/>
      <c r="M63" s="276"/>
      <c r="N63" s="276"/>
      <c r="O63" s="277"/>
    </row>
    <row r="64" spans="1:15" ht="17.399999999999999">
      <c r="A64" s="278" t="s">
        <v>27</v>
      </c>
      <c r="B64" s="279">
        <f t="shared" ref="B64:L64" si="11">SUM(B61:B63)</f>
        <v>11802</v>
      </c>
      <c r="C64" s="279">
        <f t="shared" si="11"/>
        <v>11979</v>
      </c>
      <c r="D64" s="279">
        <f t="shared" si="11"/>
        <v>12004</v>
      </c>
      <c r="E64" s="279">
        <f t="shared" si="11"/>
        <v>12049</v>
      </c>
      <c r="F64" s="279">
        <f t="shared" si="11"/>
        <v>12275</v>
      </c>
      <c r="G64" s="279">
        <f t="shared" si="11"/>
        <v>12412</v>
      </c>
      <c r="H64" s="279">
        <f t="shared" si="11"/>
        <v>12505</v>
      </c>
      <c r="I64" s="279">
        <f t="shared" si="11"/>
        <v>12547</v>
      </c>
      <c r="J64" s="279">
        <f t="shared" si="11"/>
        <v>12308</v>
      </c>
      <c r="K64" s="279">
        <f t="shared" si="11"/>
        <v>12261</v>
      </c>
      <c r="L64" s="279">
        <f t="shared" si="11"/>
        <v>12195</v>
      </c>
      <c r="M64" s="279">
        <f>SUM(M61:M63)</f>
        <v>11950</v>
      </c>
      <c r="N64" s="279">
        <f>SUM(N61:N63)</f>
        <v>11811</v>
      </c>
      <c r="O64" s="297">
        <f>SUM(O61:O63)</f>
        <v>11782</v>
      </c>
    </row>
    <row r="65" spans="1:17" ht="17.399999999999999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</row>
    <row r="66" spans="1:17" ht="17.399999999999999">
      <c r="A66" s="274" t="s">
        <v>134</v>
      </c>
      <c r="B66" s="771">
        <f>B64-ENRHIST!S367</f>
        <v>24</v>
      </c>
      <c r="C66" s="771">
        <f t="shared" ref="C66:L66" si="12">C64-B64</f>
        <v>177</v>
      </c>
      <c r="D66" s="771">
        <f t="shared" si="12"/>
        <v>25</v>
      </c>
      <c r="E66" s="771">
        <f t="shared" si="12"/>
        <v>45</v>
      </c>
      <c r="F66" s="771">
        <f t="shared" si="12"/>
        <v>226</v>
      </c>
      <c r="G66" s="771">
        <f t="shared" si="12"/>
        <v>137</v>
      </c>
      <c r="H66" s="771">
        <f t="shared" si="12"/>
        <v>93</v>
      </c>
      <c r="I66" s="771">
        <f t="shared" si="12"/>
        <v>42</v>
      </c>
      <c r="J66" s="771">
        <f t="shared" si="12"/>
        <v>-239</v>
      </c>
      <c r="K66" s="771">
        <f t="shared" si="12"/>
        <v>-47</v>
      </c>
      <c r="L66" s="771">
        <f t="shared" si="12"/>
        <v>-66</v>
      </c>
      <c r="M66" s="771">
        <f>M64-L64</f>
        <v>-245</v>
      </c>
      <c r="N66" s="771">
        <f>N64-M64</f>
        <v>-139</v>
      </c>
      <c r="O66" s="771">
        <f>O64-N64</f>
        <v>-29</v>
      </c>
      <c r="P66" s="4"/>
    </row>
    <row r="67" spans="1:17" ht="17.399999999999999">
      <c r="A67" s="28"/>
      <c r="B67" s="288"/>
      <c r="C67" s="288"/>
      <c r="D67" s="288"/>
      <c r="E67" s="288"/>
      <c r="F67" s="288"/>
      <c r="G67" s="288"/>
      <c r="H67" s="288"/>
      <c r="I67" s="288"/>
      <c r="J67" s="288"/>
      <c r="K67" s="288"/>
      <c r="L67" s="288"/>
      <c r="M67" s="288"/>
      <c r="N67" s="288"/>
      <c r="O67" s="288"/>
    </row>
    <row r="68" spans="1:17" ht="17.399999999999999">
      <c r="A68" s="274" t="s">
        <v>62</v>
      </c>
      <c r="B68" s="285">
        <f t="shared" ref="B68:N68" si="13">SUM(B47:B52)</f>
        <v>5107</v>
      </c>
      <c r="C68" s="285">
        <f t="shared" si="13"/>
        <v>5215</v>
      </c>
      <c r="D68" s="285">
        <f t="shared" si="13"/>
        <v>5191</v>
      </c>
      <c r="E68" s="285">
        <f t="shared" si="13"/>
        <v>5180</v>
      </c>
      <c r="F68" s="285">
        <f t="shared" si="13"/>
        <v>5300</v>
      </c>
      <c r="G68" s="285">
        <f t="shared" si="13"/>
        <v>5263</v>
      </c>
      <c r="H68" s="285">
        <f t="shared" si="13"/>
        <v>5355</v>
      </c>
      <c r="I68" s="285">
        <f t="shared" si="13"/>
        <v>5334</v>
      </c>
      <c r="J68" s="285">
        <f t="shared" si="13"/>
        <v>5156</v>
      </c>
      <c r="K68" s="285">
        <f t="shared" si="13"/>
        <v>5212</v>
      </c>
      <c r="L68" s="285">
        <f t="shared" si="13"/>
        <v>5181</v>
      </c>
      <c r="M68" s="285">
        <f t="shared" si="13"/>
        <v>5126</v>
      </c>
      <c r="N68" s="285">
        <f t="shared" si="13"/>
        <v>5040</v>
      </c>
      <c r="O68" s="285">
        <f>SUM(O47:O52)</f>
        <v>4938</v>
      </c>
    </row>
    <row r="69" spans="1:17" ht="17.399999999999999">
      <c r="A69" s="274" t="s">
        <v>63</v>
      </c>
      <c r="B69" s="285">
        <f t="shared" ref="B69:N69" si="14">SUM(B53:B55)</f>
        <v>2959</v>
      </c>
      <c r="C69" s="285">
        <f t="shared" si="14"/>
        <v>2948</v>
      </c>
      <c r="D69" s="285">
        <f t="shared" si="14"/>
        <v>2936</v>
      </c>
      <c r="E69" s="285">
        <f t="shared" si="14"/>
        <v>2943</v>
      </c>
      <c r="F69" s="285">
        <f t="shared" si="14"/>
        <v>3002</v>
      </c>
      <c r="G69" s="285">
        <f t="shared" si="14"/>
        <v>3083</v>
      </c>
      <c r="H69" s="285">
        <f t="shared" si="14"/>
        <v>3024</v>
      </c>
      <c r="I69" s="285">
        <f t="shared" si="14"/>
        <v>3078</v>
      </c>
      <c r="J69" s="285">
        <f t="shared" si="14"/>
        <v>3007</v>
      </c>
      <c r="K69" s="285">
        <f t="shared" si="14"/>
        <v>2987</v>
      </c>
      <c r="L69" s="285">
        <f t="shared" si="14"/>
        <v>2979</v>
      </c>
      <c r="M69" s="285">
        <f t="shared" si="14"/>
        <v>2881</v>
      </c>
      <c r="N69" s="285">
        <f t="shared" si="14"/>
        <v>2915</v>
      </c>
      <c r="O69" s="285">
        <f>SUM(O53:O55)</f>
        <v>2895</v>
      </c>
    </row>
    <row r="70" spans="1:17" ht="17.399999999999999">
      <c r="A70" s="274" t="s">
        <v>64</v>
      </c>
      <c r="B70" s="285">
        <f t="shared" ref="B70:N70" si="15">SUM(B56:B59)</f>
        <v>3722</v>
      </c>
      <c r="C70" s="285">
        <f t="shared" si="15"/>
        <v>3804</v>
      </c>
      <c r="D70" s="285">
        <f t="shared" si="15"/>
        <v>3865</v>
      </c>
      <c r="E70" s="285">
        <f t="shared" si="15"/>
        <v>3917</v>
      </c>
      <c r="F70" s="285">
        <f t="shared" si="15"/>
        <v>3966</v>
      </c>
      <c r="G70" s="285">
        <f t="shared" si="15"/>
        <v>4057</v>
      </c>
      <c r="H70" s="285">
        <f t="shared" si="15"/>
        <v>4105</v>
      </c>
      <c r="I70" s="285">
        <f t="shared" si="15"/>
        <v>4113</v>
      </c>
      <c r="J70" s="285">
        <f t="shared" si="15"/>
        <v>4121</v>
      </c>
      <c r="K70" s="285">
        <f t="shared" si="15"/>
        <v>4041</v>
      </c>
      <c r="L70" s="285">
        <f t="shared" si="15"/>
        <v>4015</v>
      </c>
      <c r="M70" s="285">
        <f t="shared" si="15"/>
        <v>3928</v>
      </c>
      <c r="N70" s="285">
        <f t="shared" si="15"/>
        <v>3843</v>
      </c>
      <c r="O70" s="285">
        <f>SUM(O56:O59)</f>
        <v>3927</v>
      </c>
    </row>
    <row r="71" spans="1:17" ht="17.399999999999999">
      <c r="C71" s="1" t="s">
        <v>135</v>
      </c>
    </row>
    <row r="72" spans="1:17" ht="17.399999999999999">
      <c r="D72" s="1" t="s">
        <v>136</v>
      </c>
    </row>
    <row r="74" spans="1:17" ht="15.6">
      <c r="A74" s="617" t="s">
        <v>137</v>
      </c>
      <c r="B74" s="617" t="s">
        <v>120</v>
      </c>
      <c r="C74" s="523" t="s">
        <v>138</v>
      </c>
      <c r="D74" s="617" t="s">
        <v>122</v>
      </c>
      <c r="E74" s="617" t="s">
        <v>123</v>
      </c>
      <c r="F74" s="617" t="s">
        <v>124</v>
      </c>
      <c r="G74" s="617" t="s">
        <v>125</v>
      </c>
      <c r="H74" s="617" t="s">
        <v>126</v>
      </c>
      <c r="I74" s="617" t="s">
        <v>127</v>
      </c>
      <c r="J74" s="617" t="s">
        <v>128</v>
      </c>
      <c r="K74" s="617" t="s">
        <v>129</v>
      </c>
      <c r="L74" s="617" t="s">
        <v>130</v>
      </c>
      <c r="M74" s="617" t="s">
        <v>131</v>
      </c>
      <c r="N74" s="617" t="s">
        <v>139</v>
      </c>
      <c r="O74" s="336"/>
      <c r="P74" s="336"/>
      <c r="Q74" s="336"/>
    </row>
    <row r="75" spans="1:17" ht="15.6">
      <c r="A75" s="524"/>
      <c r="B75" s="524"/>
      <c r="C75" s="524"/>
      <c r="D75" s="524"/>
      <c r="E75" s="524"/>
      <c r="F75" s="524"/>
      <c r="G75" s="524"/>
      <c r="H75" s="524"/>
      <c r="I75" s="524"/>
      <c r="J75" s="524"/>
      <c r="K75" s="524"/>
      <c r="L75" s="524"/>
      <c r="M75" s="524"/>
      <c r="N75" s="524"/>
      <c r="O75" s="336"/>
      <c r="P75" s="336"/>
      <c r="Q75" s="336"/>
    </row>
    <row r="76" spans="1:17" ht="15.6">
      <c r="A76" s="519" t="s">
        <v>140</v>
      </c>
      <c r="B76" s="520" t="str">
        <f>C45</f>
        <v>2013-14</v>
      </c>
      <c r="C76" s="520" t="str">
        <f>D45</f>
        <v>2014-15</v>
      </c>
      <c r="D76" s="520" t="str">
        <f>E45</f>
        <v>2015-16</v>
      </c>
      <c r="E76" s="520" t="str">
        <f>F45</f>
        <v>2016-17</v>
      </c>
      <c r="F76" s="520" t="str">
        <f t="shared" ref="F76:K76" si="16">G45</f>
        <v>2017-18</v>
      </c>
      <c r="G76" s="520" t="str">
        <f t="shared" si="16"/>
        <v>2018-19</v>
      </c>
      <c r="H76" s="520" t="str">
        <f t="shared" si="16"/>
        <v>2019-20</v>
      </c>
      <c r="I76" s="520" t="str">
        <f t="shared" si="16"/>
        <v>2020-21</v>
      </c>
      <c r="J76" s="520" t="str">
        <f t="shared" si="16"/>
        <v>2021-22</v>
      </c>
      <c r="K76" s="520" t="str">
        <f t="shared" si="16"/>
        <v>2022-23</v>
      </c>
      <c r="L76" s="520" t="str">
        <f>M45</f>
        <v>2023-24</v>
      </c>
      <c r="M76" s="520" t="str">
        <f>N45</f>
        <v>2024-25</v>
      </c>
      <c r="N76" s="618" t="str">
        <f>O45</f>
        <v>2025-26</v>
      </c>
      <c r="O76" s="619" t="s">
        <v>412</v>
      </c>
      <c r="P76" s="619" t="s">
        <v>413</v>
      </c>
      <c r="Q76" s="620" t="s">
        <v>414</v>
      </c>
    </row>
    <row r="77" spans="1:17" ht="15.6">
      <c r="A77" s="621" t="s">
        <v>141</v>
      </c>
      <c r="B77" s="524"/>
      <c r="C77" s="524"/>
      <c r="D77" s="524"/>
      <c r="E77" s="524"/>
      <c r="F77" s="524"/>
      <c r="G77" s="524"/>
      <c r="H77" s="524"/>
      <c r="I77" s="524"/>
      <c r="J77" s="524"/>
      <c r="K77" s="524"/>
      <c r="L77" s="524"/>
      <c r="M77" s="524"/>
      <c r="N77" s="622"/>
      <c r="O77" s="623" t="s">
        <v>439</v>
      </c>
      <c r="P77" s="623" t="s">
        <v>432</v>
      </c>
      <c r="Q77" s="624" t="s">
        <v>441</v>
      </c>
    </row>
    <row r="78" spans="1:17" ht="15.6">
      <c r="A78" s="526"/>
      <c r="B78" s="529"/>
      <c r="C78" s="529"/>
      <c r="D78" s="529"/>
      <c r="E78" s="529"/>
      <c r="F78" s="529"/>
      <c r="G78" s="529"/>
      <c r="H78" s="529"/>
      <c r="I78" s="529"/>
      <c r="J78" s="529"/>
      <c r="K78" s="529"/>
      <c r="L78" s="529"/>
      <c r="M78" s="529"/>
      <c r="N78" s="625"/>
      <c r="O78" s="642" t="s">
        <v>440</v>
      </c>
      <c r="P78" s="642" t="s">
        <v>440</v>
      </c>
      <c r="Q78" s="642" t="s">
        <v>440</v>
      </c>
    </row>
    <row r="79" spans="1:17" ht="15">
      <c r="A79" s="336"/>
      <c r="B79" s="336"/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626"/>
      <c r="O79" s="627"/>
      <c r="P79" s="627"/>
      <c r="Q79" s="626"/>
    </row>
    <row r="80" spans="1:17" ht="15.6">
      <c r="A80" s="628" t="s">
        <v>400</v>
      </c>
      <c r="B80" s="629">
        <f t="shared" ref="B80:K80" si="17">C48/B47</f>
        <v>1.0814111261872457</v>
      </c>
      <c r="C80" s="629">
        <f t="shared" si="17"/>
        <v>1.0274463007159904</v>
      </c>
      <c r="D80" s="629">
        <f t="shared" si="17"/>
        <v>1.0659488559892329</v>
      </c>
      <c r="E80" s="629">
        <f t="shared" si="17"/>
        <v>1.0745501285347043</v>
      </c>
      <c r="F80" s="629">
        <f t="shared" si="17"/>
        <v>1.0271940667490729</v>
      </c>
      <c r="G80" s="629">
        <f t="shared" si="17"/>
        <v>1.044328552803129</v>
      </c>
      <c r="H80" s="629">
        <f t="shared" si="17"/>
        <v>1.0606767794632439</v>
      </c>
      <c r="I80" s="629">
        <f t="shared" si="17"/>
        <v>0.98412698412698407</v>
      </c>
      <c r="J80" s="629">
        <f t="shared" si="17"/>
        <v>1.10062893081761</v>
      </c>
      <c r="K80" s="629">
        <f t="shared" si="17"/>
        <v>1.0485933503836318</v>
      </c>
      <c r="L80" s="629">
        <f t="shared" ref="L80:L91" si="18">M48/L47</f>
        <v>1.0298879202988791</v>
      </c>
      <c r="M80" s="630">
        <f t="shared" ref="M80:N91" si="19">N48/M47</f>
        <v>1.0275229357798166</v>
      </c>
      <c r="N80" s="631">
        <f>O48/N47</f>
        <v>0.99056603773584906</v>
      </c>
      <c r="O80" s="632">
        <f>SUM(L80:N80)/3</f>
        <v>1.0159922979381817</v>
      </c>
      <c r="P80" s="632">
        <f>SUM(J80:N80)/5</f>
        <v>1.0394398350031575</v>
      </c>
      <c r="Q80" s="633">
        <f>SUM(E80:N80)/10</f>
        <v>1.0388075686692921</v>
      </c>
    </row>
    <row r="81" spans="1:17" ht="15.6">
      <c r="A81" s="628" t="s">
        <v>387</v>
      </c>
      <c r="B81" s="629">
        <f t="shared" ref="B81:K81" si="20">C49/B48</f>
        <v>1.023002421307506</v>
      </c>
      <c r="C81" s="629">
        <f t="shared" si="20"/>
        <v>1.0213299874529485</v>
      </c>
      <c r="D81" s="629">
        <f t="shared" si="20"/>
        <v>1.0313588850174216</v>
      </c>
      <c r="E81" s="629">
        <f t="shared" si="20"/>
        <v>1.0757575757575757</v>
      </c>
      <c r="F81" s="629">
        <f t="shared" si="20"/>
        <v>1.0299043062200957</v>
      </c>
      <c r="G81" s="629">
        <f t="shared" si="20"/>
        <v>1.0529482551143201</v>
      </c>
      <c r="H81" s="629">
        <f t="shared" si="20"/>
        <v>1.0362047440699127</v>
      </c>
      <c r="I81" s="629">
        <f t="shared" si="20"/>
        <v>0.98129812981298126</v>
      </c>
      <c r="J81" s="629">
        <f t="shared" si="20"/>
        <v>1.0161290322580645</v>
      </c>
      <c r="K81" s="629">
        <f t="shared" si="20"/>
        <v>1.0148571428571429</v>
      </c>
      <c r="L81" s="629">
        <f t="shared" si="18"/>
        <v>1.0207317073170732</v>
      </c>
      <c r="M81" s="630">
        <f t="shared" si="19"/>
        <v>1.0278113663845223</v>
      </c>
      <c r="N81" s="631">
        <f t="shared" si="19"/>
        <v>1.0293367346938775</v>
      </c>
      <c r="O81" s="632">
        <f t="shared" ref="O81:O91" si="21">SUM(L81:N81)/3</f>
        <v>1.0259599361318243</v>
      </c>
      <c r="P81" s="632">
        <f t="shared" ref="P81:P91" si="22">SUM(J81:N81)/5</f>
        <v>1.0217731967021362</v>
      </c>
      <c r="Q81" s="633">
        <f t="shared" ref="Q81:Q91" si="23">SUM(E81:N81)/10</f>
        <v>1.0284978994485567</v>
      </c>
    </row>
    <row r="82" spans="1:17" ht="15.6">
      <c r="A82" s="628" t="s">
        <v>388</v>
      </c>
      <c r="B82" s="629">
        <f t="shared" ref="B82:K82" si="24">C50/B49</f>
        <v>1.0304806565064479</v>
      </c>
      <c r="C82" s="629">
        <f t="shared" si="24"/>
        <v>1.0745562130177515</v>
      </c>
      <c r="D82" s="629">
        <f t="shared" si="24"/>
        <v>1.0368550368550369</v>
      </c>
      <c r="E82" s="629">
        <f t="shared" si="24"/>
        <v>1.0754504504504505</v>
      </c>
      <c r="F82" s="629">
        <f t="shared" si="24"/>
        <v>1.057511737089202</v>
      </c>
      <c r="G82" s="629">
        <f t="shared" si="24"/>
        <v>1.0139372822299653</v>
      </c>
      <c r="H82" s="629">
        <f t="shared" si="24"/>
        <v>1.04</v>
      </c>
      <c r="I82" s="629">
        <f t="shared" si="24"/>
        <v>0.99879518072289153</v>
      </c>
      <c r="J82" s="629">
        <f t="shared" si="24"/>
        <v>1.0313901345291481</v>
      </c>
      <c r="K82" s="629">
        <f t="shared" si="24"/>
        <v>1.0463980463980465</v>
      </c>
      <c r="L82" s="629">
        <f t="shared" si="18"/>
        <v>0.9966216216216216</v>
      </c>
      <c r="M82" s="630">
        <f t="shared" si="19"/>
        <v>1.0131421744324971</v>
      </c>
      <c r="N82" s="631">
        <f t="shared" si="19"/>
        <v>1.0305882352941176</v>
      </c>
      <c r="O82" s="632">
        <f t="shared" si="21"/>
        <v>1.0134506771160787</v>
      </c>
      <c r="P82" s="632">
        <f t="shared" si="22"/>
        <v>1.0236280424550861</v>
      </c>
      <c r="Q82" s="633">
        <f t="shared" si="23"/>
        <v>1.030383486276794</v>
      </c>
    </row>
    <row r="83" spans="1:17" ht="15.6">
      <c r="A83" s="628" t="s">
        <v>389</v>
      </c>
      <c r="B83" s="629">
        <f t="shared" ref="B83:K83" si="25">C51/B50</f>
        <v>1.0510204081632653</v>
      </c>
      <c r="C83" s="629">
        <f t="shared" si="25"/>
        <v>1.0284414106939703</v>
      </c>
      <c r="D83" s="629">
        <f t="shared" si="25"/>
        <v>1.0473568281938326</v>
      </c>
      <c r="E83" s="629">
        <f t="shared" si="25"/>
        <v>1.0497630331753554</v>
      </c>
      <c r="F83" s="629">
        <f t="shared" si="25"/>
        <v>1.0450261780104713</v>
      </c>
      <c r="G83" s="629">
        <f t="shared" si="25"/>
        <v>1.0344062153163152</v>
      </c>
      <c r="H83" s="629">
        <f t="shared" si="25"/>
        <v>1.0378006872852235</v>
      </c>
      <c r="I83" s="629">
        <f t="shared" si="25"/>
        <v>1.0109890109890109</v>
      </c>
      <c r="J83" s="629">
        <f t="shared" si="25"/>
        <v>1.0301568154402896</v>
      </c>
      <c r="K83" s="629">
        <f t="shared" si="25"/>
        <v>1.0228260869565218</v>
      </c>
      <c r="L83" s="629">
        <f>M51/L50</f>
        <v>1.0210035005834306</v>
      </c>
      <c r="M83" s="630">
        <f t="shared" si="19"/>
        <v>1.0293785310734462</v>
      </c>
      <c r="N83" s="631">
        <f t="shared" si="19"/>
        <v>1.0306603773584906</v>
      </c>
      <c r="O83" s="632">
        <f t="shared" si="21"/>
        <v>1.0270141363384557</v>
      </c>
      <c r="P83" s="632">
        <f t="shared" si="22"/>
        <v>1.0268050622824358</v>
      </c>
      <c r="Q83" s="633">
        <f t="shared" si="23"/>
        <v>1.0312010436188555</v>
      </c>
    </row>
    <row r="84" spans="1:17" ht="15.6">
      <c r="A84" s="628" t="s">
        <v>303</v>
      </c>
      <c r="B84" s="629">
        <f t="shared" ref="B84:K84" si="26">C52/B51</f>
        <v>1.0356744704570791</v>
      </c>
      <c r="C84" s="629">
        <f t="shared" si="26"/>
        <v>1.0366774541531822</v>
      </c>
      <c r="D84" s="629">
        <f t="shared" si="26"/>
        <v>1.0254424778761062</v>
      </c>
      <c r="E84" s="629">
        <f t="shared" si="26"/>
        <v>1.0115667718191377</v>
      </c>
      <c r="F84" s="629">
        <f t="shared" si="26"/>
        <v>1.0214446952595937</v>
      </c>
      <c r="G84" s="629">
        <f t="shared" si="26"/>
        <v>1.0190380761523046</v>
      </c>
      <c r="H84" s="629">
        <f t="shared" si="26"/>
        <v>1.0300429184549356</v>
      </c>
      <c r="I84" s="629">
        <f t="shared" si="26"/>
        <v>1.0088300220750552</v>
      </c>
      <c r="J84" s="629">
        <f t="shared" si="26"/>
        <v>1.0456521739130435</v>
      </c>
      <c r="K84" s="629">
        <f t="shared" si="26"/>
        <v>1.0210772833723654</v>
      </c>
      <c r="L84" s="629">
        <f t="shared" si="18"/>
        <v>0.99787460148777896</v>
      </c>
      <c r="M84" s="630">
        <f t="shared" si="19"/>
        <v>1.0342857142857143</v>
      </c>
      <c r="N84" s="631">
        <f t="shared" si="19"/>
        <v>1.0131723380900111</v>
      </c>
      <c r="O84" s="632">
        <f t="shared" si="21"/>
        <v>1.0151108846211681</v>
      </c>
      <c r="P84" s="632">
        <f t="shared" si="22"/>
        <v>1.0224124222297826</v>
      </c>
      <c r="Q84" s="633">
        <f t="shared" si="23"/>
        <v>1.0202984594909938</v>
      </c>
    </row>
    <row r="85" spans="1:17" ht="15.6">
      <c r="A85" s="628" t="s">
        <v>304</v>
      </c>
      <c r="B85" s="629">
        <f t="shared" ref="B85:K85" si="27">C53/B52</f>
        <v>1.0307017543859649</v>
      </c>
      <c r="C85" s="629">
        <f t="shared" si="27"/>
        <v>1.0258342303552206</v>
      </c>
      <c r="D85" s="629">
        <f t="shared" si="27"/>
        <v>1.0374609781477628</v>
      </c>
      <c r="E85" s="629">
        <f t="shared" si="27"/>
        <v>1.0604099244875944</v>
      </c>
      <c r="F85" s="629">
        <f t="shared" si="27"/>
        <v>1.0613305613305613</v>
      </c>
      <c r="G85" s="629">
        <f t="shared" si="27"/>
        <v>1.0430939226519338</v>
      </c>
      <c r="H85" s="629">
        <f t="shared" si="27"/>
        <v>1.039331366764995</v>
      </c>
      <c r="I85" s="629">
        <f t="shared" si="27"/>
        <v>1.0093749999999999</v>
      </c>
      <c r="J85" s="629">
        <f t="shared" si="27"/>
        <v>1.0503282275711159</v>
      </c>
      <c r="K85" s="629">
        <f t="shared" si="27"/>
        <v>1.0530145530145529</v>
      </c>
      <c r="L85" s="629">
        <f t="shared" si="18"/>
        <v>1.0470183486238531</v>
      </c>
      <c r="M85" s="630">
        <f t="shared" si="19"/>
        <v>1.0383386581469649</v>
      </c>
      <c r="N85" s="631">
        <f>O53/N52</f>
        <v>1.0519337016574586</v>
      </c>
      <c r="O85" s="632">
        <f t="shared" si="21"/>
        <v>1.0457635694760921</v>
      </c>
      <c r="P85" s="632">
        <f t="shared" si="22"/>
        <v>1.048126697802789</v>
      </c>
      <c r="Q85" s="633">
        <f t="shared" si="23"/>
        <v>1.0454174264249032</v>
      </c>
    </row>
    <row r="86" spans="1:17" ht="15.6">
      <c r="A86" s="628" t="s">
        <v>305</v>
      </c>
      <c r="B86" s="629">
        <f t="shared" ref="B86:K86" si="28">C54/B53</f>
        <v>1.002020202020202</v>
      </c>
      <c r="C86" s="629">
        <f t="shared" si="28"/>
        <v>1.0202127659574467</v>
      </c>
      <c r="D86" s="629">
        <f t="shared" si="28"/>
        <v>1.0146904512067156</v>
      </c>
      <c r="E86" s="629">
        <f t="shared" si="28"/>
        <v>1.0411233701103311</v>
      </c>
      <c r="F86" s="629">
        <f t="shared" si="28"/>
        <v>1.0142421159715158</v>
      </c>
      <c r="G86" s="629">
        <f t="shared" si="28"/>
        <v>1.019588638589618</v>
      </c>
      <c r="H86" s="629">
        <f t="shared" si="28"/>
        <v>1.0370762711864407</v>
      </c>
      <c r="I86" s="629">
        <f t="shared" si="28"/>
        <v>0.99432355723746457</v>
      </c>
      <c r="J86" s="629">
        <f t="shared" si="28"/>
        <v>1.0041279669762642</v>
      </c>
      <c r="K86" s="629">
        <f t="shared" si="28"/>
        <v>1.0166666666666666</v>
      </c>
      <c r="L86" s="629">
        <f t="shared" si="18"/>
        <v>1</v>
      </c>
      <c r="M86" s="630">
        <f t="shared" si="19"/>
        <v>1.0186199342825848</v>
      </c>
      <c r="N86" s="631">
        <f t="shared" si="19"/>
        <v>1.0205128205128204</v>
      </c>
      <c r="O86" s="632">
        <f t="shared" si="21"/>
        <v>1.0130442515984683</v>
      </c>
      <c r="P86" s="632">
        <f t="shared" si="22"/>
        <v>1.0119854776876671</v>
      </c>
      <c r="Q86" s="633">
        <f t="shared" si="23"/>
        <v>1.0166281341533705</v>
      </c>
    </row>
    <row r="87" spans="1:17" ht="15.6">
      <c r="A87" s="628" t="s">
        <v>306</v>
      </c>
      <c r="B87" s="629">
        <f t="shared" ref="B87:K87" si="29">C55/B54</f>
        <v>1.0180360721442885</v>
      </c>
      <c r="C87" s="629">
        <f t="shared" si="29"/>
        <v>1.032258064516129</v>
      </c>
      <c r="D87" s="629">
        <f t="shared" si="29"/>
        <v>1.0208550573514077</v>
      </c>
      <c r="E87" s="629">
        <f t="shared" si="29"/>
        <v>1.0144777662874871</v>
      </c>
      <c r="F87" s="629">
        <f t="shared" si="29"/>
        <v>1.0260115606936415</v>
      </c>
      <c r="G87" s="629">
        <f t="shared" si="29"/>
        <v>1.0421263791374122</v>
      </c>
      <c r="H87" s="629">
        <f t="shared" si="29"/>
        <v>1.0009606147934678</v>
      </c>
      <c r="I87" s="629">
        <f t="shared" si="29"/>
        <v>1.0081716036772217</v>
      </c>
      <c r="J87" s="629">
        <f t="shared" si="29"/>
        <v>1.0028544243577546</v>
      </c>
      <c r="K87" s="629">
        <f t="shared" si="29"/>
        <v>1.0174717368961974</v>
      </c>
      <c r="L87" s="629">
        <f t="shared" si="18"/>
        <v>0.97848360655737709</v>
      </c>
      <c r="M87" s="630">
        <f t="shared" si="19"/>
        <v>0.99703849950641654</v>
      </c>
      <c r="N87" s="631">
        <f t="shared" si="19"/>
        <v>1.0193548387096774</v>
      </c>
      <c r="O87" s="632">
        <f t="shared" si="21"/>
        <v>0.99829231492449022</v>
      </c>
      <c r="P87" s="632">
        <f t="shared" si="22"/>
        <v>1.0030406212054845</v>
      </c>
      <c r="Q87" s="633">
        <f t="shared" si="23"/>
        <v>1.0106951030616655</v>
      </c>
    </row>
    <row r="88" spans="1:17" ht="15.6">
      <c r="A88" s="628" t="s">
        <v>307</v>
      </c>
      <c r="B88" s="629">
        <f t="shared" ref="B88:K88" si="30">C56/B55</f>
        <v>1.0072090628218331</v>
      </c>
      <c r="C88" s="629">
        <f t="shared" si="30"/>
        <v>1.0088582677165354</v>
      </c>
      <c r="D88" s="629">
        <f t="shared" si="30"/>
        <v>1.02734375</v>
      </c>
      <c r="E88" s="629">
        <f t="shared" si="30"/>
        <v>1.0398365679264556</v>
      </c>
      <c r="F88" s="629">
        <f t="shared" si="30"/>
        <v>1.0682976554536188</v>
      </c>
      <c r="G88" s="629">
        <f t="shared" si="30"/>
        <v>0.9971830985915493</v>
      </c>
      <c r="H88" s="629">
        <f t="shared" si="30"/>
        <v>1.0346487006737248</v>
      </c>
      <c r="I88" s="629">
        <f t="shared" si="30"/>
        <v>1.0115163147792707</v>
      </c>
      <c r="J88" s="629">
        <f t="shared" si="30"/>
        <v>1.0536980749746707</v>
      </c>
      <c r="K88" s="629">
        <f t="shared" si="30"/>
        <v>1.0208728652751422</v>
      </c>
      <c r="L88" s="629">
        <f t="shared" si="18"/>
        <v>0.99494949494949492</v>
      </c>
      <c r="M88" s="630">
        <f t="shared" si="19"/>
        <v>1.0335078534031414</v>
      </c>
      <c r="N88" s="631">
        <f t="shared" si="19"/>
        <v>1.0257425742574258</v>
      </c>
      <c r="O88" s="632">
        <f t="shared" si="21"/>
        <v>1.0180666408700207</v>
      </c>
      <c r="P88" s="632">
        <f t="shared" si="22"/>
        <v>1.025754172571975</v>
      </c>
      <c r="Q88" s="633">
        <f t="shared" si="23"/>
        <v>1.0280253200284495</v>
      </c>
    </row>
    <row r="89" spans="1:17" ht="15.6">
      <c r="A89" s="628" t="s">
        <v>308</v>
      </c>
      <c r="B89" s="629">
        <f t="shared" ref="B89:K89" si="31">C57/B56</f>
        <v>0.98665297741273106</v>
      </c>
      <c r="C89" s="629">
        <f t="shared" si="31"/>
        <v>1.0030674846625767</v>
      </c>
      <c r="D89" s="629">
        <f t="shared" si="31"/>
        <v>0.99512195121951219</v>
      </c>
      <c r="E89" s="629">
        <f t="shared" si="31"/>
        <v>1.0076045627376427</v>
      </c>
      <c r="F89" s="629">
        <f t="shared" si="31"/>
        <v>0.98919449901768175</v>
      </c>
      <c r="G89" s="629">
        <f t="shared" si="31"/>
        <v>0.98568702290076338</v>
      </c>
      <c r="H89" s="629">
        <f t="shared" si="31"/>
        <v>0.98587570621468923</v>
      </c>
      <c r="I89" s="629">
        <f t="shared" si="31"/>
        <v>0.97488372093023257</v>
      </c>
      <c r="J89" s="629">
        <f t="shared" si="31"/>
        <v>0.97058823529411764</v>
      </c>
      <c r="K89" s="629">
        <f t="shared" si="31"/>
        <v>0.95673076923076927</v>
      </c>
      <c r="L89" s="629">
        <f t="shared" si="18"/>
        <v>0.96468401486988853</v>
      </c>
      <c r="M89" s="630">
        <f t="shared" si="19"/>
        <v>0.95329949238578682</v>
      </c>
      <c r="N89" s="631">
        <f t="shared" si="19"/>
        <v>0.96656534954407292</v>
      </c>
      <c r="O89" s="632">
        <f t="shared" si="21"/>
        <v>0.96151628559991609</v>
      </c>
      <c r="P89" s="632">
        <f t="shared" si="22"/>
        <v>0.96237357226492704</v>
      </c>
      <c r="Q89" s="633">
        <f t="shared" si="23"/>
        <v>0.97551133731256456</v>
      </c>
    </row>
    <row r="90" spans="1:17" ht="15.6">
      <c r="A90" s="628" t="s">
        <v>309</v>
      </c>
      <c r="B90" s="629">
        <f t="shared" ref="B90:K90" si="32">C58/B57</f>
        <v>0.99595551061678467</v>
      </c>
      <c r="C90" s="629">
        <f t="shared" si="32"/>
        <v>0.95837669094693023</v>
      </c>
      <c r="D90" s="629">
        <f t="shared" si="32"/>
        <v>0.97553516819571862</v>
      </c>
      <c r="E90" s="629">
        <f t="shared" si="32"/>
        <v>0.97450980392156861</v>
      </c>
      <c r="F90" s="629">
        <f t="shared" si="32"/>
        <v>0.98962264150943391</v>
      </c>
      <c r="G90" s="629">
        <f t="shared" si="32"/>
        <v>0.9950347567030785</v>
      </c>
      <c r="H90" s="629">
        <f t="shared" si="32"/>
        <v>0.98063891577928364</v>
      </c>
      <c r="I90" s="629">
        <f t="shared" si="32"/>
        <v>0.98280802292263614</v>
      </c>
      <c r="J90" s="629">
        <f t="shared" si="32"/>
        <v>0.94942748091603058</v>
      </c>
      <c r="K90" s="629">
        <f t="shared" si="32"/>
        <v>0.97262952101661782</v>
      </c>
      <c r="L90" s="629">
        <f t="shared" si="18"/>
        <v>0.96884422110552759</v>
      </c>
      <c r="M90" s="630">
        <f t="shared" si="19"/>
        <v>0.97109826589595372</v>
      </c>
      <c r="N90" s="631">
        <f t="shared" si="19"/>
        <v>1.0021299254526093</v>
      </c>
      <c r="O90" s="632">
        <f t="shared" si="21"/>
        <v>0.98069080415136345</v>
      </c>
      <c r="P90" s="632">
        <f t="shared" si="22"/>
        <v>0.97282588287734773</v>
      </c>
      <c r="Q90" s="633">
        <f t="shared" si="23"/>
        <v>0.97867435552227389</v>
      </c>
    </row>
    <row r="91" spans="1:17" ht="15.6">
      <c r="A91" s="628" t="s">
        <v>310</v>
      </c>
      <c r="B91" s="629">
        <f t="shared" ref="B91:K91" si="33">C59/B58</f>
        <v>0.95238095238095233</v>
      </c>
      <c r="C91" s="629">
        <f t="shared" si="33"/>
        <v>0.95228426395939081</v>
      </c>
      <c r="D91" s="629">
        <f t="shared" si="33"/>
        <v>0.96416938110749184</v>
      </c>
      <c r="E91" s="629">
        <f t="shared" si="33"/>
        <v>0.93416927899686519</v>
      </c>
      <c r="F91" s="629">
        <f t="shared" si="33"/>
        <v>0.95875251509054327</v>
      </c>
      <c r="G91" s="629">
        <f t="shared" si="33"/>
        <v>0.96091515729265964</v>
      </c>
      <c r="H91" s="629">
        <f t="shared" si="33"/>
        <v>0.9760479041916168</v>
      </c>
      <c r="I91" s="629">
        <f t="shared" si="33"/>
        <v>0.97729516288252716</v>
      </c>
      <c r="J91" s="629">
        <f t="shared" si="33"/>
        <v>0.95529640427599616</v>
      </c>
      <c r="K91" s="629">
        <f t="shared" si="33"/>
        <v>0.95376884422110553</v>
      </c>
      <c r="L91" s="629">
        <f t="shared" si="18"/>
        <v>0.94572864321608041</v>
      </c>
      <c r="M91" s="630">
        <f t="shared" si="19"/>
        <v>0.94294605809128629</v>
      </c>
      <c r="N91" s="631">
        <f t="shared" si="19"/>
        <v>0.98809523809523814</v>
      </c>
      <c r="O91" s="632">
        <f t="shared" si="21"/>
        <v>0.95892331313420165</v>
      </c>
      <c r="P91" s="632">
        <f t="shared" si="22"/>
        <v>0.95716703757994126</v>
      </c>
      <c r="Q91" s="633">
        <f t="shared" si="23"/>
        <v>0.95930152063539187</v>
      </c>
    </row>
    <row r="92" spans="1:17" ht="15">
      <c r="A92" s="336"/>
      <c r="B92" s="336"/>
      <c r="C92" s="336"/>
      <c r="D92" s="336"/>
      <c r="E92" s="336"/>
      <c r="F92" s="336"/>
      <c r="G92" s="336"/>
      <c r="H92" s="336"/>
      <c r="I92" s="336"/>
      <c r="J92" s="336"/>
      <c r="K92" s="336"/>
      <c r="L92" s="336"/>
      <c r="M92" s="336"/>
      <c r="N92" s="626"/>
      <c r="O92" s="627"/>
      <c r="P92" s="627"/>
      <c r="Q92" s="626"/>
    </row>
    <row r="93" spans="1:17" ht="15">
      <c r="A93" s="634"/>
      <c r="B93" s="635"/>
      <c r="C93" s="635"/>
      <c r="D93" s="635"/>
      <c r="E93" s="635"/>
      <c r="F93" s="635"/>
      <c r="G93" s="635"/>
      <c r="H93" s="635"/>
      <c r="I93" s="635"/>
      <c r="J93" s="635"/>
      <c r="K93" s="635"/>
      <c r="L93" s="635"/>
      <c r="M93" s="635"/>
      <c r="N93" s="636"/>
      <c r="O93" s="637"/>
      <c r="P93" s="637"/>
      <c r="Q93" s="636"/>
    </row>
    <row r="94" spans="1:17" ht="15">
      <c r="A94" s="638" t="s">
        <v>142</v>
      </c>
      <c r="B94" s="639">
        <f t="shared" ref="B94:M94" si="34">SUM(B80:B91)/12</f>
        <v>1.0178788012003583</v>
      </c>
      <c r="C94" s="639">
        <f t="shared" si="34"/>
        <v>1.0157785945123392</v>
      </c>
      <c r="D94" s="639">
        <f t="shared" si="34"/>
        <v>1.0201782350966866</v>
      </c>
      <c r="E94" s="639">
        <f t="shared" si="34"/>
        <v>1.029934936183764</v>
      </c>
      <c r="F94" s="639">
        <f t="shared" si="34"/>
        <v>1.0240443776996193</v>
      </c>
      <c r="G94" s="639">
        <f t="shared" si="34"/>
        <v>1.0173572797902539</v>
      </c>
      <c r="H94" s="639">
        <f t="shared" si="34"/>
        <v>1.021608717406461</v>
      </c>
      <c r="I94" s="639">
        <f t="shared" si="34"/>
        <v>0.99520105917968971</v>
      </c>
      <c r="J94" s="639">
        <f t="shared" si="34"/>
        <v>1.0175231584436755</v>
      </c>
      <c r="K94" s="639">
        <f t="shared" si="34"/>
        <v>1.01207557219073</v>
      </c>
      <c r="L94" s="639">
        <f t="shared" si="34"/>
        <v>0.99715230671925037</v>
      </c>
      <c r="M94" s="639">
        <f t="shared" si="34"/>
        <v>1.0072491236390111</v>
      </c>
      <c r="N94" s="640">
        <f>SUM(N80:N91)/12</f>
        <v>1.0140548476168041</v>
      </c>
      <c r="O94" s="641">
        <f>SUM(O80:O91)/12</f>
        <v>1.0061520926583551</v>
      </c>
      <c r="P94" s="641">
        <f>SUM(P80:P91)/12</f>
        <v>1.0096110017218942</v>
      </c>
      <c r="Q94" s="640">
        <f>SUM(Q80:Q91)/12</f>
        <v>1.0136201378869261</v>
      </c>
    </row>
    <row r="96" spans="1:17" ht="17.399999999999999">
      <c r="C96" s="1" t="s">
        <v>143</v>
      </c>
    </row>
    <row r="98" spans="1:13">
      <c r="A98" s="19" t="s">
        <v>137</v>
      </c>
      <c r="B98" s="3"/>
      <c r="C98" s="3"/>
      <c r="D98" s="19" t="s">
        <v>144</v>
      </c>
      <c r="E98" s="3"/>
      <c r="F98" s="22" t="s">
        <v>145</v>
      </c>
      <c r="G98" s="3"/>
      <c r="H98" s="22" t="s">
        <v>122</v>
      </c>
      <c r="I98" s="3"/>
      <c r="J98" s="19" t="s">
        <v>123</v>
      </c>
      <c r="K98" s="19" t="s">
        <v>124</v>
      </c>
      <c r="L98" s="3"/>
      <c r="M98" s="21" t="s">
        <v>146</v>
      </c>
    </row>
    <row r="99" spans="1:1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>
      <c r="A100" s="51" t="s">
        <v>374</v>
      </c>
      <c r="B100" s="11"/>
      <c r="C100" s="11"/>
      <c r="D100" s="9" t="s">
        <v>147</v>
      </c>
      <c r="E100" s="11"/>
      <c r="F100" s="9" t="s">
        <v>148</v>
      </c>
      <c r="G100" s="11"/>
      <c r="H100" s="9" t="s">
        <v>149</v>
      </c>
      <c r="I100" s="11"/>
      <c r="J100" s="9" t="s">
        <v>27</v>
      </c>
      <c r="K100" s="50" t="s">
        <v>150</v>
      </c>
      <c r="L100" s="9" t="s">
        <v>151</v>
      </c>
      <c r="M100" s="10"/>
    </row>
    <row r="101" spans="1:13">
      <c r="A101" s="52" t="s">
        <v>152</v>
      </c>
      <c r="B101" s="3"/>
      <c r="C101" s="3"/>
      <c r="D101" s="21" t="s">
        <v>153</v>
      </c>
      <c r="E101" s="3"/>
      <c r="F101" s="21" t="s">
        <v>153</v>
      </c>
      <c r="G101" s="3"/>
      <c r="H101" s="21" t="s">
        <v>153</v>
      </c>
      <c r="I101" s="3"/>
      <c r="J101" s="21" t="s">
        <v>154</v>
      </c>
      <c r="K101" s="22" t="s">
        <v>390</v>
      </c>
      <c r="L101" s="21" t="s">
        <v>155</v>
      </c>
      <c r="M101" s="23"/>
    </row>
    <row r="102" spans="1:13">
      <c r="A102" s="53" t="s">
        <v>375</v>
      </c>
      <c r="B102" s="18"/>
      <c r="C102" s="18"/>
      <c r="D102" s="17" t="s">
        <v>156</v>
      </c>
      <c r="E102" s="18"/>
      <c r="F102" s="17" t="s">
        <v>156</v>
      </c>
      <c r="G102" s="18"/>
      <c r="H102" s="17" t="s">
        <v>156</v>
      </c>
      <c r="I102" s="18"/>
      <c r="J102" s="17" t="s">
        <v>157</v>
      </c>
      <c r="K102" s="18"/>
      <c r="L102" s="24" t="s">
        <v>158</v>
      </c>
      <c r="M102" s="20"/>
    </row>
    <row r="104" spans="1:13">
      <c r="A104" s="5" t="s">
        <v>4</v>
      </c>
      <c r="J104" s="5">
        <v>591</v>
      </c>
      <c r="K104">
        <v>411</v>
      </c>
      <c r="M104" s="60">
        <f t="shared" ref="M104:M123" si="35">K104/J104</f>
        <v>0.69543147208121825</v>
      </c>
    </row>
    <row r="105" spans="1:13">
      <c r="A105" s="5" t="s">
        <v>5</v>
      </c>
      <c r="J105" s="5">
        <v>763</v>
      </c>
      <c r="K105">
        <v>367</v>
      </c>
      <c r="M105" s="60">
        <f t="shared" si="35"/>
        <v>0.48099606815203144</v>
      </c>
    </row>
    <row r="106" spans="1:13">
      <c r="A106" s="5" t="s">
        <v>6</v>
      </c>
      <c r="J106" s="5">
        <v>651</v>
      </c>
      <c r="K106">
        <v>495</v>
      </c>
      <c r="M106" s="60">
        <f t="shared" si="35"/>
        <v>0.76036866359447008</v>
      </c>
    </row>
    <row r="107" spans="1:13">
      <c r="A107" s="5" t="s">
        <v>7</v>
      </c>
      <c r="J107" s="5">
        <v>844</v>
      </c>
      <c r="K107">
        <v>344</v>
      </c>
      <c r="M107" s="60">
        <f t="shared" si="35"/>
        <v>0.40758293838862558</v>
      </c>
    </row>
    <row r="108" spans="1:13">
      <c r="A108" s="5" t="s">
        <v>8</v>
      </c>
      <c r="J108" s="5">
        <v>666</v>
      </c>
      <c r="K108">
        <v>459</v>
      </c>
      <c r="M108" s="60">
        <f t="shared" si="35"/>
        <v>0.68918918918918914</v>
      </c>
    </row>
    <row r="109" spans="1:13">
      <c r="A109" s="5" t="s">
        <v>9</v>
      </c>
      <c r="J109" s="5">
        <v>530</v>
      </c>
      <c r="K109">
        <v>529</v>
      </c>
      <c r="M109" s="60">
        <f t="shared" si="35"/>
        <v>0.99811320754716981</v>
      </c>
    </row>
    <row r="110" spans="1:13">
      <c r="A110" s="82" t="s">
        <v>10</v>
      </c>
      <c r="J110" s="82">
        <v>422</v>
      </c>
      <c r="K110" s="61">
        <v>355</v>
      </c>
      <c r="M110" s="60">
        <f t="shared" si="35"/>
        <v>0.84123222748815163</v>
      </c>
    </row>
    <row r="111" spans="1:13">
      <c r="A111" s="82" t="s">
        <v>228</v>
      </c>
      <c r="J111" s="82">
        <v>279</v>
      </c>
      <c r="K111" s="61">
        <v>37</v>
      </c>
      <c r="M111" s="60">
        <f t="shared" si="35"/>
        <v>0.13261648745519714</v>
      </c>
    </row>
    <row r="112" spans="1:13">
      <c r="A112" s="82" t="s">
        <v>288</v>
      </c>
      <c r="J112" s="82">
        <v>143</v>
      </c>
      <c r="K112" s="61">
        <v>86</v>
      </c>
      <c r="M112" s="60">
        <f t="shared" si="35"/>
        <v>0.60139860139860135</v>
      </c>
    </row>
    <row r="113" spans="1:13">
      <c r="A113" s="82" t="s">
        <v>337</v>
      </c>
      <c r="J113" s="82">
        <v>133</v>
      </c>
      <c r="K113" s="61">
        <v>1</v>
      </c>
      <c r="M113" s="60">
        <f t="shared" si="35"/>
        <v>7.5187969924812026E-3</v>
      </c>
    </row>
    <row r="114" spans="1:13">
      <c r="A114" s="82" t="s">
        <v>340</v>
      </c>
      <c r="B114" s="61"/>
      <c r="C114" s="61"/>
      <c r="D114" s="61"/>
      <c r="E114" s="61"/>
      <c r="F114" s="61"/>
      <c r="G114" s="61"/>
      <c r="H114" s="61"/>
      <c r="I114" s="61"/>
      <c r="J114" s="82">
        <v>110</v>
      </c>
      <c r="K114" s="61">
        <v>41</v>
      </c>
      <c r="M114" s="60">
        <f t="shared" si="35"/>
        <v>0.37272727272727274</v>
      </c>
    </row>
    <row r="115" spans="1:13">
      <c r="A115" s="82" t="s">
        <v>341</v>
      </c>
      <c r="B115" s="61"/>
      <c r="C115" s="61"/>
      <c r="D115" s="61"/>
      <c r="E115" s="61"/>
      <c r="F115" s="61"/>
      <c r="G115" s="61"/>
      <c r="H115" s="61"/>
      <c r="I115" s="61"/>
      <c r="J115" s="82">
        <v>114</v>
      </c>
      <c r="K115" s="61">
        <v>24</v>
      </c>
      <c r="M115" s="60">
        <f t="shared" si="35"/>
        <v>0.21052631578947367</v>
      </c>
    </row>
    <row r="116" spans="1:13">
      <c r="A116" s="82" t="s">
        <v>344</v>
      </c>
      <c r="B116" s="61"/>
      <c r="C116" s="61"/>
      <c r="D116" s="61"/>
      <c r="E116" s="61"/>
      <c r="F116" s="61"/>
      <c r="G116" s="61"/>
      <c r="H116" s="61"/>
      <c r="I116" s="61"/>
      <c r="J116" s="82">
        <v>348</v>
      </c>
      <c r="K116" s="61">
        <v>177</v>
      </c>
      <c r="M116" s="60">
        <f t="shared" si="35"/>
        <v>0.50862068965517238</v>
      </c>
    </row>
    <row r="117" spans="1:13">
      <c r="A117" s="82" t="s">
        <v>352</v>
      </c>
      <c r="B117" s="61"/>
      <c r="C117" s="61"/>
      <c r="D117" s="61"/>
      <c r="E117" s="61"/>
      <c r="F117" s="61"/>
      <c r="G117" s="61"/>
      <c r="H117" s="61"/>
      <c r="I117" s="61"/>
      <c r="J117" s="82">
        <v>363</v>
      </c>
      <c r="K117" s="61">
        <v>25</v>
      </c>
      <c r="M117" s="60">
        <f t="shared" si="35"/>
        <v>6.8870523415977963E-2</v>
      </c>
    </row>
    <row r="118" spans="1:13">
      <c r="A118" s="82" t="s">
        <v>366</v>
      </c>
      <c r="B118" s="61"/>
      <c r="C118" s="61"/>
      <c r="D118" s="61"/>
      <c r="E118" s="61"/>
      <c r="F118" s="61"/>
      <c r="G118" s="61"/>
      <c r="H118" s="61"/>
      <c r="I118" s="61"/>
      <c r="J118" s="82">
        <v>225</v>
      </c>
      <c r="K118" s="61">
        <v>45</v>
      </c>
      <c r="M118" s="60">
        <f t="shared" si="35"/>
        <v>0.2</v>
      </c>
    </row>
    <row r="119" spans="1:13">
      <c r="A119" s="82" t="s">
        <v>373</v>
      </c>
      <c r="B119" s="61"/>
      <c r="C119" s="61"/>
      <c r="D119" s="61"/>
      <c r="E119" s="61"/>
      <c r="F119" s="61"/>
      <c r="G119" s="61"/>
      <c r="H119" s="61"/>
      <c r="I119" s="61"/>
      <c r="J119" s="82">
        <v>320</v>
      </c>
      <c r="K119" s="61">
        <v>226</v>
      </c>
      <c r="M119" s="60">
        <f t="shared" si="35"/>
        <v>0.70625000000000004</v>
      </c>
    </row>
    <row r="120" spans="1:13">
      <c r="A120" s="82" t="s">
        <v>376</v>
      </c>
      <c r="B120" s="61"/>
      <c r="C120" s="61"/>
      <c r="D120" s="61"/>
      <c r="E120" s="61"/>
      <c r="F120" s="61"/>
      <c r="G120" s="61"/>
      <c r="H120" s="61"/>
      <c r="I120" s="61"/>
      <c r="J120" s="82">
        <v>319</v>
      </c>
      <c r="K120" s="61">
        <v>137</v>
      </c>
      <c r="M120" s="60">
        <f t="shared" si="35"/>
        <v>0.42946708463949845</v>
      </c>
    </row>
    <row r="121" spans="1:13">
      <c r="A121" s="82" t="s">
        <v>404</v>
      </c>
      <c r="B121" s="61"/>
      <c r="C121" s="61"/>
      <c r="D121" s="61"/>
      <c r="E121" s="61"/>
      <c r="F121" s="61"/>
      <c r="G121" s="61"/>
      <c r="H121" s="61"/>
      <c r="I121" s="61"/>
      <c r="J121" s="82">
        <v>271</v>
      </c>
      <c r="K121" s="61">
        <v>93</v>
      </c>
      <c r="M121" s="60">
        <f t="shared" si="35"/>
        <v>0.34317343173431736</v>
      </c>
    </row>
    <row r="122" spans="1:13">
      <c r="A122" s="82" t="s">
        <v>409</v>
      </c>
      <c r="B122" s="61"/>
      <c r="C122" s="61"/>
      <c r="D122" s="61"/>
      <c r="E122" s="61"/>
      <c r="F122" s="61"/>
      <c r="G122" s="61"/>
      <c r="H122" s="61"/>
      <c r="I122" s="61"/>
      <c r="J122" s="82">
        <v>224</v>
      </c>
      <c r="K122" s="61">
        <v>42</v>
      </c>
      <c r="M122" s="60">
        <f t="shared" si="35"/>
        <v>0.1875</v>
      </c>
    </row>
    <row r="123" spans="1:13">
      <c r="A123" s="82" t="s">
        <v>411</v>
      </c>
      <c r="B123" s="61"/>
      <c r="C123" s="61"/>
      <c r="D123" s="61"/>
      <c r="E123" s="61"/>
      <c r="F123" s="61"/>
      <c r="G123" s="61"/>
      <c r="H123" s="61"/>
      <c r="I123" s="61"/>
      <c r="J123" s="82">
        <v>304</v>
      </c>
      <c r="K123" s="61">
        <v>-239</v>
      </c>
      <c r="M123" s="60">
        <f t="shared" si="35"/>
        <v>-0.78618421052631582</v>
      </c>
    </row>
    <row r="124" spans="1:13">
      <c r="A124" s="82" t="s">
        <v>442</v>
      </c>
      <c r="B124" s="61"/>
      <c r="C124" s="61"/>
      <c r="D124" s="61"/>
      <c r="E124" s="61"/>
      <c r="F124" s="61"/>
      <c r="G124" s="61"/>
      <c r="H124" s="61"/>
      <c r="I124" s="61"/>
      <c r="J124" s="82">
        <v>403</v>
      </c>
      <c r="K124" s="61">
        <v>-47</v>
      </c>
      <c r="M124" s="60">
        <f>K124/J124</f>
        <v>-0.11662531017369727</v>
      </c>
    </row>
    <row r="125" spans="1:13">
      <c r="A125" s="82" t="s">
        <v>445</v>
      </c>
      <c r="B125" s="61"/>
      <c r="C125" s="61"/>
      <c r="D125" s="61"/>
      <c r="E125" s="61"/>
      <c r="F125" s="61"/>
      <c r="G125" s="61"/>
      <c r="H125" s="61"/>
      <c r="I125" s="61"/>
      <c r="J125" s="82">
        <v>485</v>
      </c>
      <c r="K125" s="61">
        <v>-66</v>
      </c>
      <c r="L125" s="61"/>
      <c r="M125" s="567">
        <f>K125/J125</f>
        <v>-0.13608247422680411</v>
      </c>
    </row>
    <row r="126" spans="1:13">
      <c r="A126" s="82" t="s">
        <v>416</v>
      </c>
      <c r="B126" s="61"/>
      <c r="C126" s="61"/>
      <c r="D126" s="61"/>
      <c r="E126" s="61"/>
      <c r="F126" s="61"/>
      <c r="G126" s="61"/>
      <c r="H126" s="61"/>
      <c r="I126" s="61"/>
      <c r="J126" s="82">
        <v>334</v>
      </c>
      <c r="K126" s="61">
        <v>-245</v>
      </c>
      <c r="L126" s="61"/>
      <c r="M126" s="567">
        <f>K126/J126</f>
        <v>-0.73353293413173648</v>
      </c>
    </row>
    <row r="127" spans="1:13">
      <c r="A127" s="82" t="s">
        <v>421</v>
      </c>
      <c r="B127" s="61"/>
      <c r="C127" s="61"/>
      <c r="D127" s="61"/>
      <c r="E127" s="61"/>
      <c r="F127" s="61"/>
      <c r="G127" s="61"/>
      <c r="H127" s="61"/>
      <c r="I127" s="61"/>
      <c r="J127" s="82">
        <v>336</v>
      </c>
      <c r="K127" s="61">
        <v>-139</v>
      </c>
      <c r="L127" s="61"/>
      <c r="M127" s="567">
        <f>K127/J127</f>
        <v>-0.41369047619047616</v>
      </c>
    </row>
    <row r="128" spans="1:13">
      <c r="A128" s="82" t="s">
        <v>422</v>
      </c>
      <c r="B128" s="61"/>
      <c r="C128" s="61"/>
      <c r="D128" s="61"/>
      <c r="E128" s="61"/>
      <c r="F128" s="61"/>
      <c r="G128" s="61"/>
      <c r="H128" s="61"/>
      <c r="I128" s="61"/>
      <c r="J128" s="82">
        <v>444</v>
      </c>
      <c r="K128" s="61">
        <v>-29</v>
      </c>
      <c r="L128" s="61"/>
      <c r="M128" s="567">
        <f>K128/J128</f>
        <v>-6.5315315315315314E-2</v>
      </c>
    </row>
    <row r="129" spans="1:13" ht="13.8" thickBot="1">
      <c r="A129" s="2"/>
      <c r="K129" s="61"/>
      <c r="M129" s="25"/>
    </row>
    <row r="130" spans="1:13" ht="13.8" thickTop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</row>
    <row r="131" spans="1:13">
      <c r="A131" s="5" t="str">
        <f>A126</f>
        <v>2022-23</v>
      </c>
      <c r="B131" s="5" t="s">
        <v>313</v>
      </c>
      <c r="C131" t="str">
        <f>A128</f>
        <v>2024-25</v>
      </c>
      <c r="E131" s="2" t="s">
        <v>159</v>
      </c>
      <c r="J131" s="4">
        <f>SUM(J126:J128)</f>
        <v>1114</v>
      </c>
      <c r="K131" s="4">
        <f>SUM(K126:K128)</f>
        <v>-413</v>
      </c>
      <c r="M131" s="25"/>
    </row>
    <row r="132" spans="1:13">
      <c r="A132" s="5" t="str">
        <f>A124</f>
        <v>2020-21</v>
      </c>
      <c r="B132" s="5" t="s">
        <v>313</v>
      </c>
      <c r="C132" t="str">
        <f>C131</f>
        <v>2024-25</v>
      </c>
      <c r="E132" s="2" t="s">
        <v>160</v>
      </c>
      <c r="J132" s="4">
        <f>SUM(J124:J128)</f>
        <v>2002</v>
      </c>
      <c r="K132" s="4">
        <f>SUM(K124:K128)</f>
        <v>-526</v>
      </c>
      <c r="M132" s="25"/>
    </row>
    <row r="133" spans="1:13">
      <c r="A133" s="5" t="str">
        <f>A119</f>
        <v>2015-16</v>
      </c>
      <c r="B133" s="5" t="s">
        <v>313</v>
      </c>
      <c r="C133" t="str">
        <f>C132</f>
        <v>2024-25</v>
      </c>
      <c r="E133" s="2" t="s">
        <v>161</v>
      </c>
      <c r="J133" s="4">
        <f>SUM(J119:J128)</f>
        <v>3440</v>
      </c>
      <c r="K133" s="4">
        <f>SUM(K119:K128)</f>
        <v>-267</v>
      </c>
      <c r="M133" s="25"/>
    </row>
    <row r="134" spans="1:13">
      <c r="A134" s="5"/>
    </row>
    <row r="135" spans="1:13">
      <c r="A135" s="5" t="str">
        <f>A131</f>
        <v>2022-23</v>
      </c>
      <c r="B135" s="5" t="s">
        <v>313</v>
      </c>
      <c r="C135" t="str">
        <f>C131</f>
        <v>2024-25</v>
      </c>
      <c r="E135" s="2" t="s">
        <v>162</v>
      </c>
      <c r="M135" s="60">
        <f>K131/J131</f>
        <v>-0.37073608617594256</v>
      </c>
    </row>
    <row r="136" spans="1:13">
      <c r="A136" s="5" t="str">
        <f>A132</f>
        <v>2020-21</v>
      </c>
      <c r="B136" s="5" t="s">
        <v>313</v>
      </c>
      <c r="C136" t="str">
        <f>C132</f>
        <v>2024-25</v>
      </c>
      <c r="E136" s="2" t="s">
        <v>163</v>
      </c>
      <c r="M136" s="60">
        <f>K132/J132</f>
        <v>-0.26273726273726272</v>
      </c>
    </row>
    <row r="137" spans="1:13">
      <c r="A137" s="5" t="str">
        <f>A133</f>
        <v>2015-16</v>
      </c>
      <c r="B137" s="5" t="s">
        <v>313</v>
      </c>
      <c r="C137" t="str">
        <f>C133</f>
        <v>2024-25</v>
      </c>
      <c r="E137" s="2" t="s">
        <v>164</v>
      </c>
      <c r="M137" s="60">
        <f>K133/J133</f>
        <v>-7.7616279069767438E-2</v>
      </c>
    </row>
    <row r="139" spans="1:13">
      <c r="A139" s="2" t="s">
        <v>425</v>
      </c>
      <c r="D139" t="str">
        <f>C252</f>
        <v>2025-26</v>
      </c>
      <c r="E139" s="5" t="s">
        <v>165</v>
      </c>
      <c r="F139" s="766">
        <f>I140*4</f>
        <v>380</v>
      </c>
      <c r="G139" s="54"/>
      <c r="I139" s="4"/>
    </row>
    <row r="140" spans="1:13">
      <c r="A140" s="2" t="s">
        <v>424</v>
      </c>
      <c r="E140" s="2"/>
      <c r="G140" t="str">
        <f>D139</f>
        <v>2025-26</v>
      </c>
      <c r="H140" s="47" t="s">
        <v>166</v>
      </c>
      <c r="I140" s="163">
        <v>95</v>
      </c>
    </row>
    <row r="142" spans="1:13">
      <c r="A142" s="2" t="s">
        <v>167</v>
      </c>
    </row>
    <row r="143" spans="1:13" ht="17.399999999999999">
      <c r="C143" s="1" t="s">
        <v>168</v>
      </c>
    </row>
    <row r="145" spans="1:12">
      <c r="A145" s="41" t="s">
        <v>169</v>
      </c>
      <c r="B145" s="41"/>
      <c r="C145" s="3"/>
      <c r="D145" s="21" t="s">
        <v>120</v>
      </c>
      <c r="E145" s="41"/>
      <c r="F145" s="41" t="s">
        <v>138</v>
      </c>
      <c r="G145" s="41" t="s">
        <v>40</v>
      </c>
      <c r="H145" s="21" t="s">
        <v>170</v>
      </c>
      <c r="I145" s="3"/>
      <c r="J145" s="3"/>
      <c r="K145" s="41" t="s">
        <v>171</v>
      </c>
      <c r="L145" s="36"/>
    </row>
    <row r="146" spans="1:1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2">
      <c r="A147" s="38" t="s">
        <v>172</v>
      </c>
      <c r="B147" s="39"/>
      <c r="C147" s="39" t="s">
        <v>173</v>
      </c>
      <c r="D147" s="39"/>
      <c r="E147" s="39" t="s">
        <v>174</v>
      </c>
      <c r="F147" s="39"/>
      <c r="G147" s="39"/>
      <c r="H147" s="12" t="s">
        <v>175</v>
      </c>
      <c r="I147" s="39" t="s">
        <v>176</v>
      </c>
      <c r="J147" s="39"/>
      <c r="K147" s="39"/>
      <c r="L147" s="55"/>
    </row>
    <row r="148" spans="1:12">
      <c r="A148" s="43" t="s">
        <v>152</v>
      </c>
      <c r="B148" s="41"/>
      <c r="C148" s="41" t="s">
        <v>177</v>
      </c>
      <c r="D148" s="41"/>
      <c r="E148" s="41" t="s">
        <v>178</v>
      </c>
      <c r="F148" s="41"/>
      <c r="G148" s="41"/>
      <c r="H148" s="19" t="s">
        <v>179</v>
      </c>
      <c r="I148" s="41" t="s">
        <v>180</v>
      </c>
      <c r="J148" s="41"/>
      <c r="K148" s="49"/>
      <c r="L148" s="56"/>
    </row>
    <row r="149" spans="1:12">
      <c r="A149" s="44"/>
      <c r="B149" s="42"/>
      <c r="C149" s="42"/>
      <c r="D149" s="42"/>
      <c r="E149" s="42" t="s">
        <v>314</v>
      </c>
      <c r="F149" s="42"/>
      <c r="G149" s="42"/>
      <c r="H149" s="18"/>
      <c r="I149" s="42"/>
      <c r="J149" s="42"/>
      <c r="K149" s="57" t="s">
        <v>181</v>
      </c>
      <c r="L149" s="58"/>
    </row>
    <row r="151" spans="1:12">
      <c r="A151">
        <v>1970</v>
      </c>
      <c r="D151" s="54">
        <v>14687</v>
      </c>
      <c r="F151" s="4">
        <v>3184</v>
      </c>
      <c r="H151">
        <f>D151/F151</f>
        <v>4.612751256281407</v>
      </c>
      <c r="K151" s="7">
        <f>F151/D151</f>
        <v>0.21679035882072581</v>
      </c>
    </row>
    <row r="152" spans="1:12">
      <c r="D152" s="2"/>
    </row>
    <row r="153" spans="1:12">
      <c r="A153">
        <f>A151+10</f>
        <v>1980</v>
      </c>
      <c r="D153" s="54">
        <v>27795</v>
      </c>
      <c r="F153" s="4">
        <v>5654</v>
      </c>
      <c r="H153">
        <f>D153/F153</f>
        <v>4.9159886805801198</v>
      </c>
      <c r="K153" s="7">
        <f>F153/D153</f>
        <v>0.20341788091383342</v>
      </c>
    </row>
    <row r="154" spans="1:12">
      <c r="D154" s="2"/>
    </row>
    <row r="155" spans="1:12">
      <c r="A155">
        <f>A153+10</f>
        <v>1990</v>
      </c>
      <c r="D155" s="54">
        <v>33263</v>
      </c>
      <c r="F155" s="4">
        <v>6850</v>
      </c>
      <c r="H155">
        <f>D155/F155</f>
        <v>4.8559124087591243</v>
      </c>
      <c r="K155" s="7">
        <f>F155/D155</f>
        <v>0.20593452184108468</v>
      </c>
    </row>
    <row r="156" spans="1:12">
      <c r="D156" s="2"/>
    </row>
    <row r="157" spans="1:12">
      <c r="A157">
        <f>A155+10</f>
        <v>2000</v>
      </c>
      <c r="D157" s="54">
        <v>46178</v>
      </c>
      <c r="F157" s="4">
        <v>8404</v>
      </c>
      <c r="H157">
        <f>D157/F157</f>
        <v>5.494764397905759</v>
      </c>
      <c r="K157" s="7">
        <f>F157/D157</f>
        <v>0.18199142448785136</v>
      </c>
    </row>
    <row r="158" spans="1:12">
      <c r="D158" s="2"/>
    </row>
    <row r="159" spans="1:12">
      <c r="A159">
        <f>A157+10</f>
        <v>2010</v>
      </c>
      <c r="D159" s="54">
        <v>60316</v>
      </c>
      <c r="F159" s="4">
        <v>11736</v>
      </c>
      <c r="H159">
        <f>D159/F159</f>
        <v>5.139400136332652</v>
      </c>
      <c r="K159" s="7">
        <f>F159/D159</f>
        <v>0.19457523708468732</v>
      </c>
      <c r="L159" s="35"/>
    </row>
    <row r="160" spans="1:12">
      <c r="D160" s="54"/>
      <c r="F160" s="4"/>
      <c r="K160" s="7"/>
      <c r="L160" s="35"/>
    </row>
    <row r="161" spans="1:12" ht="13.8" thickBot="1">
      <c r="A161">
        <f>A159+10</f>
        <v>2020</v>
      </c>
      <c r="D161" s="54">
        <v>67609</v>
      </c>
      <c r="F161" s="4">
        <v>12790</v>
      </c>
      <c r="H161">
        <f>D161/F161</f>
        <v>5.2860828772478499</v>
      </c>
      <c r="K161" s="7">
        <f>F161/D161</f>
        <v>0.18917599727846884</v>
      </c>
      <c r="L161" s="48"/>
    </row>
    <row r="162" spans="1:12" ht="13.8" thickTop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</row>
    <row r="164" spans="1:12">
      <c r="F164" s="2" t="s">
        <v>182</v>
      </c>
      <c r="K164" s="7">
        <f>SUM(K151:K161)/6</f>
        <v>0.19864757007110856</v>
      </c>
    </row>
    <row r="165" spans="1:12">
      <c r="F165" s="2" t="s">
        <v>183</v>
      </c>
      <c r="K165" s="7">
        <f>SUM(K153:K161)/5</f>
        <v>0.1950190123211851</v>
      </c>
    </row>
    <row r="166" spans="1:12">
      <c r="F166" s="2" t="s">
        <v>436</v>
      </c>
      <c r="K166" s="7">
        <f>SUM(K155:K161)/4</f>
        <v>0.19291929517302303</v>
      </c>
    </row>
    <row r="167" spans="1:12">
      <c r="F167" s="2" t="s">
        <v>447</v>
      </c>
      <c r="K167" s="7">
        <f>SUM(K156:K161)/3</f>
        <v>0.18858088628366917</v>
      </c>
    </row>
    <row r="168" spans="1:12">
      <c r="F168" s="2" t="s">
        <v>448</v>
      </c>
      <c r="K168" s="7">
        <f>SUM(K158:K161)/2</f>
        <v>0.19187561718157808</v>
      </c>
    </row>
    <row r="170" spans="1:12">
      <c r="A170" s="2" t="s">
        <v>184</v>
      </c>
    </row>
    <row r="171" spans="1:12">
      <c r="B171" s="2" t="s">
        <v>185</v>
      </c>
    </row>
    <row r="173" spans="1:12">
      <c r="B173" s="2" t="s">
        <v>186</v>
      </c>
      <c r="E173">
        <f>A161</f>
        <v>2020</v>
      </c>
      <c r="F173" s="5" t="s">
        <v>166</v>
      </c>
      <c r="G173" s="4">
        <v>15877</v>
      </c>
    </row>
    <row r="175" spans="1:12">
      <c r="B175" s="2" t="s">
        <v>446</v>
      </c>
      <c r="H175" s="4">
        <f>F161</f>
        <v>12790</v>
      </c>
      <c r="I175" s="5"/>
      <c r="J175" s="2"/>
    </row>
    <row r="176" spans="1:12">
      <c r="B176" s="2" t="s">
        <v>427</v>
      </c>
      <c r="G176" s="4">
        <f>G173</f>
        <v>15877</v>
      </c>
      <c r="H176" s="5" t="s">
        <v>187</v>
      </c>
      <c r="I176" s="6">
        <f>H175/G173</f>
        <v>0.80556780248157711</v>
      </c>
    </row>
    <row r="178" spans="1:13" ht="17.399999999999999">
      <c r="A178" s="812" t="s">
        <v>428</v>
      </c>
      <c r="B178" s="812"/>
      <c r="C178" s="812"/>
      <c r="D178" s="812"/>
      <c r="E178" s="812"/>
      <c r="F178" s="812"/>
      <c r="G178" s="812"/>
      <c r="H178" s="812"/>
      <c r="I178" s="812"/>
      <c r="J178" s="812"/>
      <c r="K178" s="812"/>
      <c r="L178" s="812"/>
    </row>
    <row r="180" spans="1:13">
      <c r="A180" s="21" t="s">
        <v>188</v>
      </c>
      <c r="B180" s="3"/>
      <c r="C180" s="3"/>
      <c r="D180" s="19" t="s">
        <v>120</v>
      </c>
      <c r="E180" s="41"/>
      <c r="F180" s="3" t="s">
        <v>282</v>
      </c>
      <c r="G180" s="3"/>
      <c r="H180" s="19" t="s">
        <v>170</v>
      </c>
      <c r="I180" s="41"/>
      <c r="J180" s="3"/>
      <c r="K180" s="19" t="s">
        <v>123</v>
      </c>
    </row>
    <row r="181" spans="1:1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</row>
    <row r="182" spans="1:13">
      <c r="A182" s="38" t="s">
        <v>189</v>
      </c>
      <c r="B182" s="39"/>
      <c r="C182" s="11"/>
      <c r="D182" s="12" t="s">
        <v>190</v>
      </c>
      <c r="E182" s="39"/>
      <c r="F182" s="9" t="s">
        <v>191</v>
      </c>
      <c r="G182" s="11"/>
      <c r="H182" s="12" t="s">
        <v>192</v>
      </c>
      <c r="I182" s="39"/>
      <c r="J182" s="39" t="s">
        <v>193</v>
      </c>
      <c r="K182" s="39"/>
      <c r="L182" s="55"/>
    </row>
    <row r="183" spans="1:13">
      <c r="A183" s="43" t="s">
        <v>194</v>
      </c>
      <c r="B183" s="41"/>
      <c r="C183" s="41" t="s">
        <v>40</v>
      </c>
      <c r="D183" s="19" t="s">
        <v>195</v>
      </c>
      <c r="E183" s="41"/>
      <c r="F183" s="3" t="s">
        <v>196</v>
      </c>
      <c r="G183" s="41"/>
      <c r="H183" s="19" t="s">
        <v>391</v>
      </c>
      <c r="I183" s="41"/>
      <c r="J183" s="41" t="s">
        <v>403</v>
      </c>
      <c r="K183" s="49"/>
      <c r="L183" s="56"/>
      <c r="M183" s="36" t="s">
        <v>40</v>
      </c>
    </row>
    <row r="184" spans="1:13">
      <c r="A184" s="44"/>
      <c r="B184" s="42"/>
      <c r="C184" s="42"/>
      <c r="D184" s="317" t="s">
        <v>197</v>
      </c>
      <c r="E184" s="42"/>
      <c r="F184" s="42" t="s">
        <v>40</v>
      </c>
      <c r="G184" s="42"/>
      <c r="H184" s="317" t="s">
        <v>198</v>
      </c>
      <c r="I184" s="42"/>
      <c r="J184" s="57" t="s">
        <v>199</v>
      </c>
      <c r="K184" s="57"/>
      <c r="L184" s="58"/>
      <c r="M184" s="36" t="s">
        <v>40</v>
      </c>
    </row>
    <row r="185" spans="1:13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</row>
    <row r="186" spans="1:13">
      <c r="A186">
        <v>2004</v>
      </c>
      <c r="B186" s="36"/>
      <c r="C186" s="36"/>
      <c r="D186" s="533">
        <v>557</v>
      </c>
      <c r="E186" s="36"/>
      <c r="F186" s="2" t="s">
        <v>340</v>
      </c>
      <c r="G186" s="36" t="s">
        <v>40</v>
      </c>
      <c r="H186" s="5">
        <f>ENRHIST!S374</f>
        <v>794</v>
      </c>
      <c r="I186" s="36"/>
      <c r="J186" s="36" t="s">
        <v>40</v>
      </c>
      <c r="K186" s="45">
        <f t="shared" ref="K186:K200" si="36">H186/D186</f>
        <v>1.4254937163375225</v>
      </c>
      <c r="L186" s="36" t="s">
        <v>40</v>
      </c>
      <c r="M186" s="36"/>
    </row>
    <row r="187" spans="1:13">
      <c r="A187">
        <f>A186+1</f>
        <v>2005</v>
      </c>
      <c r="B187" s="36"/>
      <c r="C187" s="36"/>
      <c r="D187" s="533">
        <v>530</v>
      </c>
      <c r="E187" s="36"/>
      <c r="F187" s="2" t="s">
        <v>341</v>
      </c>
      <c r="G187" s="36" t="s">
        <v>40</v>
      </c>
      <c r="H187" s="5">
        <f>ENRHIST!S352</f>
        <v>799</v>
      </c>
      <c r="I187" s="36"/>
      <c r="J187" s="36" t="s">
        <v>40</v>
      </c>
      <c r="K187" s="45">
        <f t="shared" si="36"/>
        <v>1.5075471698113208</v>
      </c>
      <c r="L187" s="36" t="s">
        <v>40</v>
      </c>
      <c r="M187" s="36"/>
    </row>
    <row r="188" spans="1:13">
      <c r="A188">
        <f t="shared" ref="A188:A201" si="37">A187+1</f>
        <v>2006</v>
      </c>
      <c r="B188" s="36"/>
      <c r="C188" s="36"/>
      <c r="D188" s="533">
        <v>560</v>
      </c>
      <c r="E188" s="36"/>
      <c r="F188" t="str">
        <f>B45</f>
        <v>2012-13</v>
      </c>
      <c r="G188" s="36"/>
      <c r="H188" s="5">
        <f>B47</f>
        <v>737</v>
      </c>
      <c r="I188" s="36"/>
      <c r="J188" s="36" t="s">
        <v>40</v>
      </c>
      <c r="K188" s="45">
        <f t="shared" si="36"/>
        <v>1.3160714285714286</v>
      </c>
      <c r="M188" s="36"/>
    </row>
    <row r="189" spans="1:13">
      <c r="A189">
        <f t="shared" si="37"/>
        <v>2007</v>
      </c>
      <c r="B189" s="36"/>
      <c r="C189" s="36"/>
      <c r="D189" s="533">
        <v>574</v>
      </c>
      <c r="E189" s="36"/>
      <c r="F189" t="str">
        <f>C45</f>
        <v>2013-14</v>
      </c>
      <c r="G189" s="36"/>
      <c r="H189" s="5">
        <f>C47</f>
        <v>838</v>
      </c>
      <c r="I189" s="36"/>
      <c r="J189" s="36" t="s">
        <v>40</v>
      </c>
      <c r="K189" s="45">
        <f t="shared" si="36"/>
        <v>1.4599303135888502</v>
      </c>
      <c r="M189" s="36"/>
    </row>
    <row r="190" spans="1:13">
      <c r="A190">
        <f t="shared" si="37"/>
        <v>2008</v>
      </c>
      <c r="B190" s="36"/>
      <c r="C190" s="36"/>
      <c r="D190" s="533">
        <v>571</v>
      </c>
      <c r="E190" s="36"/>
      <c r="F190" t="str">
        <f>D45</f>
        <v>2014-15</v>
      </c>
      <c r="G190" s="36"/>
      <c r="H190" s="5">
        <f>D47</f>
        <v>743</v>
      </c>
      <c r="I190" s="36"/>
      <c r="J190" s="36" t="s">
        <v>40</v>
      </c>
      <c r="K190" s="45">
        <f t="shared" si="36"/>
        <v>1.3012259194395797</v>
      </c>
      <c r="M190" s="36"/>
    </row>
    <row r="191" spans="1:13">
      <c r="A191">
        <f t="shared" si="37"/>
        <v>2009</v>
      </c>
      <c r="B191" s="36"/>
      <c r="C191" s="36"/>
      <c r="D191" s="533">
        <v>501</v>
      </c>
      <c r="E191" s="36"/>
      <c r="F191" t="str">
        <f>E45</f>
        <v>2015-16</v>
      </c>
      <c r="G191" s="36"/>
      <c r="H191" s="5">
        <f>E47</f>
        <v>778</v>
      </c>
      <c r="I191" s="36"/>
      <c r="J191" s="36" t="s">
        <v>40</v>
      </c>
      <c r="K191" s="45">
        <f t="shared" si="36"/>
        <v>1.5528942115768463</v>
      </c>
      <c r="M191" s="36"/>
    </row>
    <row r="192" spans="1:13">
      <c r="A192">
        <f t="shared" si="37"/>
        <v>2010</v>
      </c>
      <c r="B192" s="36"/>
      <c r="C192" s="36"/>
      <c r="D192" s="533">
        <v>524</v>
      </c>
      <c r="E192" s="36"/>
      <c r="F192" t="str">
        <f>F45</f>
        <v>2016-17</v>
      </c>
      <c r="G192" s="36"/>
      <c r="H192" s="5">
        <f>F47</f>
        <v>809</v>
      </c>
      <c r="I192" s="36"/>
      <c r="J192" s="36" t="s">
        <v>40</v>
      </c>
      <c r="K192" s="45">
        <f t="shared" si="36"/>
        <v>1.5438931297709924</v>
      </c>
      <c r="M192" s="36"/>
    </row>
    <row r="193" spans="1:13">
      <c r="A193">
        <f t="shared" si="37"/>
        <v>2011</v>
      </c>
      <c r="B193" s="36"/>
      <c r="C193" s="36"/>
      <c r="D193" s="533">
        <v>497</v>
      </c>
      <c r="E193" s="36"/>
      <c r="F193" t="str">
        <f>G45</f>
        <v>2017-18</v>
      </c>
      <c r="G193" s="36"/>
      <c r="H193" s="5">
        <f>G47</f>
        <v>767</v>
      </c>
      <c r="I193" s="36"/>
      <c r="J193" s="36" t="s">
        <v>40</v>
      </c>
      <c r="K193" s="45">
        <f t="shared" si="36"/>
        <v>1.5432595573440644</v>
      </c>
      <c r="M193" s="36"/>
    </row>
    <row r="194" spans="1:13">
      <c r="A194">
        <f t="shared" si="37"/>
        <v>2012</v>
      </c>
      <c r="B194" s="36"/>
      <c r="C194" s="36"/>
      <c r="D194" s="533">
        <v>496</v>
      </c>
      <c r="E194" s="36"/>
      <c r="F194" t="str">
        <f>H45</f>
        <v>2018-19</v>
      </c>
      <c r="G194" s="36"/>
      <c r="H194" s="5">
        <f>H47</f>
        <v>857</v>
      </c>
      <c r="I194" s="36"/>
      <c r="J194" s="36" t="s">
        <v>40</v>
      </c>
      <c r="K194" s="45">
        <f t="shared" si="36"/>
        <v>1.7278225806451613</v>
      </c>
      <c r="M194" s="36"/>
    </row>
    <row r="195" spans="1:13">
      <c r="A195">
        <f t="shared" si="37"/>
        <v>2013</v>
      </c>
      <c r="B195" s="36"/>
      <c r="C195" s="36"/>
      <c r="D195" s="533">
        <v>511</v>
      </c>
      <c r="E195" s="36"/>
      <c r="F195" t="str">
        <f>I45</f>
        <v>2019-20</v>
      </c>
      <c r="G195" s="36"/>
      <c r="H195" s="5">
        <f>I47</f>
        <v>819</v>
      </c>
      <c r="I195" s="36"/>
      <c r="J195" s="36" t="s">
        <v>40</v>
      </c>
      <c r="K195" s="45">
        <f t="shared" si="36"/>
        <v>1.6027397260273972</v>
      </c>
      <c r="M195" s="36"/>
    </row>
    <row r="196" spans="1:13">
      <c r="A196">
        <f t="shared" si="37"/>
        <v>2014</v>
      </c>
      <c r="B196" s="36"/>
      <c r="C196" s="36"/>
      <c r="D196" s="533">
        <v>556</v>
      </c>
      <c r="E196" s="36"/>
      <c r="F196" t="str">
        <f>J45</f>
        <v>2020-21</v>
      </c>
      <c r="G196" s="36"/>
      <c r="H196" s="5">
        <f>J47</f>
        <v>795</v>
      </c>
      <c r="I196" s="36"/>
      <c r="J196" s="36" t="s">
        <v>40</v>
      </c>
      <c r="K196" s="45">
        <f t="shared" si="36"/>
        <v>1.4298561151079137</v>
      </c>
      <c r="M196" s="36"/>
    </row>
    <row r="197" spans="1:13">
      <c r="A197">
        <f t="shared" si="37"/>
        <v>2015</v>
      </c>
      <c r="B197" s="36"/>
      <c r="C197" s="40"/>
      <c r="D197" s="533">
        <v>444</v>
      </c>
      <c r="E197" s="36"/>
      <c r="F197" t="str">
        <f>K45</f>
        <v>2021-22</v>
      </c>
      <c r="G197" s="36"/>
      <c r="H197" s="5">
        <f>K47</f>
        <v>782</v>
      </c>
      <c r="I197" s="36"/>
      <c r="J197" s="36" t="s">
        <v>40</v>
      </c>
      <c r="K197" s="45">
        <f t="shared" si="36"/>
        <v>1.7612612612612613</v>
      </c>
      <c r="M197" s="36"/>
    </row>
    <row r="198" spans="1:13">
      <c r="A198">
        <f t="shared" si="37"/>
        <v>2016</v>
      </c>
      <c r="B198" s="36"/>
      <c r="C198" s="36"/>
      <c r="D198" s="533">
        <v>507</v>
      </c>
      <c r="E198" s="36"/>
      <c r="F198" t="str">
        <f>L45</f>
        <v>2022-23</v>
      </c>
      <c r="G198" s="36"/>
      <c r="H198" s="5">
        <f>L47</f>
        <v>803</v>
      </c>
      <c r="I198" s="36"/>
      <c r="J198" s="36" t="s">
        <v>40</v>
      </c>
      <c r="K198" s="45">
        <f t="shared" si="36"/>
        <v>1.5838264299802762</v>
      </c>
      <c r="M198" s="36"/>
    </row>
    <row r="199" spans="1:13">
      <c r="A199">
        <f t="shared" si="37"/>
        <v>2017</v>
      </c>
      <c r="B199" s="36"/>
      <c r="C199" s="36"/>
      <c r="D199" s="533">
        <v>546</v>
      </c>
      <c r="E199" s="36"/>
      <c r="F199" t="str">
        <f>M45</f>
        <v>2023-24</v>
      </c>
      <c r="G199" s="36"/>
      <c r="H199" s="5">
        <f>M47</f>
        <v>763</v>
      </c>
      <c r="I199" s="36"/>
      <c r="J199" s="36" t="s">
        <v>40</v>
      </c>
      <c r="K199" s="45">
        <f t="shared" si="36"/>
        <v>1.3974358974358974</v>
      </c>
      <c r="M199" s="36"/>
    </row>
    <row r="200" spans="1:13">
      <c r="A200">
        <f t="shared" si="37"/>
        <v>2018</v>
      </c>
      <c r="B200" s="36"/>
      <c r="C200" s="36"/>
      <c r="D200" s="533">
        <v>511</v>
      </c>
      <c r="E200" s="36"/>
      <c r="F200" t="str">
        <f>N45</f>
        <v>2024-25</v>
      </c>
      <c r="G200" s="36"/>
      <c r="H200" s="5">
        <f>N47</f>
        <v>742</v>
      </c>
      <c r="I200" s="40"/>
      <c r="J200" s="36" t="s">
        <v>40</v>
      </c>
      <c r="K200" s="45">
        <f t="shared" si="36"/>
        <v>1.452054794520548</v>
      </c>
      <c r="M200" s="36"/>
    </row>
    <row r="201" spans="1:13" ht="13.8" thickBot="1">
      <c r="A201">
        <f t="shared" si="37"/>
        <v>2019</v>
      </c>
      <c r="B201" s="36"/>
      <c r="C201" s="36"/>
      <c r="D201" s="533">
        <v>464</v>
      </c>
      <c r="E201" s="36"/>
      <c r="F201" t="str">
        <f>O45</f>
        <v>2025-26</v>
      </c>
      <c r="G201" s="36" t="s">
        <v>335</v>
      </c>
      <c r="H201" s="5">
        <f>O47</f>
        <v>723</v>
      </c>
      <c r="I201" s="40"/>
      <c r="J201" s="36" t="s">
        <v>335</v>
      </c>
      <c r="K201" s="45">
        <f>H201/D201</f>
        <v>1.5581896551724137</v>
      </c>
      <c r="L201" s="48"/>
      <c r="M201" s="36"/>
    </row>
    <row r="202" spans="1:13" ht="13.8" thickTop="1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35"/>
      <c r="M202" s="36"/>
    </row>
    <row r="203" spans="1:13">
      <c r="A203" s="36" t="str">
        <f>F199</f>
        <v>2023-24</v>
      </c>
      <c r="B203" s="36" t="s">
        <v>313</v>
      </c>
      <c r="C203" s="36" t="str">
        <f>F201</f>
        <v>2025-26</v>
      </c>
      <c r="D203" t="s">
        <v>200</v>
      </c>
      <c r="E203" s="36"/>
      <c r="F203" s="36"/>
      <c r="G203" s="36"/>
      <c r="H203" s="36"/>
      <c r="I203" s="36"/>
      <c r="J203" s="36"/>
      <c r="K203" s="45">
        <f>SUM(K199:K201)/3</f>
        <v>1.4692267823762863</v>
      </c>
      <c r="M203" s="36"/>
    </row>
    <row r="204" spans="1:13">
      <c r="A204" s="36" t="str">
        <f>F197</f>
        <v>2021-22</v>
      </c>
      <c r="B204" s="36" t="s">
        <v>313</v>
      </c>
      <c r="C204" s="36" t="str">
        <f>C203</f>
        <v>2025-26</v>
      </c>
      <c r="D204" t="s">
        <v>201</v>
      </c>
      <c r="E204" s="36"/>
      <c r="F204" s="36"/>
      <c r="G204" s="36"/>
      <c r="H204" s="36"/>
      <c r="I204" s="36"/>
      <c r="J204" s="36"/>
      <c r="K204" s="45">
        <f>SUM(K197:K201)/5</f>
        <v>1.5505536076740791</v>
      </c>
      <c r="M204" s="36"/>
    </row>
    <row r="205" spans="1:13">
      <c r="A205" s="36" t="str">
        <f>F192</f>
        <v>2016-17</v>
      </c>
      <c r="B205" s="36" t="s">
        <v>313</v>
      </c>
      <c r="C205" s="36" t="str">
        <f>C204</f>
        <v>2025-26</v>
      </c>
      <c r="D205" t="s">
        <v>202</v>
      </c>
      <c r="E205" s="36"/>
      <c r="F205" s="36"/>
      <c r="G205" s="36"/>
      <c r="H205" s="36"/>
      <c r="I205" s="36"/>
      <c r="J205" s="36"/>
      <c r="K205" s="45">
        <f>SUM(K192:K201)/10</f>
        <v>1.5600339147265925</v>
      </c>
      <c r="M205" s="36"/>
    </row>
    <row r="206" spans="1:13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M206" s="36"/>
    </row>
    <row r="207" spans="1:13">
      <c r="A207" s="815" t="s">
        <v>355</v>
      </c>
      <c r="B207" s="815"/>
      <c r="C207" s="815"/>
      <c r="D207" s="815"/>
      <c r="E207" s="815"/>
      <c r="F207" s="815"/>
      <c r="G207" s="815"/>
      <c r="H207" s="815"/>
      <c r="I207" s="815"/>
      <c r="J207" s="815"/>
      <c r="K207" s="815"/>
      <c r="L207" s="815"/>
    </row>
    <row r="208" spans="1:13">
      <c r="A208" s="815" t="s">
        <v>354</v>
      </c>
      <c r="B208" s="815"/>
      <c r="C208" s="815"/>
      <c r="D208" s="815"/>
      <c r="E208" s="815"/>
      <c r="F208" s="815"/>
      <c r="G208" s="815"/>
      <c r="H208" s="815"/>
      <c r="I208" s="815"/>
      <c r="J208" s="815"/>
      <c r="K208" s="815"/>
      <c r="L208" s="815"/>
    </row>
    <row r="209" spans="1:13" ht="16.5" customHeight="1">
      <c r="A209" s="812" t="s">
        <v>203</v>
      </c>
      <c r="B209" s="812"/>
      <c r="C209" s="812"/>
      <c r="D209" s="812"/>
      <c r="E209" s="812"/>
      <c r="F209" s="812"/>
      <c r="G209" s="812"/>
      <c r="H209" s="812"/>
      <c r="I209" s="812"/>
      <c r="J209" s="812"/>
      <c r="K209" s="812"/>
      <c r="L209" s="812"/>
      <c r="M209" s="812"/>
    </row>
    <row r="210" spans="1:13" ht="17.399999999999999">
      <c r="A210" s="812" t="s">
        <v>204</v>
      </c>
      <c r="B210" s="812"/>
      <c r="C210" s="812"/>
      <c r="D210" s="812"/>
      <c r="E210" s="812"/>
      <c r="F210" s="812"/>
      <c r="G210" s="812"/>
      <c r="H210" s="812"/>
      <c r="I210" s="812"/>
      <c r="J210" s="812"/>
      <c r="K210" s="812"/>
      <c r="L210" s="812"/>
      <c r="M210" s="812"/>
    </row>
    <row r="211" spans="1:13" ht="17.399999999999999">
      <c r="A211" s="812" t="s">
        <v>315</v>
      </c>
      <c r="B211" s="812"/>
      <c r="C211" s="812"/>
      <c r="D211" s="812"/>
      <c r="E211" s="812"/>
      <c r="F211" s="812"/>
      <c r="G211" s="812"/>
      <c r="H211" s="812"/>
      <c r="I211" s="812"/>
      <c r="J211" s="812"/>
      <c r="K211" s="812"/>
      <c r="L211" s="812"/>
      <c r="M211" s="812"/>
    </row>
    <row r="213" spans="1:13">
      <c r="A213" s="41" t="s">
        <v>188</v>
      </c>
      <c r="B213" s="41"/>
      <c r="C213" s="41" t="s">
        <v>120</v>
      </c>
      <c r="D213" s="41"/>
      <c r="E213" s="21" t="s">
        <v>283</v>
      </c>
      <c r="F213" s="3"/>
      <c r="G213" s="21" t="s">
        <v>284</v>
      </c>
      <c r="H213" s="3"/>
      <c r="I213" s="21" t="s">
        <v>285</v>
      </c>
      <c r="J213" s="3"/>
      <c r="K213" s="21" t="s">
        <v>286</v>
      </c>
      <c r="L213" s="21" t="s">
        <v>287</v>
      </c>
      <c r="M213" s="3"/>
    </row>
    <row r="214" spans="1:1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 ht="17.399999999999999">
      <c r="A215" s="299" t="s">
        <v>189</v>
      </c>
      <c r="B215" s="300"/>
      <c r="C215" s="300" t="s">
        <v>210</v>
      </c>
      <c r="D215" s="300"/>
      <c r="E215" s="265"/>
      <c r="F215" s="265"/>
      <c r="G215" s="265" t="s">
        <v>212</v>
      </c>
      <c r="H215" s="265"/>
      <c r="I215" s="265" t="s">
        <v>213</v>
      </c>
      <c r="J215" s="265"/>
      <c r="K215" s="265" t="s">
        <v>214</v>
      </c>
      <c r="L215" s="265" t="s">
        <v>112</v>
      </c>
      <c r="M215" s="301"/>
    </row>
    <row r="216" spans="1:13" ht="17.399999999999999">
      <c r="A216" s="302" t="s">
        <v>194</v>
      </c>
      <c r="B216" s="37"/>
      <c r="C216" s="37" t="s">
        <v>316</v>
      </c>
      <c r="D216" s="37"/>
      <c r="E216" s="16" t="s">
        <v>216</v>
      </c>
      <c r="F216" s="16"/>
      <c r="G216" s="16" t="s">
        <v>217</v>
      </c>
      <c r="H216" s="16"/>
      <c r="I216" s="16" t="s">
        <v>218</v>
      </c>
      <c r="J216" s="16"/>
      <c r="K216" s="16" t="s">
        <v>219</v>
      </c>
      <c r="L216" s="16" t="s">
        <v>401</v>
      </c>
      <c r="M216" s="303"/>
    </row>
    <row r="217" spans="1:13" ht="17.399999999999999">
      <c r="A217" s="304"/>
      <c r="B217" s="305"/>
      <c r="C217" s="305" t="s">
        <v>221</v>
      </c>
      <c r="D217" s="305"/>
      <c r="E217" s="270" t="s">
        <v>222</v>
      </c>
      <c r="F217" s="270"/>
      <c r="G217" s="270" t="s">
        <v>223</v>
      </c>
      <c r="H217" s="270"/>
      <c r="I217" s="270" t="s">
        <v>212</v>
      </c>
      <c r="J217" s="270"/>
      <c r="K217" s="270"/>
      <c r="L217" s="270" t="s">
        <v>224</v>
      </c>
      <c r="M217" s="306"/>
    </row>
    <row r="218" spans="1:13" ht="17.399999999999999">
      <c r="A218" s="28"/>
      <c r="B218" s="28"/>
      <c r="C218" s="28"/>
      <c r="D218" s="28"/>
      <c r="E218" s="288"/>
      <c r="F218" s="28"/>
      <c r="G218" s="28"/>
      <c r="H218" s="28"/>
      <c r="I218" s="28"/>
      <c r="J218" s="28"/>
      <c r="K218" s="28"/>
      <c r="L218" s="28"/>
      <c r="M218" s="28"/>
    </row>
    <row r="219" spans="1:13" ht="17.399999999999999">
      <c r="A219" s="28">
        <v>2010</v>
      </c>
      <c r="B219" s="28"/>
      <c r="C219" s="28">
        <v>524</v>
      </c>
      <c r="D219" s="28"/>
      <c r="E219" s="346">
        <v>57725</v>
      </c>
      <c r="F219" s="28"/>
      <c r="G219" s="307">
        <f>C219/E219</f>
        <v>9.0775227371156352E-3</v>
      </c>
      <c r="H219" s="28"/>
      <c r="I219" s="28"/>
      <c r="J219" s="28"/>
      <c r="K219" s="28"/>
      <c r="L219" s="28"/>
      <c r="M219" s="28"/>
    </row>
    <row r="220" spans="1:13" ht="17.399999999999999">
      <c r="A220" s="28">
        <f t="shared" ref="A220:A238" si="38">A219+1</f>
        <v>2011</v>
      </c>
      <c r="B220" s="28"/>
      <c r="C220" s="28">
        <v>497</v>
      </c>
      <c r="D220" s="28"/>
      <c r="E220" s="346">
        <v>58095</v>
      </c>
      <c r="F220" s="28"/>
      <c r="G220" s="307">
        <f t="shared" ref="G220:G228" si="39">C220/E220</f>
        <v>8.5549530940700579E-3</v>
      </c>
      <c r="H220" s="28"/>
      <c r="I220" s="28"/>
      <c r="J220" s="28"/>
      <c r="K220" s="28"/>
      <c r="L220" s="28"/>
      <c r="M220" s="28"/>
    </row>
    <row r="221" spans="1:13" ht="17.399999999999999">
      <c r="A221" s="28">
        <f t="shared" si="38"/>
        <v>2012</v>
      </c>
      <c r="B221" s="28"/>
      <c r="C221" s="28">
        <v>496</v>
      </c>
      <c r="D221" s="28"/>
      <c r="E221" s="283">
        <v>60316</v>
      </c>
      <c r="F221" s="28"/>
      <c r="G221" s="307">
        <f t="shared" si="39"/>
        <v>8.223356986537568E-3</v>
      </c>
      <c r="H221" s="28"/>
      <c r="I221" s="28"/>
      <c r="J221" s="28"/>
      <c r="K221" s="28"/>
      <c r="L221" s="28"/>
      <c r="M221" s="28"/>
    </row>
    <row r="222" spans="1:13" ht="17.399999999999999">
      <c r="A222" s="28">
        <f t="shared" si="38"/>
        <v>2013</v>
      </c>
      <c r="B222" s="28"/>
      <c r="C222" s="345">
        <v>511</v>
      </c>
      <c r="D222" s="345"/>
      <c r="E222" s="283">
        <v>60756</v>
      </c>
      <c r="F222" s="28"/>
      <c r="G222" s="307">
        <f t="shared" si="39"/>
        <v>8.410691948120351E-3</v>
      </c>
      <c r="H222" s="28"/>
      <c r="I222" s="28"/>
      <c r="J222" s="28"/>
      <c r="K222" s="28"/>
      <c r="L222" s="28"/>
      <c r="M222" s="28"/>
    </row>
    <row r="223" spans="1:13" ht="17.399999999999999">
      <c r="A223" s="28">
        <f t="shared" si="38"/>
        <v>2014</v>
      </c>
      <c r="B223" s="28"/>
      <c r="C223" s="345">
        <v>556</v>
      </c>
      <c r="E223" s="283">
        <v>62104</v>
      </c>
      <c r="F223" s="28"/>
      <c r="G223" s="307">
        <f t="shared" si="39"/>
        <v>8.9527244621924514E-3</v>
      </c>
      <c r="H223" s="28"/>
      <c r="I223" s="28"/>
      <c r="J223" s="28"/>
      <c r="K223" s="28"/>
      <c r="L223" s="28"/>
      <c r="M223" s="28"/>
    </row>
    <row r="224" spans="1:13" ht="17.399999999999999">
      <c r="A224" s="28">
        <f t="shared" si="38"/>
        <v>2015</v>
      </c>
      <c r="B224" s="28"/>
      <c r="C224" s="345">
        <v>444</v>
      </c>
      <c r="E224" s="283">
        <v>63059</v>
      </c>
      <c r="F224" s="28"/>
      <c r="G224" s="307">
        <f t="shared" si="39"/>
        <v>7.0410250717581951E-3</v>
      </c>
      <c r="H224" s="28"/>
      <c r="I224" s="28"/>
      <c r="J224" s="28"/>
      <c r="K224" s="28"/>
      <c r="L224" s="28"/>
      <c r="M224" s="28"/>
    </row>
    <row r="225" spans="1:18" ht="17.399999999999999">
      <c r="A225" s="28">
        <f t="shared" si="38"/>
        <v>2016</v>
      </c>
      <c r="B225" s="28"/>
      <c r="C225" s="345">
        <v>507</v>
      </c>
      <c r="D225" s="61"/>
      <c r="E225" s="346">
        <v>64029</v>
      </c>
      <c r="F225" s="28"/>
      <c r="G225" s="307">
        <f t="shared" si="39"/>
        <v>7.918287026191257E-3</v>
      </c>
      <c r="H225" s="28"/>
      <c r="I225" s="273"/>
      <c r="J225" s="28"/>
      <c r="K225" s="28"/>
      <c r="L225" s="28"/>
      <c r="M225" s="28"/>
    </row>
    <row r="226" spans="1:18" ht="17.399999999999999">
      <c r="A226" s="28">
        <f t="shared" si="38"/>
        <v>2017</v>
      </c>
      <c r="B226" s="28"/>
      <c r="C226" s="345">
        <v>546</v>
      </c>
      <c r="E226" s="346">
        <v>64875</v>
      </c>
      <c r="F226" s="28"/>
      <c r="G226" s="307">
        <f t="shared" si="39"/>
        <v>8.4161849710982662E-3</v>
      </c>
      <c r="H226" s="28"/>
      <c r="I226" s="273"/>
      <c r="J226" s="28"/>
      <c r="K226" s="28"/>
      <c r="L226" s="28"/>
      <c r="M226" s="28"/>
    </row>
    <row r="227" spans="1:18" ht="17.399999999999999">
      <c r="A227" s="28">
        <f t="shared" si="38"/>
        <v>2018</v>
      </c>
      <c r="B227" s="28"/>
      <c r="C227" s="345">
        <v>511</v>
      </c>
      <c r="D227" s="345"/>
      <c r="E227" s="346">
        <v>65784</v>
      </c>
      <c r="F227" s="28"/>
      <c r="G227" s="307">
        <f t="shared" si="39"/>
        <v>7.7678462848108963E-3</v>
      </c>
      <c r="H227" s="28"/>
      <c r="I227" s="273"/>
      <c r="J227" s="28"/>
      <c r="K227" s="28"/>
      <c r="L227" s="28"/>
      <c r="M227" s="28"/>
    </row>
    <row r="228" spans="1:18" ht="17.399999999999999">
      <c r="A228" s="28">
        <f t="shared" si="38"/>
        <v>2019</v>
      </c>
      <c r="B228" s="28"/>
      <c r="C228" s="345">
        <v>464</v>
      </c>
      <c r="D228" s="345"/>
      <c r="E228" s="346">
        <v>66693</v>
      </c>
      <c r="F228" s="28"/>
      <c r="G228" s="307">
        <f t="shared" si="39"/>
        <v>6.9572518855052258E-3</v>
      </c>
      <c r="H228" s="28"/>
      <c r="I228" s="273"/>
      <c r="J228" s="28"/>
      <c r="K228" s="28"/>
      <c r="L228" s="28"/>
      <c r="M228" s="28"/>
    </row>
    <row r="229" spans="1:18" ht="17.399999999999999">
      <c r="A229" s="28">
        <f t="shared" si="38"/>
        <v>2020</v>
      </c>
      <c r="B229" s="28"/>
      <c r="C229" s="345">
        <v>538</v>
      </c>
      <c r="D229" s="345"/>
      <c r="E229" s="346">
        <v>67609</v>
      </c>
      <c r="F229" s="28"/>
      <c r="G229" s="307">
        <f>C229/E229</f>
        <v>7.9575204484610036E-3</v>
      </c>
      <c r="H229" s="28"/>
      <c r="I229" s="273">
        <f>K203</f>
        <v>1.4692267823762863</v>
      </c>
      <c r="J229" s="28"/>
      <c r="K229" s="28" t="str">
        <f>D252</f>
        <v>2026-27</v>
      </c>
      <c r="L229" s="28">
        <f>ROUND(C229*I229,0)</f>
        <v>790</v>
      </c>
      <c r="M229" s="28"/>
    </row>
    <row r="230" spans="1:18" ht="17.399999999999999">
      <c r="A230" s="345">
        <f t="shared" si="38"/>
        <v>2021</v>
      </c>
      <c r="C230" s="345">
        <v>529</v>
      </c>
      <c r="D230" s="345"/>
      <c r="E230" s="346">
        <v>68232</v>
      </c>
      <c r="F230" s="345"/>
      <c r="G230" s="307">
        <f>C230/E230</f>
        <v>7.752960487747684E-3</v>
      </c>
      <c r="H230" s="345"/>
      <c r="I230" s="566">
        <f t="shared" ref="I230:I238" si="40">I229</f>
        <v>1.4692267823762863</v>
      </c>
      <c r="J230" s="345"/>
      <c r="K230" s="345" t="str">
        <f>E252</f>
        <v>2027-28</v>
      </c>
      <c r="L230" s="345">
        <f>ROUND(C230*I230,0)</f>
        <v>777</v>
      </c>
      <c r="M230" s="345"/>
    </row>
    <row r="231" spans="1:18" ht="17.399999999999999">
      <c r="A231" s="28">
        <f t="shared" si="38"/>
        <v>2022</v>
      </c>
      <c r="B231" s="344"/>
      <c r="C231" s="28">
        <v>549</v>
      </c>
      <c r="D231" s="345"/>
      <c r="E231" s="346">
        <v>69431</v>
      </c>
      <c r="F231" s="28"/>
      <c r="G231" s="307">
        <f>AVERAGE(G228:G230)</f>
        <v>7.5559109405713048E-3</v>
      </c>
      <c r="H231" s="28"/>
      <c r="I231" s="273">
        <f>I230</f>
        <v>1.4692267823762863</v>
      </c>
      <c r="J231" s="28"/>
      <c r="K231" s="28" t="str">
        <f>F252</f>
        <v>2028-29</v>
      </c>
      <c r="L231" s="28">
        <f t="shared" ref="L231:L238" si="41">ROUND(C231*I231,0)</f>
        <v>807</v>
      </c>
      <c r="M231" s="28"/>
    </row>
    <row r="232" spans="1:18" ht="17.399999999999999">
      <c r="A232" s="28">
        <f t="shared" si="38"/>
        <v>2023</v>
      </c>
      <c r="B232" s="274"/>
      <c r="C232" s="28">
        <v>537</v>
      </c>
      <c r="D232" s="345"/>
      <c r="E232" s="346">
        <v>69819</v>
      </c>
      <c r="F232" s="28"/>
      <c r="G232" s="307">
        <f t="shared" ref="G232:G234" si="42">AVERAGE(G229:G231)</f>
        <v>7.7554639589266635E-3</v>
      </c>
      <c r="H232" s="28"/>
      <c r="I232" s="273">
        <f t="shared" si="40"/>
        <v>1.4692267823762863</v>
      </c>
      <c r="J232" s="28"/>
      <c r="K232" s="28" t="str">
        <f>G252</f>
        <v>2029-30</v>
      </c>
      <c r="L232" s="28">
        <f t="shared" si="41"/>
        <v>789</v>
      </c>
      <c r="M232" s="28"/>
      <c r="P232" s="338"/>
      <c r="Q232" s="336"/>
      <c r="R232" s="336"/>
    </row>
    <row r="233" spans="1:18" ht="17.399999999999999">
      <c r="A233" s="28">
        <f t="shared" si="38"/>
        <v>2024</v>
      </c>
      <c r="B233" s="274"/>
      <c r="C233" s="28">
        <v>541</v>
      </c>
      <c r="D233" s="28"/>
      <c r="E233" s="764">
        <v>70496</v>
      </c>
      <c r="F233" s="28"/>
      <c r="G233" s="307">
        <f t="shared" si="42"/>
        <v>7.6881117957485513E-3</v>
      </c>
      <c r="H233" s="28"/>
      <c r="I233" s="273">
        <f t="shared" si="40"/>
        <v>1.4692267823762863</v>
      </c>
      <c r="J233" s="28"/>
      <c r="K233" s="28" t="str">
        <f>H252</f>
        <v>2030-31</v>
      </c>
      <c r="L233" s="28">
        <f t="shared" si="41"/>
        <v>795</v>
      </c>
      <c r="M233" s="28"/>
      <c r="P233" s="338"/>
      <c r="Q233" s="336"/>
      <c r="R233" s="336"/>
    </row>
    <row r="234" spans="1:18" ht="17.399999999999999">
      <c r="A234" s="28">
        <f t="shared" si="38"/>
        <v>2025</v>
      </c>
      <c r="B234" s="274" t="s">
        <v>225</v>
      </c>
      <c r="C234" s="28">
        <f t="shared" ref="C234:C238" si="43">ROUND(E234*G234,0)</f>
        <v>549</v>
      </c>
      <c r="D234" s="28"/>
      <c r="E234" s="764">
        <v>71574</v>
      </c>
      <c r="F234" s="28"/>
      <c r="G234" s="307">
        <f t="shared" si="42"/>
        <v>7.6664955650821735E-3</v>
      </c>
      <c r="H234" s="28"/>
      <c r="I234" s="273">
        <f t="shared" si="40"/>
        <v>1.4692267823762863</v>
      </c>
      <c r="J234" s="28"/>
      <c r="K234" s="28" t="str">
        <f>I252</f>
        <v>2031-32</v>
      </c>
      <c r="L234" s="28">
        <f t="shared" si="41"/>
        <v>807</v>
      </c>
      <c r="M234" s="28"/>
      <c r="P234" s="338"/>
      <c r="Q234" s="336"/>
      <c r="R234" s="336"/>
    </row>
    <row r="235" spans="1:18" ht="17.399999999999999">
      <c r="A235" s="28">
        <f t="shared" si="38"/>
        <v>2026</v>
      </c>
      <c r="B235" s="274" t="s">
        <v>225</v>
      </c>
      <c r="C235" s="28">
        <f>ROUND(E235*G235,0)</f>
        <v>557</v>
      </c>
      <c r="D235" s="28"/>
      <c r="E235" s="764">
        <v>72651</v>
      </c>
      <c r="F235" s="28"/>
      <c r="G235" s="307">
        <f>AVERAGE(G231:G233)</f>
        <v>7.6664955650821735E-3</v>
      </c>
      <c r="H235" s="28"/>
      <c r="I235" s="273">
        <f t="shared" si="40"/>
        <v>1.4692267823762863</v>
      </c>
      <c r="J235" s="28"/>
      <c r="K235" s="28" t="str">
        <f>J252</f>
        <v>2032-33</v>
      </c>
      <c r="L235" s="28">
        <f t="shared" si="41"/>
        <v>818</v>
      </c>
      <c r="M235" s="28"/>
    </row>
    <row r="236" spans="1:18" ht="17.399999999999999">
      <c r="A236" s="28">
        <f t="shared" si="38"/>
        <v>2027</v>
      </c>
      <c r="B236" s="274" t="s">
        <v>225</v>
      </c>
      <c r="C236" s="28">
        <f t="shared" si="43"/>
        <v>565</v>
      </c>
      <c r="E236" s="764">
        <v>73729</v>
      </c>
      <c r="G236" s="307">
        <f>AVERAGE(G231:G233)</f>
        <v>7.6664955650821735E-3</v>
      </c>
      <c r="I236" s="273">
        <f t="shared" si="40"/>
        <v>1.4692267823762863</v>
      </c>
      <c r="J236" s="28"/>
      <c r="K236" s="28" t="str">
        <f>K252</f>
        <v>2033-34</v>
      </c>
      <c r="L236" s="28">
        <f t="shared" si="41"/>
        <v>830</v>
      </c>
      <c r="M236" s="28"/>
    </row>
    <row r="237" spans="1:18" ht="17.399999999999999">
      <c r="A237" s="28">
        <f t="shared" si="38"/>
        <v>2028</v>
      </c>
      <c r="B237" s="274" t="s">
        <v>225</v>
      </c>
      <c r="C237" s="28">
        <f t="shared" si="43"/>
        <v>573</v>
      </c>
      <c r="E237" s="764">
        <v>74806</v>
      </c>
      <c r="G237" s="307">
        <f>AVERAGE(G231:G233)</f>
        <v>7.6664955650821735E-3</v>
      </c>
      <c r="I237" s="273">
        <f t="shared" si="40"/>
        <v>1.4692267823762863</v>
      </c>
      <c r="K237" s="28" t="str">
        <f>L252</f>
        <v>2034-35</v>
      </c>
      <c r="L237" s="28">
        <f t="shared" si="41"/>
        <v>842</v>
      </c>
    </row>
    <row r="238" spans="1:18" ht="18" thickBot="1">
      <c r="A238" s="660">
        <f t="shared" si="38"/>
        <v>2029</v>
      </c>
      <c r="B238" s="661" t="s">
        <v>225</v>
      </c>
      <c r="C238" s="660">
        <f t="shared" si="43"/>
        <v>582</v>
      </c>
      <c r="D238" s="48"/>
      <c r="E238" s="765">
        <v>75883</v>
      </c>
      <c r="F238" s="48"/>
      <c r="G238" s="662">
        <f>AVERAGE(G231:G233)</f>
        <v>7.6664955650821735E-3</v>
      </c>
      <c r="H238" s="48"/>
      <c r="I238" s="663">
        <f t="shared" si="40"/>
        <v>1.4692267823762863</v>
      </c>
      <c r="J238" s="48"/>
      <c r="K238" s="660" t="str">
        <f>M252</f>
        <v>2035-36</v>
      </c>
      <c r="L238" s="660">
        <f t="shared" si="41"/>
        <v>855</v>
      </c>
      <c r="M238" s="48"/>
    </row>
    <row r="239" spans="1:18" ht="18.75" customHeight="1" thickTop="1">
      <c r="A239" s="816"/>
      <c r="B239" s="816"/>
      <c r="C239" s="816"/>
      <c r="D239" s="816"/>
      <c r="E239" s="816"/>
      <c r="F239" s="816"/>
      <c r="G239" s="816"/>
      <c r="H239" s="816"/>
      <c r="I239" s="816"/>
      <c r="J239" s="816"/>
      <c r="K239" s="816"/>
      <c r="L239" s="816"/>
      <c r="M239" s="816"/>
      <c r="N239" s="816"/>
      <c r="O239" s="816"/>
    </row>
    <row r="240" spans="1:18" ht="18" customHeight="1">
      <c r="A240" s="816"/>
      <c r="B240" s="816"/>
      <c r="C240" s="816"/>
      <c r="D240" s="816"/>
      <c r="E240" s="816"/>
      <c r="F240" s="816"/>
      <c r="G240" s="816"/>
      <c r="H240" s="816"/>
      <c r="I240" s="816"/>
      <c r="J240" s="816"/>
      <c r="K240" s="816"/>
      <c r="L240" s="816"/>
      <c r="M240" s="816"/>
      <c r="N240" s="816"/>
      <c r="O240" s="816"/>
    </row>
    <row r="241" spans="1:21" ht="17.399999999999999">
      <c r="A241" s="309" t="s">
        <v>317</v>
      </c>
      <c r="B241" s="309"/>
      <c r="C241" s="309"/>
      <c r="D241" s="309"/>
      <c r="E241" s="309"/>
      <c r="F241" s="309"/>
      <c r="G241" s="309"/>
      <c r="H241" s="309"/>
      <c r="I241" s="309"/>
      <c r="J241" s="309"/>
      <c r="K241" s="309"/>
      <c r="L241" s="309"/>
      <c r="M241" s="28"/>
    </row>
    <row r="242" spans="1:21" ht="15">
      <c r="A242" s="335" t="s">
        <v>405</v>
      </c>
      <c r="B242" s="336"/>
      <c r="C242" s="336"/>
      <c r="D242" s="336"/>
      <c r="E242" s="336"/>
      <c r="F242" s="336"/>
      <c r="G242" s="335"/>
      <c r="H242" s="336" t="s">
        <v>429</v>
      </c>
      <c r="I242" s="335"/>
      <c r="J242" s="336"/>
      <c r="K242" s="336"/>
      <c r="L242" s="336"/>
      <c r="M242" s="336"/>
      <c r="N242" s="336"/>
      <c r="O242" s="336"/>
      <c r="P242" s="336"/>
      <c r="Q242" s="336"/>
      <c r="R242" s="336"/>
      <c r="S242" s="336"/>
      <c r="T242" s="336"/>
      <c r="U242" s="336"/>
    </row>
    <row r="243" spans="1:21" ht="15">
      <c r="H243" t="s">
        <v>430</v>
      </c>
      <c r="N243" s="336"/>
      <c r="O243" s="336"/>
      <c r="P243" s="336"/>
      <c r="Q243" s="336"/>
      <c r="R243" s="336"/>
      <c r="S243" s="336"/>
      <c r="T243" s="336"/>
      <c r="U243" s="336"/>
    </row>
    <row r="244" spans="1:21" ht="15">
      <c r="A244" s="335" t="s">
        <v>353</v>
      </c>
      <c r="B244" s="336">
        <f>A234</f>
        <v>2025</v>
      </c>
      <c r="C244" s="337" t="s">
        <v>3</v>
      </c>
      <c r="D244" s="336">
        <f>A238</f>
        <v>2029</v>
      </c>
      <c r="E244" s="335" t="s">
        <v>226</v>
      </c>
      <c r="G244" s="336"/>
      <c r="H244" s="338">
        <f>G235</f>
        <v>7.6664955650821735E-3</v>
      </c>
      <c r="I244" s="335" t="s">
        <v>318</v>
      </c>
      <c r="J244" s="336"/>
      <c r="K244" s="336"/>
      <c r="L244" s="336"/>
      <c r="M244" s="336"/>
      <c r="N244" s="336"/>
      <c r="O244" s="336"/>
      <c r="P244" s="336"/>
      <c r="Q244" s="336"/>
      <c r="R244" s="336"/>
      <c r="S244" s="336"/>
      <c r="T244" s="336"/>
      <c r="U244" s="336"/>
    </row>
    <row r="245" spans="1:21" ht="15">
      <c r="A245" s="335" t="s">
        <v>342</v>
      </c>
      <c r="B245" s="335"/>
      <c r="C245" s="336"/>
      <c r="D245" s="336"/>
      <c r="E245" s="338"/>
      <c r="F245" s="335"/>
      <c r="G245" s="336"/>
      <c r="H245" s="336"/>
      <c r="I245" s="336"/>
      <c r="J245" s="336"/>
      <c r="K245" s="337">
        <f>A231</f>
        <v>2022</v>
      </c>
      <c r="L245" s="337" t="s">
        <v>3</v>
      </c>
      <c r="M245" s="337">
        <f>A233</f>
        <v>2024</v>
      </c>
    </row>
    <row r="247" spans="1:21" ht="17.399999999999999">
      <c r="B247" s="1" t="s">
        <v>227</v>
      </c>
      <c r="C247" s="16"/>
      <c r="D247" s="16"/>
      <c r="E247" s="16"/>
      <c r="H247" s="16"/>
      <c r="I247" s="16" t="str">
        <f>D252</f>
        <v>2026-27</v>
      </c>
      <c r="J247" s="27" t="s">
        <v>3</v>
      </c>
      <c r="K247" s="16" t="str">
        <f>M252</f>
        <v>2035-36</v>
      </c>
    </row>
    <row r="248" spans="1:21" ht="17.399999999999999">
      <c r="B248" s="16"/>
      <c r="C248" s="16"/>
      <c r="D248" s="16" t="str">
        <f>A210</f>
        <v xml:space="preserve">    THREE YEAR AVERAGE PERCENTAGE OF SURVIVAL</v>
      </c>
      <c r="E248" s="16"/>
      <c r="F248" s="16"/>
      <c r="G248" s="16"/>
      <c r="H248" s="16"/>
    </row>
    <row r="250" spans="1:21">
      <c r="A250" s="19" t="s">
        <v>119</v>
      </c>
      <c r="B250" s="19" t="s">
        <v>144</v>
      </c>
      <c r="C250" s="19" t="s">
        <v>145</v>
      </c>
      <c r="D250" s="19" t="s">
        <v>122</v>
      </c>
      <c r="E250" s="19" t="s">
        <v>123</v>
      </c>
      <c r="F250" s="19" t="s">
        <v>124</v>
      </c>
      <c r="G250" s="19" t="s">
        <v>125</v>
      </c>
      <c r="H250" s="19" t="s">
        <v>126</v>
      </c>
      <c r="I250" s="19" t="s">
        <v>127</v>
      </c>
      <c r="J250" s="19" t="s">
        <v>128</v>
      </c>
      <c r="K250" s="19" t="s">
        <v>129</v>
      </c>
      <c r="L250" s="19" t="s">
        <v>130</v>
      </c>
      <c r="M250" s="19" t="s">
        <v>131</v>
      </c>
      <c r="N250" s="19"/>
      <c r="O250" s="19"/>
      <c r="P250" s="19"/>
      <c r="Q250" s="19"/>
    </row>
    <row r="251" spans="1:2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259"/>
      <c r="L251" s="259"/>
      <c r="M251" s="571"/>
    </row>
    <row r="252" spans="1:21" ht="15.6">
      <c r="A252" s="519" t="s">
        <v>24</v>
      </c>
      <c r="B252" s="520" t="str">
        <f>I215</f>
        <v>3 YEAR AVE.</v>
      </c>
      <c r="C252" s="520" t="str">
        <f>O45</f>
        <v>2025-26</v>
      </c>
      <c r="D252" s="349" t="s">
        <v>426</v>
      </c>
      <c r="E252" s="349" t="s">
        <v>431</v>
      </c>
      <c r="F252" s="615" t="s">
        <v>435</v>
      </c>
      <c r="G252" s="615" t="s">
        <v>437</v>
      </c>
      <c r="H252" s="615" t="s">
        <v>438</v>
      </c>
      <c r="I252" s="615" t="s">
        <v>443</v>
      </c>
      <c r="J252" s="615" t="s">
        <v>449</v>
      </c>
      <c r="K252" s="615" t="s">
        <v>454</v>
      </c>
      <c r="L252" s="615" t="s">
        <v>455</v>
      </c>
      <c r="M252" s="616" t="s">
        <v>456</v>
      </c>
    </row>
    <row r="253" spans="1:21" ht="15.6">
      <c r="A253" s="521"/>
      <c r="B253" s="522" t="s">
        <v>110</v>
      </c>
      <c r="C253" s="523" t="s">
        <v>229</v>
      </c>
      <c r="D253" s="524"/>
      <c r="E253" s="524"/>
      <c r="F253" s="524"/>
      <c r="G253" s="524"/>
      <c r="H253" s="524"/>
      <c r="I253" s="524"/>
      <c r="J253" s="524"/>
      <c r="K253" s="524"/>
      <c r="L253" s="524"/>
      <c r="M253" s="525"/>
    </row>
    <row r="254" spans="1:21" ht="15.6">
      <c r="A254" s="526"/>
      <c r="B254" s="527" t="s">
        <v>230</v>
      </c>
      <c r="C254" s="528" t="s">
        <v>231</v>
      </c>
      <c r="D254" s="529"/>
      <c r="E254" s="529"/>
      <c r="F254" s="529"/>
      <c r="G254" s="529"/>
      <c r="H254" s="529"/>
      <c r="I254" s="529"/>
      <c r="J254" s="529"/>
      <c r="K254" s="529"/>
      <c r="L254" s="529"/>
      <c r="M254" s="530"/>
    </row>
    <row r="255" spans="1:21" ht="17.399999999999999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</row>
    <row r="256" spans="1:21" ht="17.399999999999999">
      <c r="A256" s="274" t="s">
        <v>391</v>
      </c>
      <c r="B256" s="28"/>
      <c r="C256" s="28">
        <f t="shared" ref="C256:C268" si="44">O47</f>
        <v>723</v>
      </c>
      <c r="D256" s="28">
        <f>$L$229</f>
        <v>790</v>
      </c>
      <c r="E256" s="28">
        <f>$L$230</f>
        <v>777</v>
      </c>
      <c r="F256" s="28">
        <f>$L$231</f>
        <v>807</v>
      </c>
      <c r="G256" s="28">
        <f>$L$232</f>
        <v>789</v>
      </c>
      <c r="H256" s="28">
        <f>$L$233</f>
        <v>795</v>
      </c>
      <c r="I256" s="28">
        <f>$L$234</f>
        <v>807</v>
      </c>
      <c r="J256" s="28">
        <f>$L$235</f>
        <v>818</v>
      </c>
      <c r="K256" s="28">
        <f>$L$236</f>
        <v>830</v>
      </c>
      <c r="L256" s="28">
        <f>$L$237</f>
        <v>842</v>
      </c>
      <c r="M256" s="28">
        <f>$L$238</f>
        <v>855</v>
      </c>
    </row>
    <row r="257" spans="1:17" ht="17.399999999999999">
      <c r="A257" s="274">
        <v>1</v>
      </c>
      <c r="B257" s="291">
        <f t="shared" ref="B257:B268" si="45">O80</f>
        <v>1.0159922979381817</v>
      </c>
      <c r="C257" s="28">
        <f t="shared" si="44"/>
        <v>735</v>
      </c>
      <c r="D257" s="28">
        <f>ROUND(C256*$B$257,0)</f>
        <v>735</v>
      </c>
      <c r="E257" s="28">
        <f>ROUND(D256*$B$257,0)</f>
        <v>803</v>
      </c>
      <c r="F257" s="28">
        <f>ROUND(E256*$B$257,0)</f>
        <v>789</v>
      </c>
      <c r="G257" s="28">
        <f t="shared" ref="G257:J257" si="46">ROUND(F256*$B$257,0)</f>
        <v>820</v>
      </c>
      <c r="H257" s="28">
        <f t="shared" si="46"/>
        <v>802</v>
      </c>
      <c r="I257" s="28">
        <f t="shared" si="46"/>
        <v>808</v>
      </c>
      <c r="J257" s="28">
        <f t="shared" si="46"/>
        <v>820</v>
      </c>
      <c r="K257" s="28">
        <f>ROUND(J256*$B$257,0)</f>
        <v>831</v>
      </c>
      <c r="L257" s="28">
        <f>ROUND(K256*$B$257,0)</f>
        <v>843</v>
      </c>
      <c r="M257" s="28">
        <f>ROUND(L256*$B$257,0)</f>
        <v>855</v>
      </c>
    </row>
    <row r="258" spans="1:17" ht="17.399999999999999">
      <c r="A258" s="274">
        <v>2</v>
      </c>
      <c r="B258" s="291">
        <f t="shared" si="45"/>
        <v>1.0259599361318243</v>
      </c>
      <c r="C258" s="28">
        <f t="shared" si="44"/>
        <v>807</v>
      </c>
      <c r="D258" s="28">
        <f t="shared" ref="D258:J258" si="47">ROUND(C257*$B$258,0)</f>
        <v>754</v>
      </c>
      <c r="E258" s="28">
        <f>ROUND(D257*$B$258,0)</f>
        <v>754</v>
      </c>
      <c r="F258" s="28">
        <f>ROUND(E257*$B$258,0)</f>
        <v>824</v>
      </c>
      <c r="G258" s="28">
        <f t="shared" si="47"/>
        <v>809</v>
      </c>
      <c r="H258" s="28">
        <f t="shared" si="47"/>
        <v>841</v>
      </c>
      <c r="I258" s="28">
        <f t="shared" si="47"/>
        <v>823</v>
      </c>
      <c r="J258" s="28">
        <f t="shared" si="47"/>
        <v>829</v>
      </c>
      <c r="K258" s="28">
        <f>ROUND(J257*$B$258,0)</f>
        <v>841</v>
      </c>
      <c r="L258" s="28">
        <f>ROUND(K257*$B$258,0)</f>
        <v>853</v>
      </c>
      <c r="M258" s="28">
        <f>ROUND(L257*$B$258,0)</f>
        <v>865</v>
      </c>
    </row>
    <row r="259" spans="1:17" ht="17.399999999999999">
      <c r="A259" s="274">
        <v>3</v>
      </c>
      <c r="B259" s="291">
        <f t="shared" si="45"/>
        <v>1.0134506771160787</v>
      </c>
      <c r="C259" s="28">
        <f t="shared" si="44"/>
        <v>876</v>
      </c>
      <c r="D259" s="28">
        <f t="shared" ref="D259:J259" si="48">ROUND(C258*$B$259,0)</f>
        <v>818</v>
      </c>
      <c r="E259" s="28">
        <f>ROUND(D258*$B$259,0)</f>
        <v>764</v>
      </c>
      <c r="F259" s="28">
        <f>ROUND(E258*$B$259,0)</f>
        <v>764</v>
      </c>
      <c r="G259" s="28">
        <f t="shared" si="48"/>
        <v>835</v>
      </c>
      <c r="H259" s="28">
        <f t="shared" si="48"/>
        <v>820</v>
      </c>
      <c r="I259" s="28">
        <f t="shared" si="48"/>
        <v>852</v>
      </c>
      <c r="J259" s="28">
        <f t="shared" si="48"/>
        <v>834</v>
      </c>
      <c r="K259" s="28">
        <f>ROUND(J258*$B$259,0)</f>
        <v>840</v>
      </c>
      <c r="L259" s="28">
        <f>ROUND(K258*$B$259,0)</f>
        <v>852</v>
      </c>
      <c r="M259" s="28">
        <f>ROUND(L258*$B$259,0)</f>
        <v>864</v>
      </c>
    </row>
    <row r="260" spans="1:17" ht="17.399999999999999">
      <c r="A260" s="274">
        <v>4</v>
      </c>
      <c r="B260" s="291">
        <f t="shared" si="45"/>
        <v>1.0270141363384557</v>
      </c>
      <c r="C260" s="28">
        <f t="shared" si="44"/>
        <v>874</v>
      </c>
      <c r="D260" s="28">
        <f t="shared" ref="D260:J260" si="49">ROUND(C259*$B$260,0)</f>
        <v>900</v>
      </c>
      <c r="E260" s="28">
        <f>ROUND(D259*$B$260,0)</f>
        <v>840</v>
      </c>
      <c r="F260" s="28">
        <f>ROUND(E259*$B$260,0)</f>
        <v>785</v>
      </c>
      <c r="G260" s="28">
        <f t="shared" si="49"/>
        <v>785</v>
      </c>
      <c r="H260" s="28">
        <f t="shared" si="49"/>
        <v>858</v>
      </c>
      <c r="I260" s="28">
        <f t="shared" si="49"/>
        <v>842</v>
      </c>
      <c r="J260" s="28">
        <f t="shared" si="49"/>
        <v>875</v>
      </c>
      <c r="K260" s="28">
        <f>ROUND(J259*$B$260,0)</f>
        <v>857</v>
      </c>
      <c r="L260" s="28">
        <f>ROUND(K259*$B$260,0)</f>
        <v>863</v>
      </c>
      <c r="M260" s="28">
        <f>ROUND(L259*$B$260,0)</f>
        <v>875</v>
      </c>
    </row>
    <row r="261" spans="1:17" ht="17.399999999999999">
      <c r="A261" s="274">
        <v>5</v>
      </c>
      <c r="B261" s="291">
        <f t="shared" si="45"/>
        <v>1.0151108846211681</v>
      </c>
      <c r="C261" s="28">
        <f t="shared" si="44"/>
        <v>923</v>
      </c>
      <c r="D261" s="28">
        <f t="shared" ref="D261:J261" si="50">ROUND(C260*$B$261,0)</f>
        <v>887</v>
      </c>
      <c r="E261" s="28">
        <f>ROUND(D260*$B$261,0)</f>
        <v>914</v>
      </c>
      <c r="F261" s="28">
        <f>ROUND(E260*$B$261,0)</f>
        <v>853</v>
      </c>
      <c r="G261" s="28">
        <f t="shared" si="50"/>
        <v>797</v>
      </c>
      <c r="H261" s="28">
        <f t="shared" si="50"/>
        <v>797</v>
      </c>
      <c r="I261" s="28">
        <f t="shared" si="50"/>
        <v>871</v>
      </c>
      <c r="J261" s="28">
        <f t="shared" si="50"/>
        <v>855</v>
      </c>
      <c r="K261" s="28">
        <f>ROUND(J260*$B$261,0)</f>
        <v>888</v>
      </c>
      <c r="L261" s="28">
        <f>ROUND(K260*$B$261,0)</f>
        <v>870</v>
      </c>
      <c r="M261" s="28">
        <f>ROUND(L260*$B$261,0)</f>
        <v>876</v>
      </c>
    </row>
    <row r="262" spans="1:17" ht="17.399999999999999">
      <c r="A262" s="274">
        <v>6</v>
      </c>
      <c r="B262" s="291">
        <f t="shared" si="45"/>
        <v>1.0457635694760921</v>
      </c>
      <c r="C262" s="28">
        <f t="shared" si="44"/>
        <v>952</v>
      </c>
      <c r="D262" s="28">
        <f t="shared" ref="D262:J262" si="51">ROUND(C261*$B$262,0)</f>
        <v>965</v>
      </c>
      <c r="E262" s="28">
        <f>ROUND(D261*$B$262,0)</f>
        <v>928</v>
      </c>
      <c r="F262" s="28">
        <f>ROUND(E261*$B$262,0)</f>
        <v>956</v>
      </c>
      <c r="G262" s="28">
        <f t="shared" si="51"/>
        <v>892</v>
      </c>
      <c r="H262" s="28">
        <f t="shared" si="51"/>
        <v>833</v>
      </c>
      <c r="I262" s="28">
        <f t="shared" si="51"/>
        <v>833</v>
      </c>
      <c r="J262" s="28">
        <f t="shared" si="51"/>
        <v>911</v>
      </c>
      <c r="K262" s="28">
        <f>ROUND(J261*$B$262,0)</f>
        <v>894</v>
      </c>
      <c r="L262" s="28">
        <f>ROUND(K261*$B$262,0)</f>
        <v>929</v>
      </c>
      <c r="M262" s="28">
        <f>ROUND(L261*$B$262,0)</f>
        <v>910</v>
      </c>
    </row>
    <row r="263" spans="1:17" ht="17.399999999999999">
      <c r="A263" s="274">
        <v>7</v>
      </c>
      <c r="B263" s="291">
        <f t="shared" si="45"/>
        <v>1.0130442515984683</v>
      </c>
      <c r="C263" s="28">
        <f t="shared" si="44"/>
        <v>995</v>
      </c>
      <c r="D263" s="28">
        <f t="shared" ref="D263:J263" si="52">ROUND(C262*$B$263,0)</f>
        <v>964</v>
      </c>
      <c r="E263" s="28">
        <f>ROUND(D262*$B$263,0)</f>
        <v>978</v>
      </c>
      <c r="F263" s="28">
        <f>ROUND(E262*$B$263,0)</f>
        <v>940</v>
      </c>
      <c r="G263" s="28">
        <f t="shared" si="52"/>
        <v>968</v>
      </c>
      <c r="H263" s="28">
        <f t="shared" si="52"/>
        <v>904</v>
      </c>
      <c r="I263" s="28">
        <f t="shared" si="52"/>
        <v>844</v>
      </c>
      <c r="J263" s="28">
        <f t="shared" si="52"/>
        <v>844</v>
      </c>
      <c r="K263" s="28">
        <f>ROUND(J262*$B$263,0)</f>
        <v>923</v>
      </c>
      <c r="L263" s="28">
        <f>ROUND(K262*$B$263,0)</f>
        <v>906</v>
      </c>
      <c r="M263" s="28">
        <f>ROUND(L262*$B$263,0)</f>
        <v>941</v>
      </c>
    </row>
    <row r="264" spans="1:17" ht="17.399999999999999">
      <c r="A264" s="274">
        <v>8</v>
      </c>
      <c r="B264" s="291">
        <f t="shared" si="45"/>
        <v>0.99829231492449022</v>
      </c>
      <c r="C264" s="28">
        <f t="shared" si="44"/>
        <v>948</v>
      </c>
      <c r="D264" s="28">
        <f t="shared" ref="D264:J264" si="53">ROUND(C263*$B$264,0)</f>
        <v>993</v>
      </c>
      <c r="E264" s="28">
        <f>ROUND(D263*$B$264,0)</f>
        <v>962</v>
      </c>
      <c r="F264" s="28">
        <f>ROUND(E263*$B$264,0)</f>
        <v>976</v>
      </c>
      <c r="G264" s="28">
        <f t="shared" si="53"/>
        <v>938</v>
      </c>
      <c r="H264" s="28">
        <f t="shared" si="53"/>
        <v>966</v>
      </c>
      <c r="I264" s="28">
        <f t="shared" si="53"/>
        <v>902</v>
      </c>
      <c r="J264" s="28">
        <f t="shared" si="53"/>
        <v>843</v>
      </c>
      <c r="K264" s="28">
        <f>ROUND(J263*$B$264,0)</f>
        <v>843</v>
      </c>
      <c r="L264" s="28">
        <f>ROUND(K263*$B$264,0)</f>
        <v>921</v>
      </c>
      <c r="M264" s="28">
        <f>ROUND(L263*$B$264,0)</f>
        <v>904</v>
      </c>
    </row>
    <row r="265" spans="1:17" ht="17.399999999999999">
      <c r="A265" s="274">
        <v>9</v>
      </c>
      <c r="B265" s="291">
        <f t="shared" si="45"/>
        <v>1.0180666408700207</v>
      </c>
      <c r="C265" s="28">
        <f t="shared" si="44"/>
        <v>1036</v>
      </c>
      <c r="D265" s="28">
        <f t="shared" ref="D265:J265" si="54">ROUND(C264*$B$265,0)</f>
        <v>965</v>
      </c>
      <c r="E265" s="28">
        <f>ROUND(D264*$B$265,0)</f>
        <v>1011</v>
      </c>
      <c r="F265" s="28">
        <f>ROUND(E264*$B$265,0)</f>
        <v>979</v>
      </c>
      <c r="G265" s="28">
        <f t="shared" si="54"/>
        <v>994</v>
      </c>
      <c r="H265" s="28">
        <f t="shared" si="54"/>
        <v>955</v>
      </c>
      <c r="I265" s="28">
        <f t="shared" si="54"/>
        <v>983</v>
      </c>
      <c r="J265" s="28">
        <f t="shared" si="54"/>
        <v>918</v>
      </c>
      <c r="K265" s="28">
        <f>ROUND(J264*$B$265,0)</f>
        <v>858</v>
      </c>
      <c r="L265" s="28">
        <f>ROUND(K264*$B$265,0)</f>
        <v>858</v>
      </c>
      <c r="M265" s="28">
        <f>ROUND(L264*$B$265,0)</f>
        <v>938</v>
      </c>
    </row>
    <row r="266" spans="1:17" ht="17.399999999999999">
      <c r="A266" s="274">
        <v>10</v>
      </c>
      <c r="B266" s="291">
        <f t="shared" si="45"/>
        <v>0.96151628559991609</v>
      </c>
      <c r="C266" s="28">
        <f t="shared" si="44"/>
        <v>954</v>
      </c>
      <c r="D266" s="28">
        <f t="shared" ref="D266:J266" si="55">ROUND(C265*$B$266,0)</f>
        <v>996</v>
      </c>
      <c r="E266" s="316">
        <f>ROUND(D265*$B$266,0)</f>
        <v>928</v>
      </c>
      <c r="F266" s="28">
        <f>ROUND(E265*$B$266,0)</f>
        <v>972</v>
      </c>
      <c r="G266" s="28">
        <f t="shared" si="55"/>
        <v>941</v>
      </c>
      <c r="H266" s="28">
        <f t="shared" si="55"/>
        <v>956</v>
      </c>
      <c r="I266" s="28">
        <f t="shared" si="55"/>
        <v>918</v>
      </c>
      <c r="J266" s="28">
        <f t="shared" si="55"/>
        <v>945</v>
      </c>
      <c r="K266" s="28">
        <f>ROUND(J265*$B$266,0)</f>
        <v>883</v>
      </c>
      <c r="L266" s="28">
        <f>ROUND(K265*$B$266,0)</f>
        <v>825</v>
      </c>
      <c r="M266" s="28">
        <f>ROUND(L265*$B$266,0)</f>
        <v>825</v>
      </c>
    </row>
    <row r="267" spans="1:17" ht="17.399999999999999">
      <c r="A267" s="274">
        <v>11</v>
      </c>
      <c r="B267" s="291">
        <f t="shared" si="45"/>
        <v>0.98069080415136345</v>
      </c>
      <c r="C267" s="28">
        <f t="shared" si="44"/>
        <v>941</v>
      </c>
      <c r="D267" s="28">
        <f t="shared" ref="D267:J267" si="56">ROUND(C266*$B$267,0)</f>
        <v>936</v>
      </c>
      <c r="E267" s="28">
        <f>ROUND(D266*$B$267,0)</f>
        <v>977</v>
      </c>
      <c r="F267" s="28">
        <f>ROUND(E266*$B$267,0)</f>
        <v>910</v>
      </c>
      <c r="G267" s="28">
        <f t="shared" si="56"/>
        <v>953</v>
      </c>
      <c r="H267" s="28">
        <f t="shared" si="56"/>
        <v>923</v>
      </c>
      <c r="I267" s="28">
        <f t="shared" si="56"/>
        <v>938</v>
      </c>
      <c r="J267" s="28">
        <f t="shared" si="56"/>
        <v>900</v>
      </c>
      <c r="K267" s="28">
        <f>ROUND(J266*$B$267,0)</f>
        <v>927</v>
      </c>
      <c r="L267" s="28">
        <f>ROUND(K266*$B$267,0)</f>
        <v>866</v>
      </c>
      <c r="M267" s="28">
        <f>ROUND(L266*$B$267,0)</f>
        <v>809</v>
      </c>
    </row>
    <row r="268" spans="1:17" ht="17.399999999999999">
      <c r="A268" s="274">
        <v>12</v>
      </c>
      <c r="B268" s="291">
        <f t="shared" si="45"/>
        <v>0.95892331313420165</v>
      </c>
      <c r="C268" s="28">
        <f t="shared" si="44"/>
        <v>996</v>
      </c>
      <c r="D268" s="28">
        <f t="shared" ref="D268:J268" si="57">ROUND(C267*$B$268,0)</f>
        <v>902</v>
      </c>
      <c r="E268" s="28">
        <f>ROUND(D267*$B$268,0)</f>
        <v>898</v>
      </c>
      <c r="F268" s="28">
        <f>ROUND(E267*$B$268,0)</f>
        <v>937</v>
      </c>
      <c r="G268" s="28">
        <f t="shared" si="57"/>
        <v>873</v>
      </c>
      <c r="H268" s="28">
        <f t="shared" si="57"/>
        <v>914</v>
      </c>
      <c r="I268" s="28">
        <f t="shared" si="57"/>
        <v>885</v>
      </c>
      <c r="J268" s="28">
        <f t="shared" si="57"/>
        <v>899</v>
      </c>
      <c r="K268" s="28">
        <f>ROUND(J267*$B$268,0)</f>
        <v>863</v>
      </c>
      <c r="L268" s="28">
        <f>ROUND(K267*$B$268,0)</f>
        <v>889</v>
      </c>
      <c r="M268" s="28">
        <f>ROUND(L267*$B$268,0)</f>
        <v>830</v>
      </c>
    </row>
    <row r="269" spans="1:17" ht="17.399999999999999">
      <c r="A269" s="274" t="s">
        <v>386</v>
      </c>
      <c r="B269" s="274" t="s">
        <v>232</v>
      </c>
      <c r="C269" s="28">
        <f>O62</f>
        <v>22</v>
      </c>
      <c r="D269" s="28">
        <f t="shared" ref="D269:I269" si="58">ROUND((C269/SUM(C256:C268))*SUM(D256:D268),0)</f>
        <v>22</v>
      </c>
      <c r="E269" s="28">
        <f>ROUND((D269/SUM(D256:D268))*SUM(E256:E268),0)</f>
        <v>22</v>
      </c>
      <c r="F269" s="28">
        <f>ROUND((E269/SUM(E256:E268))*SUM(F256:F268),0)</f>
        <v>22</v>
      </c>
      <c r="G269" s="28">
        <f t="shared" si="58"/>
        <v>22</v>
      </c>
      <c r="H269" s="28">
        <f t="shared" si="58"/>
        <v>22</v>
      </c>
      <c r="I269" s="28">
        <f t="shared" si="58"/>
        <v>22</v>
      </c>
      <c r="J269" s="28">
        <f>ROUND((I269/SUM(H256:I268))*SUM(I256:J268),0)</f>
        <v>22</v>
      </c>
      <c r="K269" s="28">
        <f>ROUND((J269/SUM(I256:J268))*SUM(J256:K268),0)</f>
        <v>22</v>
      </c>
      <c r="L269" s="28">
        <f>ROUND((K269/SUM(J256:K268))*SUM(K256:L268),0)</f>
        <v>22</v>
      </c>
      <c r="M269" s="28">
        <f>ROUND((L269/SUM(K256:L268))*SUM(L256:M268),0)</f>
        <v>22</v>
      </c>
    </row>
    <row r="270" spans="1:17" ht="17.399999999999999">
      <c r="A270" s="28"/>
      <c r="B270" s="274" t="s">
        <v>233</v>
      </c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</row>
    <row r="271" spans="1:17" ht="17.399999999999999">
      <c r="A271" s="312"/>
      <c r="B271" s="265"/>
      <c r="C271" s="265"/>
      <c r="D271" s="265"/>
      <c r="E271" s="265"/>
      <c r="F271" s="265"/>
      <c r="G271" s="265"/>
      <c r="H271" s="265"/>
      <c r="I271" s="265"/>
      <c r="J271" s="265"/>
      <c r="K271" s="265"/>
      <c r="L271" s="265"/>
      <c r="M271" s="301"/>
      <c r="N271" s="35"/>
      <c r="O271" s="35"/>
      <c r="P271" s="35"/>
      <c r="Q271" s="35"/>
    </row>
    <row r="272" spans="1:17" ht="17.399999999999999">
      <c r="A272" s="292" t="s">
        <v>234</v>
      </c>
      <c r="B272" s="270"/>
      <c r="C272" s="313">
        <f t="shared" ref="C272:M272" si="59">SUM(C256:C269)</f>
        <v>11782</v>
      </c>
      <c r="D272" s="313">
        <f t="shared" si="59"/>
        <v>11627</v>
      </c>
      <c r="E272" s="313">
        <f t="shared" si="59"/>
        <v>11556</v>
      </c>
      <c r="F272" s="313">
        <f t="shared" si="59"/>
        <v>11514</v>
      </c>
      <c r="G272" s="313">
        <f t="shared" si="59"/>
        <v>11416</v>
      </c>
      <c r="H272" s="313">
        <f t="shared" si="59"/>
        <v>11386</v>
      </c>
      <c r="I272" s="313">
        <f t="shared" si="59"/>
        <v>11328</v>
      </c>
      <c r="J272" s="313">
        <f t="shared" si="59"/>
        <v>11313</v>
      </c>
      <c r="K272" s="313">
        <f t="shared" si="59"/>
        <v>11300</v>
      </c>
      <c r="L272" s="313">
        <f t="shared" si="59"/>
        <v>11339</v>
      </c>
      <c r="M272" s="314">
        <f t="shared" si="59"/>
        <v>11369</v>
      </c>
      <c r="N272" s="59"/>
      <c r="O272" s="59"/>
      <c r="P272" s="59"/>
      <c r="Q272" s="59"/>
    </row>
    <row r="273" spans="1:17" ht="17.399999999999999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</row>
    <row r="274" spans="1:17" ht="17.399999999999999">
      <c r="A274" s="274" t="s">
        <v>12</v>
      </c>
      <c r="B274" s="28"/>
      <c r="C274" s="772">
        <f>O66</f>
        <v>-29</v>
      </c>
      <c r="D274" s="772">
        <f t="shared" ref="D274:J274" si="60">D272-C272</f>
        <v>-155</v>
      </c>
      <c r="E274" s="772">
        <f>E272-D272</f>
        <v>-71</v>
      </c>
      <c r="F274" s="772">
        <f>F272-E272</f>
        <v>-42</v>
      </c>
      <c r="G274" s="772">
        <f t="shared" si="60"/>
        <v>-98</v>
      </c>
      <c r="H274" s="772">
        <f t="shared" si="60"/>
        <v>-30</v>
      </c>
      <c r="I274" s="772">
        <f t="shared" si="60"/>
        <v>-58</v>
      </c>
      <c r="J274" s="772">
        <f t="shared" si="60"/>
        <v>-15</v>
      </c>
      <c r="K274" s="772">
        <f>K272-J272</f>
        <v>-13</v>
      </c>
      <c r="L274" s="772">
        <f>L272-K272</f>
        <v>39</v>
      </c>
      <c r="M274" s="772">
        <f>M272-L272</f>
        <v>30</v>
      </c>
    </row>
    <row r="275" spans="1:17" ht="17.399999999999999">
      <c r="A275" s="274" t="s">
        <v>13</v>
      </c>
      <c r="B275" s="28"/>
      <c r="C275" s="291">
        <f>C272/N64</f>
        <v>0.99754466175599021</v>
      </c>
      <c r="D275" s="291">
        <f t="shared" ref="D275:J275" si="61">D272/C272</f>
        <v>0.98684433882193179</v>
      </c>
      <c r="E275" s="291">
        <f>E272/D272</f>
        <v>0.99389352369484818</v>
      </c>
      <c r="F275" s="291">
        <f>F272/E272</f>
        <v>0.9963655244029076</v>
      </c>
      <c r="G275" s="291">
        <f t="shared" si="61"/>
        <v>0.99148862254646519</v>
      </c>
      <c r="H275" s="291">
        <f t="shared" si="61"/>
        <v>0.99737210932025233</v>
      </c>
      <c r="I275" s="291">
        <f t="shared" si="61"/>
        <v>0.99490602494291236</v>
      </c>
      <c r="J275" s="291">
        <f t="shared" si="61"/>
        <v>0.99867584745762716</v>
      </c>
      <c r="K275" s="291">
        <f>K272/J272</f>
        <v>0.99885087951913731</v>
      </c>
      <c r="L275" s="291">
        <f>L272/K272</f>
        <v>1.0034513274336283</v>
      </c>
      <c r="M275" s="291">
        <f>M272/L272</f>
        <v>1.0026457359555516</v>
      </c>
      <c r="N275" s="7"/>
      <c r="O275" s="7"/>
      <c r="P275" s="7"/>
      <c r="Q275" s="7"/>
    </row>
    <row r="276" spans="1:17" ht="17.399999999999999">
      <c r="A276" s="274" t="s">
        <v>420</v>
      </c>
      <c r="B276" s="28"/>
      <c r="C276" s="283">
        <v>14722</v>
      </c>
      <c r="D276" s="283"/>
      <c r="E276" s="28"/>
      <c r="F276" s="28"/>
      <c r="G276" s="28"/>
      <c r="H276" s="283"/>
      <c r="I276" s="283"/>
      <c r="J276" s="28"/>
      <c r="K276" s="28"/>
      <c r="L276" s="28"/>
      <c r="M276" s="318">
        <v>16373</v>
      </c>
      <c r="N276" s="5"/>
    </row>
    <row r="277" spans="1:17" ht="17.399999999999999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</row>
    <row r="278" spans="1:17" ht="17.399999999999999">
      <c r="A278" s="274" t="s">
        <v>419</v>
      </c>
      <c r="B278" s="28"/>
      <c r="C278" s="273">
        <f>C272/C276</f>
        <v>0.80029887243581033</v>
      </c>
      <c r="D278" s="273"/>
      <c r="E278" s="28"/>
      <c r="F278" s="28"/>
      <c r="G278" s="28"/>
      <c r="H278" s="273"/>
      <c r="I278" s="273"/>
      <c r="J278" s="28"/>
      <c r="K278" s="28"/>
      <c r="L278" s="28"/>
      <c r="M278" s="273">
        <f>M272/M276</f>
        <v>0.69437488548219628</v>
      </c>
      <c r="N278" s="6"/>
    </row>
    <row r="279" spans="1:17" ht="17.399999999999999">
      <c r="A279" s="274"/>
      <c r="B279" s="28"/>
      <c r="C279" s="283"/>
      <c r="D279" s="283"/>
      <c r="E279" s="28"/>
      <c r="F279" s="28"/>
      <c r="G279" s="28"/>
      <c r="H279" s="283"/>
      <c r="I279" s="283"/>
      <c r="J279" s="28"/>
      <c r="K279" s="28"/>
      <c r="L279" s="28"/>
      <c r="M279" s="318"/>
      <c r="N279" s="5"/>
    </row>
    <row r="280" spans="1:17" ht="17.399999999999999">
      <c r="A280" s="274" t="s">
        <v>17</v>
      </c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</row>
    <row r="281" spans="1:17" ht="17.399999999999999">
      <c r="A281" s="344" t="s">
        <v>418</v>
      </c>
      <c r="B281" s="345"/>
      <c r="C281" s="346">
        <f>ROUND($H$161*C272,0)</f>
        <v>62281</v>
      </c>
      <c r="D281" s="283">
        <f t="shared" ref="D281:M281" si="62">ROUND($H$161*D272,0)</f>
        <v>61461</v>
      </c>
      <c r="E281" s="283">
        <f t="shared" si="62"/>
        <v>61086</v>
      </c>
      <c r="F281" s="283">
        <f t="shared" si="62"/>
        <v>60864</v>
      </c>
      <c r="G281" s="283">
        <f t="shared" si="62"/>
        <v>60346</v>
      </c>
      <c r="H281" s="283">
        <f t="shared" si="62"/>
        <v>60187</v>
      </c>
      <c r="I281" s="283">
        <f t="shared" si="62"/>
        <v>59881</v>
      </c>
      <c r="J281" s="283">
        <f t="shared" si="62"/>
        <v>59801</v>
      </c>
      <c r="K281" s="283">
        <f t="shared" si="62"/>
        <v>59733</v>
      </c>
      <c r="L281" s="283">
        <f t="shared" si="62"/>
        <v>59939</v>
      </c>
      <c r="M281" s="283">
        <f t="shared" si="62"/>
        <v>60097</v>
      </c>
      <c r="N281" s="4"/>
      <c r="O281" s="4"/>
      <c r="P281" s="4"/>
      <c r="Q281" s="4"/>
    </row>
    <row r="282" spans="1:17" ht="17.399999999999999">
      <c r="A282" s="344" t="s">
        <v>235</v>
      </c>
      <c r="B282" s="345"/>
      <c r="C282" s="345"/>
      <c r="D282" s="28"/>
      <c r="E282" s="28"/>
      <c r="F282" s="28"/>
      <c r="G282" s="28"/>
      <c r="H282" s="28"/>
      <c r="I282" s="28"/>
      <c r="J282" s="28"/>
      <c r="K282" s="28"/>
      <c r="L282" s="28"/>
      <c r="M282" s="28"/>
    </row>
    <row r="283" spans="1:17" ht="17.399999999999999">
      <c r="A283" s="344" t="s">
        <v>236</v>
      </c>
      <c r="B283" s="345"/>
      <c r="C283" s="346">
        <f>ROUND((1/$C$286)*(C274),0)</f>
        <v>374</v>
      </c>
      <c r="D283" s="346">
        <f>ROUND((1/$C$286)*(D274),0)</f>
        <v>1997</v>
      </c>
      <c r="E283" s="346">
        <f t="shared" ref="E283:M283" si="63">ROUND((0.75/$C$286)*(E274),0)</f>
        <v>686</v>
      </c>
      <c r="F283" s="346">
        <f t="shared" si="63"/>
        <v>406</v>
      </c>
      <c r="G283" s="346">
        <f t="shared" si="63"/>
        <v>947</v>
      </c>
      <c r="H283" s="346">
        <f t="shared" si="63"/>
        <v>290</v>
      </c>
      <c r="I283" s="346">
        <f t="shared" si="63"/>
        <v>560</v>
      </c>
      <c r="J283" s="346">
        <f t="shared" si="63"/>
        <v>145</v>
      </c>
      <c r="K283" s="346">
        <f t="shared" si="63"/>
        <v>126</v>
      </c>
      <c r="L283" s="346">
        <f t="shared" si="63"/>
        <v>-377</v>
      </c>
      <c r="M283" s="346">
        <f t="shared" si="63"/>
        <v>-290</v>
      </c>
      <c r="N283" s="4"/>
      <c r="O283" s="4"/>
      <c r="P283" s="4"/>
      <c r="Q283" s="4"/>
    </row>
    <row r="284" spans="1:17" ht="17.399999999999999">
      <c r="A284" s="274" t="s">
        <v>237</v>
      </c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</row>
    <row r="285" spans="1:17" ht="17.399999999999999">
      <c r="A285" s="274" t="s">
        <v>238</v>
      </c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</row>
    <row r="286" spans="1:17" ht="17.399999999999999">
      <c r="A286" s="274" t="s">
        <v>239</v>
      </c>
      <c r="B286" s="28"/>
      <c r="C286" s="534">
        <f>M137</f>
        <v>-7.7616279069767438E-2</v>
      </c>
      <c r="D286" s="28"/>
      <c r="E286" s="28"/>
      <c r="F286" s="28"/>
      <c r="G286" s="28"/>
      <c r="H286" s="28"/>
      <c r="I286" s="28"/>
      <c r="J286" s="28"/>
      <c r="K286" s="28"/>
      <c r="L286" s="28"/>
      <c r="M286" s="28"/>
    </row>
    <row r="287" spans="1:17" ht="17.399999999999999">
      <c r="C287" s="1" t="s">
        <v>227</v>
      </c>
      <c r="D287" s="16"/>
      <c r="E287" s="16"/>
      <c r="F287" s="16"/>
      <c r="G287" s="16"/>
      <c r="I287" s="16"/>
      <c r="J287" s="16" t="str">
        <f>D252</f>
        <v>2026-27</v>
      </c>
    </row>
    <row r="288" spans="1:17" ht="17.399999999999999">
      <c r="C288" s="1" t="s">
        <v>240</v>
      </c>
      <c r="D288" s="16"/>
      <c r="E288" s="16"/>
      <c r="F288" s="16"/>
      <c r="G288" s="16"/>
      <c r="H288" s="16"/>
    </row>
    <row r="289" spans="1:26" ht="17.399999999999999">
      <c r="C289" s="16"/>
      <c r="D289" s="16" t="str">
        <f>$D$248</f>
        <v xml:space="preserve">    THREE YEAR AVERAGE PERCENTAGE OF SURVIVAL</v>
      </c>
      <c r="E289" s="16"/>
      <c r="F289" s="16"/>
      <c r="G289" s="16"/>
      <c r="H289" s="16"/>
    </row>
    <row r="291" spans="1:26" ht="17.399999999999999">
      <c r="A291" s="263" t="s">
        <v>24</v>
      </c>
      <c r="B291" s="814" t="s">
        <v>25</v>
      </c>
      <c r="C291" s="814"/>
      <c r="D291" s="814"/>
      <c r="E291" s="814"/>
      <c r="F291" s="814"/>
      <c r="G291" s="814"/>
      <c r="H291" s="814"/>
      <c r="I291" s="814"/>
      <c r="J291" s="814"/>
      <c r="K291" s="814" t="s">
        <v>63</v>
      </c>
      <c r="L291" s="814"/>
      <c r="M291" s="814"/>
      <c r="N291" s="814"/>
      <c r="O291" s="814" t="s">
        <v>242</v>
      </c>
      <c r="P291" s="814"/>
      <c r="Q291" s="814"/>
      <c r="R291" s="266"/>
      <c r="S291" s="310" t="s">
        <v>243</v>
      </c>
      <c r="T291" s="562"/>
    </row>
    <row r="292" spans="1:26" ht="17.399999999999999">
      <c r="A292" s="268"/>
      <c r="B292" s="548" t="s">
        <v>289</v>
      </c>
      <c r="C292" s="548" t="s">
        <v>357</v>
      </c>
      <c r="D292" s="548" t="s">
        <v>358</v>
      </c>
      <c r="E292" s="548" t="s">
        <v>359</v>
      </c>
      <c r="F292" s="548" t="s">
        <v>360</v>
      </c>
      <c r="G292" s="548" t="s">
        <v>370</v>
      </c>
      <c r="H292" s="548" t="s">
        <v>356</v>
      </c>
      <c r="I292" s="548" t="s">
        <v>361</v>
      </c>
      <c r="J292" s="548" t="s">
        <v>406</v>
      </c>
      <c r="K292" s="548" t="s">
        <v>363</v>
      </c>
      <c r="L292" s="550" t="s">
        <v>36</v>
      </c>
      <c r="M292" s="550" t="s">
        <v>86</v>
      </c>
      <c r="N292" s="550" t="s">
        <v>99</v>
      </c>
      <c r="O292" s="270" t="s">
        <v>346</v>
      </c>
      <c r="P292" s="270" t="s">
        <v>90</v>
      </c>
      <c r="Q292" s="270" t="s">
        <v>103</v>
      </c>
      <c r="R292" s="269" t="s">
        <v>343</v>
      </c>
      <c r="S292" s="306"/>
      <c r="T292" s="563"/>
    </row>
    <row r="293" spans="1:26" ht="17.399999999999999">
      <c r="A293" s="28"/>
      <c r="B293" s="345"/>
      <c r="C293" s="345"/>
      <c r="D293" s="345"/>
      <c r="E293" s="345"/>
      <c r="F293" s="345"/>
      <c r="G293" s="345"/>
      <c r="H293" s="345"/>
      <c r="I293" s="345"/>
      <c r="J293" s="345"/>
      <c r="K293" s="345"/>
      <c r="L293" s="666"/>
      <c r="M293" s="666"/>
      <c r="N293" s="666"/>
      <c r="O293" s="28"/>
      <c r="P293" s="28"/>
      <c r="Q293" s="28"/>
      <c r="R293" s="28"/>
      <c r="S293" s="28"/>
      <c r="T293" s="28"/>
    </row>
    <row r="294" spans="1:26" ht="17.399999999999999">
      <c r="A294" s="538" t="s">
        <v>391</v>
      </c>
      <c r="B294" s="345">
        <f t="shared" ref="B294:J294" si="64">ROUND(B25/(SUM($B$25:$J$25))*($S$294),0)</f>
        <v>99</v>
      </c>
      <c r="C294" s="345">
        <f t="shared" si="64"/>
        <v>72</v>
      </c>
      <c r="D294" s="345">
        <f t="shared" si="64"/>
        <v>86</v>
      </c>
      <c r="E294" s="345">
        <f t="shared" si="64"/>
        <v>84</v>
      </c>
      <c r="F294" s="345">
        <f t="shared" si="64"/>
        <v>98</v>
      </c>
      <c r="G294" s="345">
        <f t="shared" si="64"/>
        <v>88</v>
      </c>
      <c r="H294" s="345">
        <f t="shared" si="64"/>
        <v>96</v>
      </c>
      <c r="I294" s="345">
        <f t="shared" si="64"/>
        <v>71</v>
      </c>
      <c r="J294" s="345">
        <f t="shared" si="64"/>
        <v>95</v>
      </c>
      <c r="K294" s="345"/>
      <c r="L294" s="666"/>
      <c r="M294" s="666"/>
      <c r="N294" s="666"/>
      <c r="O294" s="28"/>
      <c r="P294" s="28"/>
      <c r="Q294" s="28"/>
      <c r="R294" s="28"/>
      <c r="S294" s="28">
        <f t="shared" ref="S294:S307" si="65">D256</f>
        <v>790</v>
      </c>
      <c r="T294" s="28"/>
    </row>
    <row r="295" spans="1:26" ht="22.8">
      <c r="A295" s="538">
        <v>1</v>
      </c>
      <c r="B295" s="345">
        <f t="shared" ref="B295:I299" si="66">ROUND((B10/$S10)*($S295),0)</f>
        <v>85</v>
      </c>
      <c r="C295" s="345">
        <f t="shared" si="66"/>
        <v>63</v>
      </c>
      <c r="D295" s="345">
        <f t="shared" si="66"/>
        <v>87</v>
      </c>
      <c r="E295" s="345">
        <f t="shared" si="66"/>
        <v>70</v>
      </c>
      <c r="F295" s="345">
        <f t="shared" si="66"/>
        <v>90</v>
      </c>
      <c r="G295" s="345">
        <f t="shared" si="66"/>
        <v>80</v>
      </c>
      <c r="H295" s="345">
        <f t="shared" si="66"/>
        <v>80</v>
      </c>
      <c r="I295" s="345">
        <f t="shared" si="66"/>
        <v>74</v>
      </c>
      <c r="J295" s="345">
        <f>$S295-(SUM(B295:I295))</f>
        <v>106</v>
      </c>
      <c r="K295" s="345"/>
      <c r="L295" s="666"/>
      <c r="M295" s="666"/>
      <c r="N295" s="666"/>
      <c r="O295" s="28"/>
      <c r="P295" s="28"/>
      <c r="Q295" s="28"/>
      <c r="R295" s="28"/>
      <c r="S295" s="28">
        <f t="shared" si="65"/>
        <v>735</v>
      </c>
      <c r="T295" s="28"/>
      <c r="U295" s="336"/>
      <c r="V295" s="348"/>
      <c r="W295" s="348"/>
      <c r="X295" s="348"/>
      <c r="Y295" s="348"/>
      <c r="Z295" s="348"/>
    </row>
    <row r="296" spans="1:26" ht="22.8">
      <c r="A296" s="538">
        <v>2</v>
      </c>
      <c r="B296" s="345">
        <f t="shared" si="66"/>
        <v>86</v>
      </c>
      <c r="C296" s="345">
        <f t="shared" si="66"/>
        <v>71</v>
      </c>
      <c r="D296" s="345">
        <f t="shared" si="66"/>
        <v>89</v>
      </c>
      <c r="E296" s="345">
        <f t="shared" si="66"/>
        <v>77</v>
      </c>
      <c r="F296" s="345">
        <f t="shared" si="66"/>
        <v>88</v>
      </c>
      <c r="G296" s="345">
        <f t="shared" si="66"/>
        <v>90</v>
      </c>
      <c r="H296" s="345">
        <f t="shared" si="66"/>
        <v>92</v>
      </c>
      <c r="I296" s="345">
        <f t="shared" si="66"/>
        <v>74</v>
      </c>
      <c r="J296" s="345">
        <f>$S296-(SUM(B296:I296))</f>
        <v>87</v>
      </c>
      <c r="K296" s="345"/>
      <c r="L296" s="666"/>
      <c r="M296" s="666"/>
      <c r="N296" s="666"/>
      <c r="O296" s="28"/>
      <c r="P296" s="28"/>
      <c r="Q296" s="28"/>
      <c r="R296" s="28"/>
      <c r="S296" s="28">
        <f t="shared" si="65"/>
        <v>754</v>
      </c>
      <c r="T296" s="28"/>
      <c r="U296" s="336"/>
      <c r="V296" s="348"/>
      <c r="W296" s="348"/>
      <c r="X296" s="348"/>
      <c r="Y296" s="348"/>
      <c r="Z296" s="348"/>
    </row>
    <row r="297" spans="1:26" ht="22.8">
      <c r="A297" s="538">
        <v>3</v>
      </c>
      <c r="B297" s="345">
        <f t="shared" si="66"/>
        <v>104</v>
      </c>
      <c r="C297" s="345">
        <f t="shared" si="66"/>
        <v>73</v>
      </c>
      <c r="D297" s="345">
        <f t="shared" si="66"/>
        <v>96</v>
      </c>
      <c r="E297" s="345">
        <f t="shared" si="66"/>
        <v>94</v>
      </c>
      <c r="F297" s="345">
        <f t="shared" si="66"/>
        <v>104</v>
      </c>
      <c r="G297" s="345">
        <f t="shared" si="66"/>
        <v>81</v>
      </c>
      <c r="H297" s="345">
        <f t="shared" si="66"/>
        <v>98</v>
      </c>
      <c r="I297" s="345">
        <f t="shared" si="66"/>
        <v>69</v>
      </c>
      <c r="J297" s="345">
        <f>$S297-(SUM(B297:I297))</f>
        <v>99</v>
      </c>
      <c r="K297" s="345"/>
      <c r="L297" s="666"/>
      <c r="M297" s="666"/>
      <c r="N297" s="666"/>
      <c r="O297" s="28"/>
      <c r="P297" s="28"/>
      <c r="Q297" s="28"/>
      <c r="R297" s="28"/>
      <c r="S297" s="28">
        <f t="shared" si="65"/>
        <v>818</v>
      </c>
      <c r="T297" s="28"/>
      <c r="U297" s="336"/>
      <c r="V297" s="348"/>
      <c r="W297" s="348"/>
      <c r="X297" s="348"/>
      <c r="Y297" s="348"/>
      <c r="Z297" s="348"/>
    </row>
    <row r="298" spans="1:26" ht="22.8">
      <c r="A298" s="28" t="s">
        <v>41</v>
      </c>
      <c r="B298" s="345">
        <f t="shared" si="66"/>
        <v>102</v>
      </c>
      <c r="C298" s="345">
        <f t="shared" si="66"/>
        <v>83</v>
      </c>
      <c r="D298" s="345">
        <f t="shared" si="66"/>
        <v>98</v>
      </c>
      <c r="E298" s="345">
        <f t="shared" si="66"/>
        <v>86</v>
      </c>
      <c r="F298" s="345">
        <f t="shared" si="66"/>
        <v>112</v>
      </c>
      <c r="G298" s="345">
        <f t="shared" si="66"/>
        <v>105</v>
      </c>
      <c r="H298" s="345">
        <f t="shared" si="66"/>
        <v>123</v>
      </c>
      <c r="I298" s="345">
        <f t="shared" si="66"/>
        <v>79</v>
      </c>
      <c r="J298" s="345">
        <f>$S298-(SUM(B298:I298))</f>
        <v>112</v>
      </c>
      <c r="K298" s="345"/>
      <c r="L298" s="666"/>
      <c r="M298" s="666"/>
      <c r="N298" s="666"/>
      <c r="O298" s="28"/>
      <c r="P298" s="28"/>
      <c r="Q298" s="28"/>
      <c r="R298" s="28"/>
      <c r="S298" s="28">
        <f t="shared" si="65"/>
        <v>900</v>
      </c>
      <c r="T298" s="28"/>
      <c r="U298" s="336"/>
      <c r="V298" s="348"/>
      <c r="W298" s="348"/>
      <c r="X298" s="348"/>
      <c r="Y298" s="348"/>
      <c r="Z298" s="348"/>
    </row>
    <row r="299" spans="1:26" ht="22.8">
      <c r="A299" s="28" t="s">
        <v>42</v>
      </c>
      <c r="B299" s="345">
        <f t="shared" si="66"/>
        <v>134</v>
      </c>
      <c r="C299" s="345">
        <f t="shared" si="66"/>
        <v>80</v>
      </c>
      <c r="D299" s="345">
        <f t="shared" si="66"/>
        <v>81</v>
      </c>
      <c r="E299" s="345">
        <f t="shared" si="66"/>
        <v>106</v>
      </c>
      <c r="F299" s="667">
        <f t="shared" si="66"/>
        <v>108</v>
      </c>
      <c r="G299" s="667">
        <f t="shared" si="66"/>
        <v>90</v>
      </c>
      <c r="H299" s="345">
        <f t="shared" si="66"/>
        <v>98</v>
      </c>
      <c r="I299" s="345">
        <f t="shared" si="66"/>
        <v>95</v>
      </c>
      <c r="J299" s="345">
        <f>$S299-(SUM(B299:I299))</f>
        <v>95</v>
      </c>
      <c r="K299" s="345"/>
      <c r="L299" s="666"/>
      <c r="M299" s="666"/>
      <c r="N299" s="61"/>
      <c r="O299" s="28"/>
      <c r="P299" s="28"/>
      <c r="Q299" s="28"/>
      <c r="R299" s="28"/>
      <c r="S299" s="28">
        <f t="shared" si="65"/>
        <v>887</v>
      </c>
      <c r="T299" s="28"/>
      <c r="U299" s="336"/>
      <c r="V299" s="348"/>
      <c r="W299" s="348"/>
      <c r="X299" s="348"/>
      <c r="Y299" s="348"/>
      <c r="Z299" s="348"/>
    </row>
    <row r="300" spans="1:26" ht="22.8">
      <c r="A300" s="28" t="s">
        <v>43</v>
      </c>
      <c r="B300" s="344"/>
      <c r="C300" s="345"/>
      <c r="D300" s="345"/>
      <c r="E300" s="345"/>
      <c r="F300" s="345"/>
      <c r="G300" s="345"/>
      <c r="H300" s="345"/>
      <c r="I300" s="345"/>
      <c r="J300" s="345"/>
      <c r="K300" s="666">
        <f>ROUND(((ENRHIST!B1013)/$S15)*($S300),0)</f>
        <v>210</v>
      </c>
      <c r="L300" s="666">
        <f>ROUND(((ENRHIST!C1013)/$S15)*($S300),0)</f>
        <v>260</v>
      </c>
      <c r="M300" s="666">
        <f>ROUND(((ENRHIST!D1013)/$S15)*($S300),0)</f>
        <v>256</v>
      </c>
      <c r="N300" s="666">
        <f>ROUND(((ENRHIST!E1013)/$S15)*($S300),0)</f>
        <v>238</v>
      </c>
      <c r="O300" s="28"/>
      <c r="P300" s="28"/>
      <c r="Q300" s="28"/>
      <c r="R300" s="272">
        <f>S300-K300-L300-M300-N300</f>
        <v>1</v>
      </c>
      <c r="S300" s="28">
        <f t="shared" si="65"/>
        <v>965</v>
      </c>
      <c r="T300" s="28"/>
      <c r="V300" s="348"/>
      <c r="W300" s="348"/>
      <c r="X300" s="348"/>
      <c r="Y300" s="348"/>
      <c r="Z300" s="348"/>
    </row>
    <row r="301" spans="1:26" ht="17.399999999999999">
      <c r="A301" s="28" t="s">
        <v>44</v>
      </c>
      <c r="B301" s="344"/>
      <c r="C301" s="345"/>
      <c r="D301" s="345"/>
      <c r="E301" s="345"/>
      <c r="F301" s="345"/>
      <c r="G301" s="345"/>
      <c r="H301" s="345"/>
      <c r="I301" s="345"/>
      <c r="J301" s="345"/>
      <c r="K301" s="666">
        <f t="shared" ref="K301:N302" si="67">ROUND((K16/$S16)*($S301),0)</f>
        <v>178</v>
      </c>
      <c r="L301" s="666">
        <f t="shared" si="67"/>
        <v>249</v>
      </c>
      <c r="M301" s="666">
        <f t="shared" si="67"/>
        <v>235</v>
      </c>
      <c r="N301" s="666">
        <f t="shared" si="67"/>
        <v>301</v>
      </c>
      <c r="O301" s="28"/>
      <c r="P301" s="28"/>
      <c r="Q301" s="28"/>
      <c r="R301" s="272">
        <f t="shared" ref="R301:R302" si="68">S301-K301-L301-M301-N301</f>
        <v>1</v>
      </c>
      <c r="S301" s="28">
        <f t="shared" si="65"/>
        <v>964</v>
      </c>
      <c r="T301" s="28"/>
    </row>
    <row r="302" spans="1:26" ht="17.399999999999999">
      <c r="A302" s="28" t="s">
        <v>45</v>
      </c>
      <c r="B302" s="344"/>
      <c r="C302" s="345"/>
      <c r="D302" s="345"/>
      <c r="E302" s="345"/>
      <c r="F302" s="345"/>
      <c r="G302" s="345"/>
      <c r="H302" s="345"/>
      <c r="I302" s="345"/>
      <c r="J302" s="345"/>
      <c r="K302" s="666">
        <f t="shared" si="67"/>
        <v>193</v>
      </c>
      <c r="L302" s="666">
        <f t="shared" si="67"/>
        <v>236</v>
      </c>
      <c r="M302" s="666">
        <f t="shared" si="67"/>
        <v>268</v>
      </c>
      <c r="N302" s="666">
        <f t="shared" si="67"/>
        <v>295</v>
      </c>
      <c r="O302" s="28"/>
      <c r="P302" s="28"/>
      <c r="Q302" s="28"/>
      <c r="R302" s="272">
        <f t="shared" si="68"/>
        <v>1</v>
      </c>
      <c r="S302" s="28">
        <f t="shared" si="65"/>
        <v>993</v>
      </c>
      <c r="T302" s="28"/>
    </row>
    <row r="303" spans="1:26" ht="17.399999999999999">
      <c r="A303" s="28" t="s">
        <v>46</v>
      </c>
      <c r="B303" s="344"/>
      <c r="C303" s="345"/>
      <c r="D303" s="345"/>
      <c r="E303" s="345"/>
      <c r="F303" s="345"/>
      <c r="G303" s="345"/>
      <c r="H303" s="345"/>
      <c r="I303" s="345"/>
      <c r="J303" s="345"/>
      <c r="K303" s="345"/>
      <c r="L303" s="666"/>
      <c r="M303" s="666"/>
      <c r="N303" s="666"/>
      <c r="O303" s="272">
        <f>ROUND(ENRHIST!B1176/$S18*($S303),0)</f>
        <v>251</v>
      </c>
      <c r="P303" s="272">
        <f>ROUND(ENRHIST!C1176/$S18*($S303),0)</f>
        <v>398</v>
      </c>
      <c r="Q303" s="272">
        <f>ROUND(ENRHIST!D1176/$S18*($S303),0)</f>
        <v>302</v>
      </c>
      <c r="R303" s="272">
        <f>S303-O303-P303-Q303</f>
        <v>14</v>
      </c>
      <c r="S303" s="28">
        <f t="shared" si="65"/>
        <v>965</v>
      </c>
      <c r="T303" s="28"/>
      <c r="U303" s="272"/>
    </row>
    <row r="304" spans="1:26" ht="17.399999999999999">
      <c r="A304" s="28" t="s">
        <v>47</v>
      </c>
      <c r="B304" s="344"/>
      <c r="C304" s="345"/>
      <c r="D304" s="345"/>
      <c r="E304" s="345"/>
      <c r="F304" s="345"/>
      <c r="G304" s="345"/>
      <c r="H304" s="345"/>
      <c r="I304" s="345"/>
      <c r="J304" s="345"/>
      <c r="K304" s="345"/>
      <c r="L304" s="666"/>
      <c r="M304" s="666"/>
      <c r="N304" s="666"/>
      <c r="O304" s="272">
        <f>ROUND((O19/$S19)*($S304),0)</f>
        <v>230</v>
      </c>
      <c r="P304" s="272">
        <f t="shared" ref="P304:Q304" si="69">ROUND((P19/$S19)*($S304),0)</f>
        <v>396</v>
      </c>
      <c r="Q304" s="272">
        <f t="shared" si="69"/>
        <v>356</v>
      </c>
      <c r="R304" s="272">
        <f>S304-O304-P304-Q304</f>
        <v>14</v>
      </c>
      <c r="S304" s="28">
        <f t="shared" si="65"/>
        <v>996</v>
      </c>
      <c r="T304" s="28"/>
      <c r="U304" s="272"/>
    </row>
    <row r="305" spans="1:23" ht="17.399999999999999">
      <c r="A305" s="28" t="s">
        <v>48</v>
      </c>
      <c r="B305" s="344"/>
      <c r="C305" s="345"/>
      <c r="D305" s="345"/>
      <c r="E305" s="345"/>
      <c r="F305" s="345"/>
      <c r="G305" s="345"/>
      <c r="H305" s="345"/>
      <c r="I305" s="345"/>
      <c r="J305" s="345"/>
      <c r="K305" s="345"/>
      <c r="L305" s="666"/>
      <c r="M305" s="666"/>
      <c r="N305" s="666"/>
      <c r="O305" s="272">
        <f>ROUND((O20/$S20)*($S305),0)</f>
        <v>230</v>
      </c>
      <c r="P305" s="272">
        <f t="shared" ref="P305:Q305" si="70">ROUND((P20/$S20)*($S305),0)</f>
        <v>344</v>
      </c>
      <c r="Q305" s="272">
        <f t="shared" si="70"/>
        <v>348</v>
      </c>
      <c r="R305" s="272">
        <f>S305-O305-P305-Q305</f>
        <v>14</v>
      </c>
      <c r="S305" s="28">
        <f t="shared" si="65"/>
        <v>936</v>
      </c>
      <c r="T305" s="28"/>
      <c r="U305" s="272"/>
    </row>
    <row r="306" spans="1:23" ht="17.399999999999999">
      <c r="A306" s="28" t="s">
        <v>49</v>
      </c>
      <c r="B306" s="344"/>
      <c r="C306" s="345"/>
      <c r="D306" s="345"/>
      <c r="E306" s="345"/>
      <c r="F306" s="345"/>
      <c r="G306" s="345"/>
      <c r="H306" s="345"/>
      <c r="I306" s="345"/>
      <c r="J306" s="345"/>
      <c r="K306" s="345"/>
      <c r="L306" s="666"/>
      <c r="M306" s="666"/>
      <c r="N306" s="666"/>
      <c r="O306" s="272">
        <f>ROUND((O21/$S21)*($S306),0)</f>
        <v>237</v>
      </c>
      <c r="P306" s="272">
        <f t="shared" ref="P306:Q306" si="71">ROUND((P21/$S21)*($S306),0)</f>
        <v>380</v>
      </c>
      <c r="Q306" s="272">
        <f t="shared" si="71"/>
        <v>273</v>
      </c>
      <c r="R306" s="272">
        <f>S306-O306-P306-Q306</f>
        <v>12</v>
      </c>
      <c r="S306" s="28">
        <f t="shared" si="65"/>
        <v>902</v>
      </c>
      <c r="T306" s="28"/>
      <c r="U306" s="272"/>
    </row>
    <row r="307" spans="1:23" ht="17.399999999999999">
      <c r="A307" s="28" t="s">
        <v>50</v>
      </c>
      <c r="B307" s="345">
        <f t="shared" ref="B307:Q307" si="72">ROUND((B23/$S$23)*$S$307,0)</f>
        <v>0</v>
      </c>
      <c r="C307" s="345">
        <f t="shared" si="72"/>
        <v>0</v>
      </c>
      <c r="D307" s="345">
        <f t="shared" si="72"/>
        <v>0</v>
      </c>
      <c r="E307" s="345">
        <f t="shared" si="72"/>
        <v>0</v>
      </c>
      <c r="F307" s="345">
        <f t="shared" si="72"/>
        <v>0</v>
      </c>
      <c r="G307" s="345">
        <f t="shared" si="72"/>
        <v>0</v>
      </c>
      <c r="H307" s="345">
        <f t="shared" si="72"/>
        <v>0</v>
      </c>
      <c r="I307" s="345">
        <f t="shared" si="72"/>
        <v>0</v>
      </c>
      <c r="J307" s="345">
        <f t="shared" si="72"/>
        <v>0</v>
      </c>
      <c r="K307" s="345">
        <f t="shared" si="72"/>
        <v>0</v>
      </c>
      <c r="L307" s="666">
        <f t="shared" si="72"/>
        <v>0</v>
      </c>
      <c r="M307" s="666">
        <f t="shared" si="72"/>
        <v>0</v>
      </c>
      <c r="N307" s="666">
        <f t="shared" si="72"/>
        <v>0</v>
      </c>
      <c r="O307" s="272">
        <f t="shared" si="72"/>
        <v>6</v>
      </c>
      <c r="P307" s="272">
        <f t="shared" si="72"/>
        <v>9</v>
      </c>
      <c r="Q307" s="272">
        <f t="shared" si="72"/>
        <v>7</v>
      </c>
      <c r="R307" s="272"/>
      <c r="S307" s="28">
        <f t="shared" si="65"/>
        <v>22</v>
      </c>
      <c r="T307" s="28"/>
    </row>
    <row r="308" spans="1:23" ht="17.399999999999999">
      <c r="A308" s="312"/>
      <c r="B308" s="557"/>
      <c r="C308" s="557"/>
      <c r="D308" s="557"/>
      <c r="E308" s="557"/>
      <c r="F308" s="557"/>
      <c r="G308" s="557"/>
      <c r="H308" s="557"/>
      <c r="I308" s="557"/>
      <c r="J308" s="557"/>
      <c r="K308" s="557"/>
      <c r="L308" s="544"/>
      <c r="M308" s="544"/>
      <c r="N308" s="557"/>
      <c r="O308" s="265"/>
      <c r="P308" s="265"/>
      <c r="Q308" s="265"/>
      <c r="R308" s="265"/>
      <c r="S308" s="301"/>
      <c r="T308" s="563"/>
    </row>
    <row r="309" spans="1:23" ht="17.399999999999999">
      <c r="A309" s="292" t="s">
        <v>51</v>
      </c>
      <c r="B309" s="560">
        <f t="shared" ref="B309:P309" si="73">SUM(B294:B307)</f>
        <v>610</v>
      </c>
      <c r="C309" s="560">
        <f t="shared" si="73"/>
        <v>442</v>
      </c>
      <c r="D309" s="560">
        <f t="shared" si="73"/>
        <v>537</v>
      </c>
      <c r="E309" s="560">
        <f t="shared" si="73"/>
        <v>517</v>
      </c>
      <c r="F309" s="560">
        <f t="shared" si="73"/>
        <v>600</v>
      </c>
      <c r="G309" s="560">
        <f t="shared" si="73"/>
        <v>534</v>
      </c>
      <c r="H309" s="560">
        <f t="shared" si="73"/>
        <v>587</v>
      </c>
      <c r="I309" s="560">
        <f t="shared" si="73"/>
        <v>462</v>
      </c>
      <c r="J309" s="560">
        <f t="shared" si="73"/>
        <v>594</v>
      </c>
      <c r="K309" s="560">
        <f t="shared" si="73"/>
        <v>581</v>
      </c>
      <c r="L309" s="560">
        <f t="shared" si="73"/>
        <v>745</v>
      </c>
      <c r="M309" s="560">
        <f t="shared" si="73"/>
        <v>759</v>
      </c>
      <c r="N309" s="560">
        <f t="shared" si="73"/>
        <v>834</v>
      </c>
      <c r="O309" s="313">
        <f t="shared" si="73"/>
        <v>954</v>
      </c>
      <c r="P309" s="313">
        <f t="shared" si="73"/>
        <v>1527</v>
      </c>
      <c r="Q309" s="313">
        <f>SUM(Q294:Q307)</f>
        <v>1286</v>
      </c>
      <c r="R309" s="295">
        <f>SUM(R294:R307)</f>
        <v>57</v>
      </c>
      <c r="S309" s="314">
        <f>D272</f>
        <v>11627</v>
      </c>
      <c r="T309" s="564"/>
      <c r="U309" s="347"/>
      <c r="V309" s="347"/>
      <c r="W309" s="347"/>
    </row>
    <row r="310" spans="1:23" ht="17.399999999999999">
      <c r="A310" s="28"/>
      <c r="B310" s="345"/>
      <c r="C310" s="345"/>
      <c r="D310" s="345"/>
      <c r="E310" s="345"/>
      <c r="F310" s="345"/>
      <c r="G310" s="345"/>
      <c r="H310" s="345"/>
      <c r="I310" s="345"/>
      <c r="J310" s="345"/>
      <c r="K310" s="345"/>
      <c r="L310" s="666"/>
      <c r="M310" s="345"/>
      <c r="N310" s="666"/>
      <c r="O310" s="28"/>
      <c r="P310" s="28"/>
      <c r="Q310" s="28"/>
      <c r="R310" s="28"/>
      <c r="S310" s="283"/>
      <c r="T310" s="283"/>
    </row>
    <row r="311" spans="1:23" ht="17.399999999999999">
      <c r="A311" s="274" t="s">
        <v>115</v>
      </c>
      <c r="B311" s="346">
        <f t="shared" ref="B311:J311" si="74">B33</f>
        <v>625</v>
      </c>
      <c r="C311" s="346">
        <f t="shared" si="74"/>
        <v>575</v>
      </c>
      <c r="D311" s="346">
        <f t="shared" si="74"/>
        <v>600</v>
      </c>
      <c r="E311" s="346">
        <f t="shared" si="74"/>
        <v>725</v>
      </c>
      <c r="F311" s="346">
        <f t="shared" si="74"/>
        <v>725</v>
      </c>
      <c r="G311" s="346">
        <f t="shared" si="74"/>
        <v>625</v>
      </c>
      <c r="H311" s="346">
        <f t="shared" si="74"/>
        <v>700</v>
      </c>
      <c r="I311" s="346">
        <f t="shared" si="74"/>
        <v>593</v>
      </c>
      <c r="J311" s="346">
        <f t="shared" si="74"/>
        <v>750</v>
      </c>
      <c r="K311" s="346">
        <f>K33</f>
        <v>667</v>
      </c>
      <c r="L311" s="346">
        <f>L33</f>
        <v>864</v>
      </c>
      <c r="M311" s="346">
        <f>M33</f>
        <v>779</v>
      </c>
      <c r="N311" s="346">
        <f>N33</f>
        <v>756</v>
      </c>
      <c r="O311" s="283">
        <v>1250</v>
      </c>
      <c r="P311" s="283">
        <v>1500</v>
      </c>
      <c r="Q311" s="283">
        <f>Q33</f>
        <v>1019</v>
      </c>
      <c r="R311" s="283">
        <v>100</v>
      </c>
      <c r="S311" s="283">
        <f>SUM(B311:R311)</f>
        <v>12853</v>
      </c>
      <c r="T311" s="283"/>
    </row>
    <row r="312" spans="1:23" ht="17.399999999999999">
      <c r="A312" s="28"/>
      <c r="B312" s="345"/>
      <c r="C312" s="345"/>
      <c r="D312" s="345"/>
      <c r="E312" s="345"/>
      <c r="F312" s="345"/>
      <c r="G312" s="345"/>
      <c r="H312" s="345"/>
      <c r="I312" s="345"/>
      <c r="J312" s="666"/>
      <c r="K312" s="345"/>
      <c r="L312" s="666"/>
      <c r="M312" s="345"/>
      <c r="N312" s="666"/>
      <c r="O312" s="28"/>
      <c r="P312" s="28"/>
      <c r="Q312" s="28"/>
      <c r="R312" s="28"/>
      <c r="S312" s="28"/>
      <c r="T312" s="28"/>
    </row>
    <row r="313" spans="1:23" ht="17.399999999999999">
      <c r="A313" s="274" t="s">
        <v>244</v>
      </c>
      <c r="B313" s="668">
        <f t="shared" ref="B313:S313" si="75">B309/B311</f>
        <v>0.97599999999999998</v>
      </c>
      <c r="C313" s="668">
        <f t="shared" si="75"/>
        <v>0.768695652173913</v>
      </c>
      <c r="D313" s="668">
        <f t="shared" si="75"/>
        <v>0.89500000000000002</v>
      </c>
      <c r="E313" s="668">
        <f t="shared" si="75"/>
        <v>0.71310344827586203</v>
      </c>
      <c r="F313" s="668">
        <f t="shared" si="75"/>
        <v>0.82758620689655171</v>
      </c>
      <c r="G313" s="668">
        <f t="shared" si="75"/>
        <v>0.85440000000000005</v>
      </c>
      <c r="H313" s="668">
        <f t="shared" si="75"/>
        <v>0.83857142857142852</v>
      </c>
      <c r="I313" s="668">
        <f t="shared" si="75"/>
        <v>0.77908937605396289</v>
      </c>
      <c r="J313" s="668">
        <f t="shared" si="75"/>
        <v>0.79200000000000004</v>
      </c>
      <c r="K313" s="668">
        <f t="shared" si="75"/>
        <v>0.8710644677661169</v>
      </c>
      <c r="L313" s="668">
        <f t="shared" si="75"/>
        <v>0.86226851851851849</v>
      </c>
      <c r="M313" s="669">
        <f t="shared" si="75"/>
        <v>0.9743260590500642</v>
      </c>
      <c r="N313" s="669">
        <f t="shared" si="75"/>
        <v>1.1031746031746033</v>
      </c>
      <c r="O313" s="291">
        <f t="shared" si="75"/>
        <v>0.76319999999999999</v>
      </c>
      <c r="P313" s="291">
        <f t="shared" si="75"/>
        <v>1.018</v>
      </c>
      <c r="Q313" s="291">
        <f t="shared" si="75"/>
        <v>1.2620215897939155</v>
      </c>
      <c r="R313" s="291">
        <f t="shared" si="75"/>
        <v>0.56999999999999995</v>
      </c>
      <c r="S313" s="291">
        <f t="shared" si="75"/>
        <v>0.9046137088617443</v>
      </c>
      <c r="T313" s="291"/>
    </row>
    <row r="314" spans="1:23" ht="17.399999999999999">
      <c r="A314" s="28"/>
      <c r="B314" s="345"/>
      <c r="C314" s="345"/>
      <c r="D314" s="345"/>
      <c r="E314" s="345"/>
      <c r="F314" s="345"/>
      <c r="G314" s="345"/>
      <c r="H314" s="345"/>
      <c r="I314" s="345"/>
      <c r="J314" s="345"/>
      <c r="K314" s="345"/>
      <c r="L314" s="345"/>
      <c r="M314" s="345"/>
      <c r="N314" s="666"/>
      <c r="O314" s="28"/>
      <c r="P314" s="28"/>
      <c r="Q314" s="28"/>
      <c r="R314" s="28"/>
      <c r="S314" s="28"/>
      <c r="T314" s="28"/>
    </row>
    <row r="315" spans="1:23" ht="17.399999999999999">
      <c r="A315" s="290"/>
      <c r="B315" s="668"/>
      <c r="C315" s="668"/>
      <c r="D315" s="668"/>
      <c r="E315" s="668"/>
      <c r="F315" s="668"/>
      <c r="G315" s="668"/>
      <c r="H315" s="668"/>
      <c r="I315" s="668"/>
      <c r="J315" s="668"/>
      <c r="K315" s="668"/>
      <c r="L315" s="669"/>
      <c r="M315" s="669"/>
      <c r="N315" s="669"/>
      <c r="O315" s="291"/>
      <c r="P315" s="291"/>
      <c r="Q315" s="291"/>
      <c r="R315" s="291"/>
      <c r="S315" s="291"/>
      <c r="T315" s="291"/>
    </row>
    <row r="316" spans="1:23" ht="17.399999999999999">
      <c r="A316" s="28"/>
      <c r="B316" s="345"/>
      <c r="C316" s="345"/>
      <c r="D316" s="345"/>
      <c r="E316" s="345"/>
      <c r="F316" s="345"/>
      <c r="G316" s="345"/>
      <c r="H316" s="345"/>
      <c r="I316" s="345"/>
      <c r="J316" s="345"/>
      <c r="K316" s="345"/>
      <c r="L316" s="345"/>
      <c r="M316" s="345"/>
      <c r="N316" s="666"/>
      <c r="O316" s="28"/>
      <c r="P316" s="28"/>
      <c r="Q316" s="28"/>
      <c r="R316" s="28"/>
    </row>
    <row r="317" spans="1:23" ht="17.399999999999999">
      <c r="B317" s="61"/>
      <c r="C317" s="121" t="s">
        <v>227</v>
      </c>
      <c r="D317" s="67"/>
      <c r="E317" s="67"/>
      <c r="F317" s="67"/>
      <c r="G317" s="67"/>
      <c r="H317" s="67"/>
      <c r="I317" s="61"/>
      <c r="J317" s="61"/>
      <c r="K317" s="61"/>
      <c r="L317" s="67"/>
      <c r="M317" s="67" t="str">
        <f>E252</f>
        <v>2027-28</v>
      </c>
      <c r="N317" s="67"/>
    </row>
    <row r="318" spans="1:23" ht="17.399999999999999">
      <c r="B318" s="61"/>
      <c r="C318" s="121" t="s">
        <v>240</v>
      </c>
      <c r="D318" s="67"/>
      <c r="E318" s="67"/>
      <c r="F318" s="67"/>
      <c r="G318" s="67"/>
      <c r="H318" s="67"/>
      <c r="I318" s="67"/>
      <c r="J318" s="67"/>
      <c r="K318" s="67"/>
      <c r="L318" s="61"/>
      <c r="M318" s="61"/>
      <c r="N318" s="61"/>
    </row>
    <row r="319" spans="1:23" ht="17.399999999999999">
      <c r="B319" s="61"/>
      <c r="C319" s="67"/>
      <c r="D319" s="67" t="str">
        <f>$D$248</f>
        <v xml:space="preserve">    THREE YEAR AVERAGE PERCENTAGE OF SURVIVAL</v>
      </c>
      <c r="E319" s="67"/>
      <c r="F319" s="67"/>
      <c r="G319" s="67"/>
      <c r="H319" s="67"/>
      <c r="I319" s="67"/>
      <c r="J319" s="67"/>
      <c r="K319" s="67"/>
      <c r="L319" s="61"/>
      <c r="M319" s="61"/>
      <c r="N319" s="61"/>
    </row>
    <row r="320" spans="1:23"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</row>
    <row r="321" spans="1:25" ht="17.399999999999999">
      <c r="A321" s="263" t="s">
        <v>24</v>
      </c>
      <c r="B321" s="813" t="s">
        <v>25</v>
      </c>
      <c r="C321" s="813"/>
      <c r="D321" s="813"/>
      <c r="E321" s="813"/>
      <c r="F321" s="813"/>
      <c r="G321" s="813"/>
      <c r="H321" s="813"/>
      <c r="I321" s="813"/>
      <c r="J321" s="813"/>
      <c r="K321" s="813" t="s">
        <v>63</v>
      </c>
      <c r="L321" s="813"/>
      <c r="M321" s="813"/>
      <c r="N321" s="813"/>
      <c r="O321" s="814" t="s">
        <v>242</v>
      </c>
      <c r="P321" s="814"/>
      <c r="Q321" s="814"/>
      <c r="R321" s="300"/>
      <c r="S321" s="310" t="s">
        <v>243</v>
      </c>
      <c r="T321" s="562"/>
    </row>
    <row r="322" spans="1:25" ht="17.399999999999999">
      <c r="A322" s="268"/>
      <c r="B322" s="548" t="s">
        <v>289</v>
      </c>
      <c r="C322" s="548" t="s">
        <v>357</v>
      </c>
      <c r="D322" s="548" t="s">
        <v>358</v>
      </c>
      <c r="E322" s="548" t="s">
        <v>359</v>
      </c>
      <c r="F322" s="548" t="s">
        <v>360</v>
      </c>
      <c r="G322" s="548" t="s">
        <v>370</v>
      </c>
      <c r="H322" s="548" t="s">
        <v>356</v>
      </c>
      <c r="I322" s="548" t="s">
        <v>361</v>
      </c>
      <c r="J322" s="548" t="s">
        <v>406</v>
      </c>
      <c r="K322" s="548" t="s">
        <v>363</v>
      </c>
      <c r="L322" s="550" t="s">
        <v>36</v>
      </c>
      <c r="M322" s="550" t="s">
        <v>86</v>
      </c>
      <c r="N322" s="550" t="s">
        <v>99</v>
      </c>
      <c r="O322" s="270" t="s">
        <v>346</v>
      </c>
      <c r="P322" s="270" t="s">
        <v>90</v>
      </c>
      <c r="Q322" s="270" t="s">
        <v>103</v>
      </c>
      <c r="R322" s="270" t="s">
        <v>343</v>
      </c>
      <c r="S322" s="306"/>
      <c r="T322" s="563"/>
    </row>
    <row r="323" spans="1:25" ht="17.399999999999999">
      <c r="A323" s="28"/>
      <c r="B323" s="345"/>
      <c r="C323" s="345"/>
      <c r="D323" s="345"/>
      <c r="E323" s="345"/>
      <c r="F323" s="345"/>
      <c r="G323" s="345"/>
      <c r="H323" s="345"/>
      <c r="I323" s="345"/>
      <c r="J323" s="345"/>
      <c r="K323" s="345"/>
      <c r="L323" s="345"/>
      <c r="M323" s="345"/>
      <c r="N323" s="345"/>
      <c r="O323" s="28"/>
      <c r="P323" s="28"/>
      <c r="Q323" s="28"/>
      <c r="R323" s="28"/>
      <c r="S323" s="28"/>
      <c r="T323" s="28"/>
    </row>
    <row r="324" spans="1:25" ht="17.399999999999999">
      <c r="A324" s="538" t="s">
        <v>391</v>
      </c>
      <c r="B324" s="345">
        <f t="shared" ref="B324:I324" si="76">ROUND(B309/(SUM($B$309:$J$309))*($S$324),0)</f>
        <v>97</v>
      </c>
      <c r="C324" s="345">
        <f t="shared" si="76"/>
        <v>70</v>
      </c>
      <c r="D324" s="345">
        <f t="shared" si="76"/>
        <v>85</v>
      </c>
      <c r="E324" s="345">
        <f t="shared" si="76"/>
        <v>82</v>
      </c>
      <c r="F324" s="345">
        <f t="shared" si="76"/>
        <v>95</v>
      </c>
      <c r="G324" s="345">
        <f t="shared" si="76"/>
        <v>85</v>
      </c>
      <c r="H324" s="345">
        <f t="shared" si="76"/>
        <v>93</v>
      </c>
      <c r="I324" s="345">
        <f t="shared" si="76"/>
        <v>74</v>
      </c>
      <c r="J324" s="345">
        <f>ROUND(J309/(SUM($B$309:$J$309))*($S$324),0)-1</f>
        <v>94</v>
      </c>
      <c r="K324" s="345"/>
      <c r="L324" s="345"/>
      <c r="M324" s="345"/>
      <c r="N324" s="345"/>
      <c r="O324" s="28"/>
      <c r="P324" s="28"/>
      <c r="Q324" s="28"/>
      <c r="R324" s="28"/>
      <c r="S324" s="28">
        <f t="shared" ref="S324:S337" si="77">E256</f>
        <v>777</v>
      </c>
      <c r="T324" s="28"/>
    </row>
    <row r="325" spans="1:25" ht="17.399999999999999">
      <c r="A325" s="538">
        <v>1</v>
      </c>
      <c r="B325" s="345">
        <f t="shared" ref="B325:I329" si="78">ROUND((B294/$S294)*($S325),0)</f>
        <v>101</v>
      </c>
      <c r="C325" s="345">
        <f t="shared" si="78"/>
        <v>73</v>
      </c>
      <c r="D325" s="345">
        <f t="shared" si="78"/>
        <v>87</v>
      </c>
      <c r="E325" s="345">
        <f t="shared" si="78"/>
        <v>85</v>
      </c>
      <c r="F325" s="345">
        <f t="shared" si="78"/>
        <v>100</v>
      </c>
      <c r="G325" s="345">
        <f t="shared" si="78"/>
        <v>89</v>
      </c>
      <c r="H325" s="345">
        <f t="shared" si="78"/>
        <v>98</v>
      </c>
      <c r="I325" s="345">
        <f t="shared" si="78"/>
        <v>72</v>
      </c>
      <c r="J325" s="345">
        <f>S325-(SUM(B325:I325))</f>
        <v>98</v>
      </c>
      <c r="K325" s="345"/>
      <c r="L325" s="345"/>
      <c r="M325" s="345"/>
      <c r="N325" s="345"/>
      <c r="O325" s="28"/>
      <c r="P325" s="28"/>
      <c r="Q325" s="28"/>
      <c r="R325" s="28"/>
      <c r="S325" s="28">
        <f t="shared" si="77"/>
        <v>803</v>
      </c>
      <c r="T325" s="28"/>
    </row>
    <row r="326" spans="1:25" ht="17.399999999999999">
      <c r="A326" s="538">
        <v>2</v>
      </c>
      <c r="B326" s="345">
        <f t="shared" si="78"/>
        <v>87</v>
      </c>
      <c r="C326" s="345">
        <f t="shared" si="78"/>
        <v>65</v>
      </c>
      <c r="D326" s="345">
        <f t="shared" si="78"/>
        <v>89</v>
      </c>
      <c r="E326" s="345">
        <f t="shared" si="78"/>
        <v>72</v>
      </c>
      <c r="F326" s="345">
        <f t="shared" si="78"/>
        <v>92</v>
      </c>
      <c r="G326" s="345">
        <f t="shared" si="78"/>
        <v>82</v>
      </c>
      <c r="H326" s="345">
        <f t="shared" si="78"/>
        <v>82</v>
      </c>
      <c r="I326" s="345">
        <f t="shared" si="78"/>
        <v>76</v>
      </c>
      <c r="J326" s="345">
        <f>S326-(SUM(B326:I326))</f>
        <v>109</v>
      </c>
      <c r="K326" s="345"/>
      <c r="L326" s="345"/>
      <c r="M326" s="345"/>
      <c r="N326" s="345"/>
      <c r="O326" s="28"/>
      <c r="P326" s="28"/>
      <c r="Q326" s="28"/>
      <c r="R326" s="28"/>
      <c r="S326" s="28">
        <f t="shared" si="77"/>
        <v>754</v>
      </c>
      <c r="T326" s="28"/>
    </row>
    <row r="327" spans="1:25" ht="17.399999999999999">
      <c r="A327" s="538">
        <v>3</v>
      </c>
      <c r="B327" s="345">
        <f t="shared" si="78"/>
        <v>87</v>
      </c>
      <c r="C327" s="345">
        <f t="shared" si="78"/>
        <v>72</v>
      </c>
      <c r="D327" s="345">
        <f t="shared" si="78"/>
        <v>90</v>
      </c>
      <c r="E327" s="345">
        <f t="shared" si="78"/>
        <v>78</v>
      </c>
      <c r="F327" s="345">
        <f t="shared" si="78"/>
        <v>89</v>
      </c>
      <c r="G327" s="345">
        <f t="shared" si="78"/>
        <v>91</v>
      </c>
      <c r="H327" s="345">
        <f t="shared" si="78"/>
        <v>93</v>
      </c>
      <c r="I327" s="345">
        <f t="shared" si="78"/>
        <v>75</v>
      </c>
      <c r="J327" s="345">
        <f>S327-(SUM(B327:I327))</f>
        <v>89</v>
      </c>
      <c r="K327" s="345"/>
      <c r="L327" s="345"/>
      <c r="M327" s="345"/>
      <c r="N327" s="345"/>
      <c r="O327" s="28"/>
      <c r="P327" s="28"/>
      <c r="Q327" s="28"/>
      <c r="R327" s="28"/>
      <c r="S327" s="28">
        <f t="shared" si="77"/>
        <v>764</v>
      </c>
      <c r="T327" s="28"/>
    </row>
    <row r="328" spans="1:25" ht="17.399999999999999">
      <c r="A328" s="538">
        <v>4</v>
      </c>
      <c r="B328" s="345">
        <f t="shared" si="78"/>
        <v>107</v>
      </c>
      <c r="C328" s="345">
        <f t="shared" si="78"/>
        <v>75</v>
      </c>
      <c r="D328" s="345">
        <f t="shared" si="78"/>
        <v>99</v>
      </c>
      <c r="E328" s="345">
        <f t="shared" si="78"/>
        <v>97</v>
      </c>
      <c r="F328" s="345">
        <f t="shared" si="78"/>
        <v>107</v>
      </c>
      <c r="G328" s="345">
        <f t="shared" si="78"/>
        <v>83</v>
      </c>
      <c r="H328" s="345">
        <f t="shared" si="78"/>
        <v>101</v>
      </c>
      <c r="I328" s="345">
        <f t="shared" si="78"/>
        <v>71</v>
      </c>
      <c r="J328" s="345">
        <f>S328-(SUM(B328:I328))</f>
        <v>100</v>
      </c>
      <c r="K328" s="345"/>
      <c r="L328" s="345"/>
      <c r="M328" s="345"/>
      <c r="N328" s="345"/>
      <c r="O328" s="28"/>
      <c r="P328" s="28"/>
      <c r="Q328" s="28"/>
      <c r="R328" s="28"/>
      <c r="S328" s="28">
        <f t="shared" si="77"/>
        <v>840</v>
      </c>
      <c r="T328" s="28"/>
    </row>
    <row r="329" spans="1:25" ht="17.399999999999999">
      <c r="A329" s="538">
        <v>5</v>
      </c>
      <c r="B329" s="345">
        <f t="shared" si="78"/>
        <v>104</v>
      </c>
      <c r="C329" s="345">
        <f t="shared" si="78"/>
        <v>84</v>
      </c>
      <c r="D329" s="345">
        <f t="shared" si="78"/>
        <v>100</v>
      </c>
      <c r="E329" s="345">
        <f t="shared" si="78"/>
        <v>87</v>
      </c>
      <c r="F329" s="345">
        <f t="shared" si="78"/>
        <v>114</v>
      </c>
      <c r="G329" s="345">
        <f t="shared" si="78"/>
        <v>107</v>
      </c>
      <c r="H329" s="345">
        <f t="shared" si="78"/>
        <v>125</v>
      </c>
      <c r="I329" s="345">
        <f t="shared" si="78"/>
        <v>80</v>
      </c>
      <c r="J329" s="345">
        <f>S329-(SUM(B329:I329))</f>
        <v>113</v>
      </c>
      <c r="K329" s="345"/>
      <c r="L329" s="345"/>
      <c r="M329" s="345"/>
      <c r="N329" s="61"/>
      <c r="O329" s="28"/>
      <c r="P329" s="28"/>
      <c r="Q329" s="28"/>
      <c r="R329" s="28"/>
      <c r="S329" s="28">
        <f t="shared" si="77"/>
        <v>914</v>
      </c>
      <c r="T329" s="28"/>
    </row>
    <row r="330" spans="1:25" ht="17.399999999999999">
      <c r="A330" s="538">
        <v>6</v>
      </c>
      <c r="B330" s="344"/>
      <c r="C330" s="345"/>
      <c r="D330" s="345"/>
      <c r="E330" s="345"/>
      <c r="F330" s="345"/>
      <c r="G330" s="345"/>
      <c r="H330" s="345"/>
      <c r="I330" s="345"/>
      <c r="J330" s="345"/>
      <c r="K330" s="346">
        <f>ROUND((ENRHIST!F1013)/(S299)*(S330),0)</f>
        <v>202</v>
      </c>
      <c r="L330" s="346">
        <f>ROUND((ENRHIST!G1013)/(S299)*(S330),0)</f>
        <v>252</v>
      </c>
      <c r="M330" s="346">
        <f>ROUND((ENRHIST!H1013)/(S299)*(S330),0)</f>
        <v>245</v>
      </c>
      <c r="N330" s="346">
        <f>ROUND((ENRHIST!I1013)/(S299)*(S330),0)+2</f>
        <v>231</v>
      </c>
      <c r="O330" s="28"/>
      <c r="P330" s="28"/>
      <c r="Q330" s="28"/>
      <c r="R330" s="283">
        <f>S330-K330-L330-M330-N330</f>
        <v>-2</v>
      </c>
      <c r="S330" s="28">
        <f t="shared" si="77"/>
        <v>928</v>
      </c>
      <c r="T330" s="28"/>
    </row>
    <row r="331" spans="1:25" ht="17.399999999999999">
      <c r="A331" s="538">
        <v>7</v>
      </c>
      <c r="B331" s="344"/>
      <c r="C331" s="345"/>
      <c r="D331" s="345"/>
      <c r="E331" s="345"/>
      <c r="F331" s="345"/>
      <c r="G331" s="345"/>
      <c r="H331" s="345"/>
      <c r="I331" s="345"/>
      <c r="J331" s="345"/>
      <c r="K331" s="346">
        <f>ROUND((K300/$S300)*($S331),0)</f>
        <v>213</v>
      </c>
      <c r="L331" s="346">
        <f>ROUND((L300/$S300)*($S331),0)</f>
        <v>264</v>
      </c>
      <c r="M331" s="346">
        <f t="shared" ref="M331:N331" si="79">ROUND((M300/$S300)*($S331),0)</f>
        <v>259</v>
      </c>
      <c r="N331" s="346">
        <f t="shared" si="79"/>
        <v>241</v>
      </c>
      <c r="O331" s="28"/>
      <c r="P331" s="28"/>
      <c r="Q331" s="28"/>
      <c r="R331" s="283">
        <f t="shared" ref="R331:R332" si="80">S331-K331-L331-M331-N331</f>
        <v>1</v>
      </c>
      <c r="S331" s="28">
        <f t="shared" si="77"/>
        <v>978</v>
      </c>
      <c r="T331" s="28"/>
    </row>
    <row r="332" spans="1:25" ht="17.399999999999999">
      <c r="A332" s="538">
        <v>8</v>
      </c>
      <c r="B332" s="344"/>
      <c r="C332" s="345"/>
      <c r="D332" s="345"/>
      <c r="E332" s="345"/>
      <c r="F332" s="345"/>
      <c r="G332" s="345"/>
      <c r="H332" s="345"/>
      <c r="I332" s="345"/>
      <c r="J332" s="345"/>
      <c r="K332" s="346">
        <f>ROUND((K301/$S301)*($S332),0)</f>
        <v>178</v>
      </c>
      <c r="L332" s="346">
        <f>ROUND((L301/$S301)*($S332),0)</f>
        <v>248</v>
      </c>
      <c r="M332" s="346">
        <f t="shared" ref="M332:N332" si="81">ROUND((M301/$S301)*($S332),0)</f>
        <v>235</v>
      </c>
      <c r="N332" s="346">
        <f t="shared" si="81"/>
        <v>300</v>
      </c>
      <c r="O332" s="28"/>
      <c r="P332" s="28"/>
      <c r="Q332" s="28"/>
      <c r="R332" s="283">
        <f t="shared" si="80"/>
        <v>1</v>
      </c>
      <c r="S332" s="28">
        <f t="shared" si="77"/>
        <v>962</v>
      </c>
      <c r="T332" s="28"/>
    </row>
    <row r="333" spans="1:25" ht="17.399999999999999">
      <c r="A333" s="538">
        <v>9</v>
      </c>
      <c r="B333" s="344"/>
      <c r="C333" s="345"/>
      <c r="D333" s="345"/>
      <c r="E333" s="345"/>
      <c r="F333" s="345"/>
      <c r="G333" s="345"/>
      <c r="H333" s="345"/>
      <c r="I333" s="345"/>
      <c r="J333" s="345"/>
      <c r="K333" s="345"/>
      <c r="L333" s="345"/>
      <c r="M333" s="345"/>
      <c r="N333" s="345"/>
      <c r="O333" s="289">
        <f>ROUND((ENRHIST!F1176/$S302)*($S333),0)</f>
        <v>270</v>
      </c>
      <c r="P333" s="289">
        <f>ROUND((ENRHIST!G1176/$S302)*($S333),0)</f>
        <v>414</v>
      </c>
      <c r="Q333" s="289">
        <f>ROUND((ENRHIST!H1176/$S302)*($S333),0)</f>
        <v>300</v>
      </c>
      <c r="R333" s="283">
        <f>S333-O333-Q333-P333</f>
        <v>27</v>
      </c>
      <c r="S333" s="28">
        <f t="shared" si="77"/>
        <v>1011</v>
      </c>
      <c r="T333" s="28"/>
      <c r="U333" s="283"/>
      <c r="V333" s="4"/>
      <c r="X333" s="4"/>
      <c r="Y333" s="4"/>
    </row>
    <row r="334" spans="1:25" ht="17.399999999999999">
      <c r="A334" s="538">
        <v>10</v>
      </c>
      <c r="B334" s="344"/>
      <c r="C334" s="345"/>
      <c r="D334" s="345"/>
      <c r="E334" s="345"/>
      <c r="F334" s="345"/>
      <c r="G334" s="345"/>
      <c r="H334" s="345"/>
      <c r="I334" s="345"/>
      <c r="J334" s="345"/>
      <c r="K334" s="345"/>
      <c r="L334" s="345"/>
      <c r="M334" s="345"/>
      <c r="N334" s="345"/>
      <c r="O334" s="289">
        <f t="shared" ref="O334:Q336" si="82">ROUND((O303/$S303)*($S334),0)</f>
        <v>241</v>
      </c>
      <c r="P334" s="289">
        <f t="shared" si="82"/>
        <v>383</v>
      </c>
      <c r="Q334" s="289">
        <f t="shared" si="82"/>
        <v>290</v>
      </c>
      <c r="R334" s="283">
        <f t="shared" ref="R334:R336" si="83">S334-O334-Q334-P334</f>
        <v>14</v>
      </c>
      <c r="S334" s="28">
        <f t="shared" si="77"/>
        <v>928</v>
      </c>
      <c r="T334" s="28"/>
      <c r="V334" s="4"/>
      <c r="X334" s="4"/>
      <c r="Y334" s="4"/>
    </row>
    <row r="335" spans="1:25" ht="17.399999999999999">
      <c r="A335" s="538">
        <v>11</v>
      </c>
      <c r="B335" s="344"/>
      <c r="C335" s="345"/>
      <c r="D335" s="345"/>
      <c r="E335" s="345"/>
      <c r="F335" s="345"/>
      <c r="G335" s="345"/>
      <c r="H335" s="345"/>
      <c r="I335" s="345"/>
      <c r="J335" s="345"/>
      <c r="K335" s="345"/>
      <c r="L335" s="345"/>
      <c r="M335" s="345"/>
      <c r="N335" s="345"/>
      <c r="O335" s="289">
        <f t="shared" si="82"/>
        <v>226</v>
      </c>
      <c r="P335" s="289">
        <f t="shared" si="82"/>
        <v>388</v>
      </c>
      <c r="Q335" s="289">
        <f t="shared" si="82"/>
        <v>349</v>
      </c>
      <c r="R335" s="283">
        <f t="shared" si="83"/>
        <v>14</v>
      </c>
      <c r="S335" s="28">
        <f t="shared" si="77"/>
        <v>977</v>
      </c>
      <c r="T335" s="28"/>
      <c r="V335" s="4"/>
      <c r="X335" s="4"/>
      <c r="Y335" s="4"/>
    </row>
    <row r="336" spans="1:25" ht="17.399999999999999">
      <c r="A336" s="538">
        <v>12</v>
      </c>
      <c r="B336" s="344"/>
      <c r="C336" s="345"/>
      <c r="D336" s="345"/>
      <c r="E336" s="345"/>
      <c r="F336" s="345"/>
      <c r="G336" s="345"/>
      <c r="H336" s="345"/>
      <c r="I336" s="345"/>
      <c r="J336" s="345"/>
      <c r="K336" s="345"/>
      <c r="L336" s="345"/>
      <c r="M336" s="345"/>
      <c r="N336" s="345"/>
      <c r="O336" s="289">
        <f t="shared" si="82"/>
        <v>221</v>
      </c>
      <c r="P336" s="289">
        <f t="shared" si="82"/>
        <v>330</v>
      </c>
      <c r="Q336" s="289">
        <f t="shared" si="82"/>
        <v>334</v>
      </c>
      <c r="R336" s="283">
        <f t="shared" si="83"/>
        <v>13</v>
      </c>
      <c r="S336" s="28">
        <f t="shared" si="77"/>
        <v>898</v>
      </c>
      <c r="T336" s="28"/>
      <c r="V336" s="4"/>
      <c r="X336" s="4"/>
      <c r="Y336" s="4"/>
    </row>
    <row r="337" spans="1:25" ht="17.399999999999999">
      <c r="A337" s="28" t="s">
        <v>50</v>
      </c>
      <c r="B337" s="554">
        <f t="shared" ref="B337:J337" si="84">ROUND((B23/$S$23)*$S$337,0)</f>
        <v>0</v>
      </c>
      <c r="C337" s="554">
        <f t="shared" si="84"/>
        <v>0</v>
      </c>
      <c r="D337" s="554">
        <f t="shared" si="84"/>
        <v>0</v>
      </c>
      <c r="E337" s="554">
        <f t="shared" si="84"/>
        <v>0</v>
      </c>
      <c r="F337" s="554">
        <f t="shared" si="84"/>
        <v>0</v>
      </c>
      <c r="G337" s="554">
        <f t="shared" si="84"/>
        <v>0</v>
      </c>
      <c r="H337" s="554">
        <f t="shared" si="84"/>
        <v>0</v>
      </c>
      <c r="I337" s="554">
        <f t="shared" si="84"/>
        <v>0</v>
      </c>
      <c r="J337" s="554">
        <f t="shared" si="84"/>
        <v>0</v>
      </c>
      <c r="K337" s="554">
        <f>ROUND((J23/$S$23)*$S$337,0)</f>
        <v>0</v>
      </c>
      <c r="L337" s="554">
        <f>ROUND((K23/$S$23)*$S$337,0)</f>
        <v>0</v>
      </c>
      <c r="M337" s="554">
        <f>ROUND((L23/$S$23)*$S$337,0)</f>
        <v>0</v>
      </c>
      <c r="N337" s="554">
        <f>ROUND((M23/$S$23)*$S$337,0)</f>
        <v>0</v>
      </c>
      <c r="O337" s="288">
        <f>ROUND((O23/$S$23)*$S$337,0)</f>
        <v>6</v>
      </c>
      <c r="P337" s="288">
        <f>ROUND((P23/$S$23)*$S$337,0)</f>
        <v>9</v>
      </c>
      <c r="Q337" s="288">
        <f>ROUND((Q23/$S$23)*$S$337,0)</f>
        <v>7</v>
      </c>
      <c r="R337" s="288"/>
      <c r="S337" s="288">
        <f t="shared" si="77"/>
        <v>22</v>
      </c>
      <c r="T337" s="288"/>
      <c r="X337" s="4"/>
      <c r="Y337" s="4"/>
    </row>
    <row r="338" spans="1:25" ht="17.399999999999999">
      <c r="A338" s="312"/>
      <c r="B338" s="557"/>
      <c r="C338" s="557"/>
      <c r="D338" s="557"/>
      <c r="E338" s="557"/>
      <c r="F338" s="557"/>
      <c r="G338" s="557"/>
      <c r="H338" s="557"/>
      <c r="I338" s="557"/>
      <c r="J338" s="557"/>
      <c r="K338" s="557"/>
      <c r="L338" s="557"/>
      <c r="M338" s="557"/>
      <c r="N338" s="557"/>
      <c r="O338" s="265"/>
      <c r="P338" s="265"/>
      <c r="Q338" s="265"/>
      <c r="R338" s="265"/>
      <c r="S338" s="301"/>
      <c r="T338" s="563"/>
    </row>
    <row r="339" spans="1:25" ht="17.399999999999999">
      <c r="A339" s="292" t="s">
        <v>51</v>
      </c>
      <c r="B339" s="560">
        <f>SUM(B324:B336)</f>
        <v>583</v>
      </c>
      <c r="C339" s="560">
        <f t="shared" ref="C339:N339" si="85">SUM(C324:C336)</f>
        <v>439</v>
      </c>
      <c r="D339" s="560">
        <f t="shared" si="85"/>
        <v>550</v>
      </c>
      <c r="E339" s="560">
        <f t="shared" si="85"/>
        <v>501</v>
      </c>
      <c r="F339" s="560">
        <f t="shared" si="85"/>
        <v>597</v>
      </c>
      <c r="G339" s="560">
        <f t="shared" si="85"/>
        <v>537</v>
      </c>
      <c r="H339" s="560">
        <f t="shared" si="85"/>
        <v>592</v>
      </c>
      <c r="I339" s="560">
        <f t="shared" si="85"/>
        <v>448</v>
      </c>
      <c r="J339" s="560">
        <f t="shared" si="85"/>
        <v>603</v>
      </c>
      <c r="K339" s="560">
        <f t="shared" si="85"/>
        <v>593</v>
      </c>
      <c r="L339" s="560">
        <f t="shared" si="85"/>
        <v>764</v>
      </c>
      <c r="M339" s="560">
        <f t="shared" si="85"/>
        <v>739</v>
      </c>
      <c r="N339" s="560">
        <f t="shared" si="85"/>
        <v>772</v>
      </c>
      <c r="O339" s="313">
        <f>SUM(O324:O337)</f>
        <v>964</v>
      </c>
      <c r="P339" s="313">
        <f>SUM(P324:P337)</f>
        <v>1524</v>
      </c>
      <c r="Q339" s="313">
        <f>SUM(Q324:Q337)</f>
        <v>1280</v>
      </c>
      <c r="R339" s="313">
        <f>SUM(R324:R337)</f>
        <v>68</v>
      </c>
      <c r="S339" s="532">
        <f>E272</f>
        <v>11556</v>
      </c>
      <c r="T339" s="565"/>
      <c r="U339" s="4"/>
    </row>
    <row r="340" spans="1:25" ht="17.399999999999999">
      <c r="A340" s="28"/>
      <c r="B340" s="345"/>
      <c r="C340" s="345"/>
      <c r="D340" s="345"/>
      <c r="E340" s="345"/>
      <c r="F340" s="345"/>
      <c r="G340" s="345"/>
      <c r="H340" s="345"/>
      <c r="I340" s="345"/>
      <c r="J340" s="345"/>
      <c r="K340" s="345"/>
      <c r="L340" s="345"/>
      <c r="M340" s="345"/>
      <c r="N340" s="345"/>
      <c r="O340" s="28"/>
      <c r="P340" s="28"/>
      <c r="Q340" s="28"/>
      <c r="R340" s="28"/>
      <c r="S340" s="28"/>
      <c r="T340" s="28"/>
    </row>
    <row r="341" spans="1:25" ht="17.399999999999999">
      <c r="A341" s="274" t="s">
        <v>115</v>
      </c>
      <c r="B341" s="346">
        <f t="shared" ref="B341:R341" si="86">B311</f>
        <v>625</v>
      </c>
      <c r="C341" s="346">
        <f t="shared" si="86"/>
        <v>575</v>
      </c>
      <c r="D341" s="346">
        <f t="shared" si="86"/>
        <v>600</v>
      </c>
      <c r="E341" s="346">
        <f t="shared" si="86"/>
        <v>725</v>
      </c>
      <c r="F341" s="346">
        <f t="shared" si="86"/>
        <v>725</v>
      </c>
      <c r="G341" s="346">
        <f t="shared" si="86"/>
        <v>625</v>
      </c>
      <c r="H341" s="346">
        <f t="shared" si="86"/>
        <v>700</v>
      </c>
      <c r="I341" s="346">
        <f t="shared" si="86"/>
        <v>593</v>
      </c>
      <c r="J341" s="346">
        <f t="shared" si="86"/>
        <v>750</v>
      </c>
      <c r="K341" s="346">
        <f t="shared" si="86"/>
        <v>667</v>
      </c>
      <c r="L341" s="346">
        <f t="shared" si="86"/>
        <v>864</v>
      </c>
      <c r="M341" s="346">
        <f t="shared" si="86"/>
        <v>779</v>
      </c>
      <c r="N341" s="346">
        <f t="shared" si="86"/>
        <v>756</v>
      </c>
      <c r="O341" s="283">
        <v>1250</v>
      </c>
      <c r="P341" s="283">
        <v>1500</v>
      </c>
      <c r="Q341" s="283">
        <f t="shared" si="86"/>
        <v>1019</v>
      </c>
      <c r="R341" s="283">
        <f t="shared" si="86"/>
        <v>100</v>
      </c>
      <c r="S341" s="283">
        <f>SUM(B341:R341)</f>
        <v>12853</v>
      </c>
      <c r="T341" s="283"/>
    </row>
    <row r="342" spans="1:25" ht="17.399999999999999">
      <c r="A342" s="28"/>
      <c r="B342" s="345"/>
      <c r="C342" s="345"/>
      <c r="D342" s="345"/>
      <c r="E342" s="345"/>
      <c r="F342" s="345"/>
      <c r="G342" s="345"/>
      <c r="H342" s="345"/>
      <c r="I342" s="345"/>
      <c r="J342" s="666"/>
      <c r="K342" s="345"/>
      <c r="L342" s="345"/>
      <c r="M342" s="345"/>
      <c r="N342" s="345"/>
      <c r="O342" s="28"/>
      <c r="P342" s="28"/>
      <c r="Q342" s="28"/>
      <c r="R342" s="28"/>
      <c r="S342" s="28"/>
      <c r="T342" s="28"/>
    </row>
    <row r="343" spans="1:25" ht="17.399999999999999">
      <c r="A343" s="274" t="s">
        <v>244</v>
      </c>
      <c r="B343" s="668">
        <f t="shared" ref="B343:S343" si="87">B339/B341</f>
        <v>0.93279999999999996</v>
      </c>
      <c r="C343" s="668">
        <f t="shared" si="87"/>
        <v>0.76347826086956527</v>
      </c>
      <c r="D343" s="668">
        <f t="shared" si="87"/>
        <v>0.91666666666666663</v>
      </c>
      <c r="E343" s="668">
        <f t="shared" si="87"/>
        <v>0.69103448275862067</v>
      </c>
      <c r="F343" s="668">
        <f t="shared" si="87"/>
        <v>0.82344827586206892</v>
      </c>
      <c r="G343" s="668">
        <f t="shared" si="87"/>
        <v>0.85919999999999996</v>
      </c>
      <c r="H343" s="668">
        <f t="shared" si="87"/>
        <v>0.84571428571428575</v>
      </c>
      <c r="I343" s="668">
        <f t="shared" si="87"/>
        <v>0.75548060708263065</v>
      </c>
      <c r="J343" s="668">
        <f t="shared" si="87"/>
        <v>0.80400000000000005</v>
      </c>
      <c r="K343" s="668">
        <f t="shared" si="87"/>
        <v>0.88905547226386805</v>
      </c>
      <c r="L343" s="668">
        <f t="shared" si="87"/>
        <v>0.8842592592592593</v>
      </c>
      <c r="M343" s="668">
        <f t="shared" si="87"/>
        <v>0.94865211810012839</v>
      </c>
      <c r="N343" s="668">
        <f t="shared" si="87"/>
        <v>1.0211640211640212</v>
      </c>
      <c r="O343" s="291">
        <f t="shared" si="87"/>
        <v>0.7712</v>
      </c>
      <c r="P343" s="291">
        <f t="shared" si="87"/>
        <v>1.016</v>
      </c>
      <c r="Q343" s="291">
        <f t="shared" si="87"/>
        <v>1.2561334641805693</v>
      </c>
      <c r="R343" s="291">
        <f t="shared" si="87"/>
        <v>0.68</v>
      </c>
      <c r="S343" s="287">
        <f t="shared" si="87"/>
        <v>0.8990897066832646</v>
      </c>
      <c r="T343" s="287"/>
    </row>
    <row r="344" spans="1:25" ht="17.399999999999999">
      <c r="A344" s="28"/>
      <c r="B344" s="345"/>
      <c r="C344" s="345"/>
      <c r="D344" s="345"/>
      <c r="E344" s="345"/>
      <c r="F344" s="345"/>
      <c r="G344" s="345"/>
      <c r="H344" s="345"/>
      <c r="I344" s="345"/>
      <c r="J344" s="345"/>
      <c r="K344" s="345"/>
      <c r="L344" s="345"/>
      <c r="M344" s="345"/>
      <c r="N344" s="345"/>
      <c r="O344" s="28"/>
      <c r="P344" s="28"/>
      <c r="Q344" s="28"/>
      <c r="R344" s="28"/>
      <c r="S344" s="28"/>
      <c r="T344" s="28"/>
    </row>
    <row r="345" spans="1:25" ht="17.399999999999999">
      <c r="A345" s="290"/>
      <c r="B345" s="668"/>
      <c r="C345" s="668"/>
      <c r="D345" s="668"/>
      <c r="E345" s="668"/>
      <c r="F345" s="668"/>
      <c r="G345" s="668"/>
      <c r="H345" s="668"/>
      <c r="I345" s="668"/>
      <c r="J345" s="668"/>
      <c r="K345" s="668"/>
      <c r="L345" s="668"/>
      <c r="M345" s="668"/>
      <c r="N345" s="668"/>
      <c r="O345" s="291"/>
      <c r="P345" s="291"/>
      <c r="Q345" s="291"/>
      <c r="R345" s="291"/>
      <c r="S345" s="291"/>
      <c r="T345" s="291"/>
    </row>
    <row r="346" spans="1:25" ht="17.399999999999999">
      <c r="A346" s="28"/>
      <c r="B346" s="345"/>
      <c r="C346" s="345"/>
      <c r="D346" s="345"/>
      <c r="E346" s="345"/>
      <c r="F346" s="345"/>
      <c r="G346" s="345"/>
      <c r="H346" s="345"/>
      <c r="I346" s="345"/>
      <c r="J346" s="345"/>
      <c r="K346" s="345"/>
      <c r="L346" s="345"/>
      <c r="M346" s="345"/>
      <c r="N346" s="345"/>
      <c r="O346" s="28"/>
      <c r="P346" s="28"/>
      <c r="Q346" s="28"/>
      <c r="R346" s="28"/>
    </row>
    <row r="347" spans="1:25" ht="17.399999999999999">
      <c r="B347" s="61"/>
      <c r="C347" s="121" t="s">
        <v>227</v>
      </c>
      <c r="D347" s="67"/>
      <c r="E347" s="67"/>
      <c r="F347" s="67"/>
      <c r="G347" s="67"/>
      <c r="H347" s="67"/>
      <c r="I347" s="61"/>
      <c r="J347" s="61"/>
      <c r="K347" s="61"/>
      <c r="L347" s="67"/>
      <c r="M347" s="67" t="str">
        <f>F252</f>
        <v>2028-29</v>
      </c>
      <c r="N347" s="61"/>
    </row>
    <row r="348" spans="1:25" ht="17.399999999999999">
      <c r="B348" s="61"/>
      <c r="C348" s="121" t="s">
        <v>240</v>
      </c>
      <c r="D348" s="67"/>
      <c r="E348" s="67"/>
      <c r="F348" s="67"/>
      <c r="G348" s="67"/>
      <c r="H348" s="67"/>
      <c r="I348" s="67"/>
      <c r="J348" s="67"/>
      <c r="K348" s="67"/>
      <c r="L348" s="61"/>
      <c r="M348" s="61"/>
      <c r="N348" s="61"/>
    </row>
    <row r="349" spans="1:25" ht="17.399999999999999">
      <c r="B349" s="61"/>
      <c r="C349" s="67"/>
      <c r="D349" s="67" t="str">
        <f>$D$248</f>
        <v xml:space="preserve">    THREE YEAR AVERAGE PERCENTAGE OF SURVIVAL</v>
      </c>
      <c r="E349" s="67"/>
      <c r="F349" s="67"/>
      <c r="G349" s="67"/>
      <c r="H349" s="67"/>
      <c r="I349" s="67"/>
      <c r="J349" s="67"/>
      <c r="K349" s="67"/>
      <c r="L349" s="61"/>
      <c r="M349" s="61"/>
      <c r="N349" s="61"/>
    </row>
    <row r="350" spans="1:25"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</row>
    <row r="351" spans="1:25" ht="17.399999999999999">
      <c r="A351" s="263" t="s">
        <v>24</v>
      </c>
      <c r="B351" s="813" t="s">
        <v>25</v>
      </c>
      <c r="C351" s="813"/>
      <c r="D351" s="813"/>
      <c r="E351" s="813"/>
      <c r="F351" s="813"/>
      <c r="G351" s="813"/>
      <c r="H351" s="813"/>
      <c r="I351" s="813"/>
      <c r="J351" s="813"/>
      <c r="K351" s="813" t="s">
        <v>63</v>
      </c>
      <c r="L351" s="813"/>
      <c r="M351" s="813"/>
      <c r="N351" s="813"/>
      <c r="O351" s="814" t="s">
        <v>242</v>
      </c>
      <c r="P351" s="814"/>
      <c r="Q351" s="814"/>
      <c r="R351" s="300"/>
      <c r="S351" s="310" t="s">
        <v>243</v>
      </c>
      <c r="T351" s="562"/>
    </row>
    <row r="352" spans="1:25" ht="17.399999999999999">
      <c r="A352" s="268"/>
      <c r="B352" s="548" t="s">
        <v>289</v>
      </c>
      <c r="C352" s="548" t="s">
        <v>357</v>
      </c>
      <c r="D352" s="548" t="s">
        <v>358</v>
      </c>
      <c r="E352" s="548" t="s">
        <v>359</v>
      </c>
      <c r="F352" s="548" t="s">
        <v>360</v>
      </c>
      <c r="G352" s="548" t="s">
        <v>370</v>
      </c>
      <c r="H352" s="548" t="s">
        <v>356</v>
      </c>
      <c r="I352" s="548" t="s">
        <v>361</v>
      </c>
      <c r="J352" s="548" t="s">
        <v>406</v>
      </c>
      <c r="K352" s="548" t="s">
        <v>363</v>
      </c>
      <c r="L352" s="550" t="s">
        <v>36</v>
      </c>
      <c r="M352" s="550" t="s">
        <v>86</v>
      </c>
      <c r="N352" s="550" t="s">
        <v>99</v>
      </c>
      <c r="O352" s="270" t="s">
        <v>346</v>
      </c>
      <c r="P352" s="270" t="s">
        <v>90</v>
      </c>
      <c r="Q352" s="270" t="s">
        <v>103</v>
      </c>
      <c r="R352" s="270" t="s">
        <v>343</v>
      </c>
      <c r="S352" s="306"/>
      <c r="T352" s="563"/>
    </row>
    <row r="353" spans="1:20" ht="17.399999999999999">
      <c r="A353" s="28"/>
      <c r="B353" s="345"/>
      <c r="C353" s="345"/>
      <c r="D353" s="345"/>
      <c r="E353" s="345"/>
      <c r="F353" s="345"/>
      <c r="G353" s="345"/>
      <c r="H353" s="345"/>
      <c r="I353" s="345"/>
      <c r="J353" s="345"/>
      <c r="K353" s="345"/>
      <c r="L353" s="345"/>
      <c r="M353" s="345"/>
      <c r="N353" s="345"/>
      <c r="O353" s="28"/>
      <c r="P353" s="28"/>
      <c r="Q353" s="28"/>
      <c r="R353" s="28"/>
      <c r="S353" s="28"/>
      <c r="T353" s="28"/>
    </row>
    <row r="354" spans="1:20" ht="17.399999999999999">
      <c r="A354" s="538" t="s">
        <v>391</v>
      </c>
      <c r="B354" s="554">
        <f t="shared" ref="B354:J354" si="88">ROUND(B339/(SUM($B$339:$J$339))*($S$354),0)</f>
        <v>97</v>
      </c>
      <c r="C354" s="554">
        <f t="shared" si="88"/>
        <v>73</v>
      </c>
      <c r="D354" s="554">
        <f t="shared" si="88"/>
        <v>92</v>
      </c>
      <c r="E354" s="554">
        <f t="shared" si="88"/>
        <v>83</v>
      </c>
      <c r="F354" s="554">
        <f t="shared" si="88"/>
        <v>99</v>
      </c>
      <c r="G354" s="554">
        <f t="shared" si="88"/>
        <v>89</v>
      </c>
      <c r="H354" s="554">
        <f t="shared" si="88"/>
        <v>99</v>
      </c>
      <c r="I354" s="554">
        <f t="shared" si="88"/>
        <v>75</v>
      </c>
      <c r="J354" s="554">
        <f t="shared" si="88"/>
        <v>100</v>
      </c>
      <c r="K354" s="554"/>
      <c r="L354" s="554"/>
      <c r="M354" s="554"/>
      <c r="N354" s="554"/>
      <c r="O354" s="288"/>
      <c r="P354" s="288"/>
      <c r="Q354" s="288"/>
      <c r="R354" s="288"/>
      <c r="S354" s="28">
        <f t="shared" ref="S354:S367" si="89">F256</f>
        <v>807</v>
      </c>
      <c r="T354" s="28"/>
    </row>
    <row r="355" spans="1:20" ht="17.399999999999999">
      <c r="A355" s="538">
        <v>1</v>
      </c>
      <c r="B355" s="554">
        <f t="shared" ref="B355:I359" si="90">ROUND((B324/$S324)*($S355),0)</f>
        <v>98</v>
      </c>
      <c r="C355" s="554">
        <f t="shared" si="90"/>
        <v>71</v>
      </c>
      <c r="D355" s="554">
        <f t="shared" si="90"/>
        <v>86</v>
      </c>
      <c r="E355" s="554">
        <f t="shared" si="90"/>
        <v>83</v>
      </c>
      <c r="F355" s="554">
        <f t="shared" si="90"/>
        <v>96</v>
      </c>
      <c r="G355" s="554">
        <f t="shared" si="90"/>
        <v>86</v>
      </c>
      <c r="H355" s="554">
        <f t="shared" si="90"/>
        <v>94</v>
      </c>
      <c r="I355" s="554">
        <f t="shared" si="90"/>
        <v>75</v>
      </c>
      <c r="J355" s="554">
        <f>S355-(SUM(B355:I355))</f>
        <v>100</v>
      </c>
      <c r="K355" s="554"/>
      <c r="L355" s="554"/>
      <c r="M355" s="554"/>
      <c r="N355" s="554"/>
      <c r="O355" s="288"/>
      <c r="P355" s="288"/>
      <c r="Q355" s="288"/>
      <c r="R355" s="288"/>
      <c r="S355" s="28">
        <f t="shared" si="89"/>
        <v>789</v>
      </c>
      <c r="T355" s="28"/>
    </row>
    <row r="356" spans="1:20" ht="17.399999999999999">
      <c r="A356" s="538">
        <v>2</v>
      </c>
      <c r="B356" s="554">
        <f t="shared" si="90"/>
        <v>104</v>
      </c>
      <c r="C356" s="554">
        <f t="shared" si="90"/>
        <v>75</v>
      </c>
      <c r="D356" s="554">
        <f t="shared" si="90"/>
        <v>89</v>
      </c>
      <c r="E356" s="554">
        <f t="shared" si="90"/>
        <v>87</v>
      </c>
      <c r="F356" s="554">
        <f t="shared" si="90"/>
        <v>103</v>
      </c>
      <c r="G356" s="554">
        <f t="shared" si="90"/>
        <v>91</v>
      </c>
      <c r="H356" s="554">
        <f t="shared" si="90"/>
        <v>101</v>
      </c>
      <c r="I356" s="554">
        <f t="shared" si="90"/>
        <v>74</v>
      </c>
      <c r="J356" s="554">
        <f>S356-(SUM(B356:I356))</f>
        <v>100</v>
      </c>
      <c r="K356" s="554"/>
      <c r="L356" s="554"/>
      <c r="M356" s="554"/>
      <c r="N356" s="554"/>
      <c r="O356" s="288"/>
      <c r="P356" s="288"/>
      <c r="Q356" s="288"/>
      <c r="R356" s="288"/>
      <c r="S356" s="28">
        <f t="shared" si="89"/>
        <v>824</v>
      </c>
      <c r="T356" s="28"/>
    </row>
    <row r="357" spans="1:20" ht="17.399999999999999">
      <c r="A357" s="538">
        <v>3</v>
      </c>
      <c r="B357" s="554">
        <f t="shared" si="90"/>
        <v>88</v>
      </c>
      <c r="C357" s="554">
        <f t="shared" si="90"/>
        <v>66</v>
      </c>
      <c r="D357" s="554">
        <f t="shared" si="90"/>
        <v>90</v>
      </c>
      <c r="E357" s="554">
        <f t="shared" si="90"/>
        <v>73</v>
      </c>
      <c r="F357" s="554">
        <f t="shared" si="90"/>
        <v>93</v>
      </c>
      <c r="G357" s="554">
        <f t="shared" si="90"/>
        <v>83</v>
      </c>
      <c r="H357" s="554">
        <f t="shared" si="90"/>
        <v>83</v>
      </c>
      <c r="I357" s="554">
        <f t="shared" si="90"/>
        <v>77</v>
      </c>
      <c r="J357" s="554">
        <f>S357-(SUM(B357:I357))</f>
        <v>111</v>
      </c>
      <c r="K357" s="554"/>
      <c r="L357" s="554"/>
      <c r="M357" s="554"/>
      <c r="N357" s="554"/>
      <c r="O357" s="288"/>
      <c r="P357" s="288"/>
      <c r="Q357" s="288"/>
      <c r="R357" s="288"/>
      <c r="S357" s="28">
        <f t="shared" si="89"/>
        <v>764</v>
      </c>
      <c r="T357" s="28"/>
    </row>
    <row r="358" spans="1:20" ht="17.399999999999999">
      <c r="A358" s="538">
        <v>4</v>
      </c>
      <c r="B358" s="554">
        <f t="shared" si="90"/>
        <v>89</v>
      </c>
      <c r="C358" s="554">
        <f t="shared" si="90"/>
        <v>74</v>
      </c>
      <c r="D358" s="554">
        <f t="shared" si="90"/>
        <v>92</v>
      </c>
      <c r="E358" s="554">
        <f t="shared" si="90"/>
        <v>80</v>
      </c>
      <c r="F358" s="554">
        <f t="shared" si="90"/>
        <v>91</v>
      </c>
      <c r="G358" s="554">
        <f t="shared" si="90"/>
        <v>94</v>
      </c>
      <c r="H358" s="554">
        <f t="shared" si="90"/>
        <v>96</v>
      </c>
      <c r="I358" s="554">
        <f t="shared" si="90"/>
        <v>77</v>
      </c>
      <c r="J358" s="554">
        <f>S358-(SUM(B358:I358))</f>
        <v>92</v>
      </c>
      <c r="K358" s="554"/>
      <c r="L358" s="554"/>
      <c r="M358" s="554"/>
      <c r="N358" s="554"/>
      <c r="O358" s="288"/>
      <c r="P358" s="288"/>
      <c r="Q358" s="288"/>
      <c r="R358" s="288"/>
      <c r="S358" s="28">
        <f t="shared" si="89"/>
        <v>785</v>
      </c>
      <c r="T358" s="28"/>
    </row>
    <row r="359" spans="1:20" ht="17.399999999999999">
      <c r="A359" s="538">
        <v>5</v>
      </c>
      <c r="B359" s="554">
        <f t="shared" si="90"/>
        <v>109</v>
      </c>
      <c r="C359" s="554">
        <f t="shared" si="90"/>
        <v>76</v>
      </c>
      <c r="D359" s="554">
        <f t="shared" si="90"/>
        <v>101</v>
      </c>
      <c r="E359" s="554">
        <f t="shared" si="90"/>
        <v>99</v>
      </c>
      <c r="F359" s="554">
        <f t="shared" si="90"/>
        <v>109</v>
      </c>
      <c r="G359" s="554">
        <f t="shared" si="90"/>
        <v>84</v>
      </c>
      <c r="H359" s="554">
        <f t="shared" si="90"/>
        <v>103</v>
      </c>
      <c r="I359" s="554">
        <f t="shared" si="90"/>
        <v>72</v>
      </c>
      <c r="J359" s="554">
        <f>S359-(SUM(B359:I359))</f>
        <v>100</v>
      </c>
      <c r="K359" s="554"/>
      <c r="L359" s="554"/>
      <c r="M359" s="554"/>
      <c r="N359" s="61"/>
      <c r="O359" s="288"/>
      <c r="P359" s="288"/>
      <c r="Q359" s="288"/>
      <c r="R359" s="288"/>
      <c r="S359" s="28">
        <f t="shared" si="89"/>
        <v>853</v>
      </c>
      <c r="T359" s="28"/>
    </row>
    <row r="360" spans="1:20" ht="17.399999999999999">
      <c r="A360" s="538">
        <v>6</v>
      </c>
      <c r="B360" s="554"/>
      <c r="C360" s="554"/>
      <c r="D360" s="554"/>
      <c r="E360" s="554"/>
      <c r="F360" s="554"/>
      <c r="G360" s="554"/>
      <c r="H360" s="554"/>
      <c r="I360" s="554"/>
      <c r="J360" s="554"/>
      <c r="K360" s="670">
        <f>ROUND((ENRHIST!J1013)/($S329)*($S360),0)</f>
        <v>208</v>
      </c>
      <c r="L360" s="670">
        <f>ROUND((ENRHIST!K1013)/($S329)*$S360,0)-1</f>
        <v>260</v>
      </c>
      <c r="M360" s="670">
        <f>ROUND((ENRHIST!L1013)/($S329)*$S360,0)</f>
        <v>250</v>
      </c>
      <c r="N360" s="670">
        <f>ROUND((ENRHIST!M1013)/($S329)*$S360,0)</f>
        <v>236</v>
      </c>
      <c r="O360" s="288"/>
      <c r="P360" s="288"/>
      <c r="Q360" s="288"/>
      <c r="R360" s="283">
        <f>S360-K360-L360-M360-N360</f>
        <v>2</v>
      </c>
      <c r="S360" s="28">
        <f t="shared" si="89"/>
        <v>956</v>
      </c>
      <c r="T360" s="28"/>
    </row>
    <row r="361" spans="1:20" ht="17.399999999999999">
      <c r="A361" s="538">
        <v>7</v>
      </c>
      <c r="B361" s="554"/>
      <c r="C361" s="554"/>
      <c r="D361" s="554"/>
      <c r="E361" s="554"/>
      <c r="F361" s="554"/>
      <c r="G361" s="554"/>
      <c r="H361" s="554"/>
      <c r="I361" s="554"/>
      <c r="J361" s="554"/>
      <c r="K361" s="670">
        <f>ROUND((K330/$S330)*($S361),0)</f>
        <v>205</v>
      </c>
      <c r="L361" s="670">
        <f t="shared" ref="L361:N361" si="91">ROUND((L330/$S330)*($S361),0)</f>
        <v>255</v>
      </c>
      <c r="M361" s="670">
        <f t="shared" si="91"/>
        <v>248</v>
      </c>
      <c r="N361" s="670">
        <f t="shared" si="91"/>
        <v>234</v>
      </c>
      <c r="O361" s="288"/>
      <c r="P361" s="288"/>
      <c r="Q361" s="288"/>
      <c r="R361" s="283">
        <f>S361-K361-L361-M361-N361</f>
        <v>-2</v>
      </c>
      <c r="S361" s="28">
        <f t="shared" si="89"/>
        <v>940</v>
      </c>
      <c r="T361" s="28"/>
    </row>
    <row r="362" spans="1:20" ht="17.399999999999999">
      <c r="A362" s="538">
        <v>8</v>
      </c>
      <c r="B362" s="554"/>
      <c r="C362" s="554"/>
      <c r="D362" s="554"/>
      <c r="E362" s="554"/>
      <c r="F362" s="554"/>
      <c r="G362" s="554"/>
      <c r="H362" s="554"/>
      <c r="I362" s="554"/>
      <c r="J362" s="554"/>
      <c r="K362" s="670">
        <f>ROUND((K331/$S331)*($S362),0)</f>
        <v>213</v>
      </c>
      <c r="L362" s="670">
        <f t="shared" ref="L362:N362" si="92">ROUND((L331/$S331)*($S362),0)</f>
        <v>263</v>
      </c>
      <c r="M362" s="670">
        <f t="shared" si="92"/>
        <v>258</v>
      </c>
      <c r="N362" s="670">
        <f t="shared" si="92"/>
        <v>241</v>
      </c>
      <c r="O362" s="288"/>
      <c r="P362" s="288"/>
      <c r="Q362" s="288"/>
      <c r="R362" s="283">
        <f>S362-K362-L362-M362-N362</f>
        <v>1</v>
      </c>
      <c r="S362" s="28">
        <f t="shared" si="89"/>
        <v>976</v>
      </c>
      <c r="T362" s="28"/>
    </row>
    <row r="363" spans="1:20" ht="17.399999999999999">
      <c r="A363" s="538">
        <v>9</v>
      </c>
      <c r="B363" s="554"/>
      <c r="C363" s="554"/>
      <c r="D363" s="554"/>
      <c r="E363" s="554"/>
      <c r="F363" s="554"/>
      <c r="G363" s="554"/>
      <c r="H363" s="554"/>
      <c r="I363" s="554"/>
      <c r="J363" s="554"/>
      <c r="K363" s="554"/>
      <c r="L363" s="554"/>
      <c r="M363" s="554"/>
      <c r="N363" s="554"/>
      <c r="O363" s="289">
        <f>ROUND((ENRHIST!J1176/$S332)*($S363),0)</f>
        <v>270</v>
      </c>
      <c r="P363" s="289">
        <f>ROUND((ENRHIST!K1176/$S332)*($S363),0)</f>
        <v>399</v>
      </c>
      <c r="Q363" s="289">
        <f>ROUND((ENRHIST!L1176/$S332)*($S363),0)</f>
        <v>283</v>
      </c>
      <c r="R363" s="289">
        <f>S363-Q363-P363-O363</f>
        <v>27</v>
      </c>
      <c r="S363" s="28">
        <f t="shared" si="89"/>
        <v>979</v>
      </c>
      <c r="T363" s="28"/>
    </row>
    <row r="364" spans="1:20" ht="17.399999999999999">
      <c r="A364" s="538">
        <v>10</v>
      </c>
      <c r="B364" s="554"/>
      <c r="C364" s="554"/>
      <c r="D364" s="554"/>
      <c r="E364" s="554"/>
      <c r="F364" s="554"/>
      <c r="G364" s="554"/>
      <c r="H364" s="554"/>
      <c r="I364" s="554"/>
      <c r="J364" s="554"/>
      <c r="K364" s="554"/>
      <c r="L364" s="554"/>
      <c r="M364" s="554"/>
      <c r="N364" s="554"/>
      <c r="O364" s="289">
        <f>ROUND((O333/$S333)*($S364),0)</f>
        <v>260</v>
      </c>
      <c r="P364" s="289">
        <f t="shared" ref="P364:Q364" si="93">ROUND((P333/$S333)*($S364),0)</f>
        <v>398</v>
      </c>
      <c r="Q364" s="289">
        <f t="shared" si="93"/>
        <v>288</v>
      </c>
      <c r="R364" s="289">
        <f>S364-Q364-P364-O364</f>
        <v>26</v>
      </c>
      <c r="S364" s="28">
        <f t="shared" si="89"/>
        <v>972</v>
      </c>
      <c r="T364" s="28"/>
    </row>
    <row r="365" spans="1:20" ht="17.399999999999999">
      <c r="A365" s="538">
        <v>11</v>
      </c>
      <c r="B365" s="554"/>
      <c r="C365" s="554"/>
      <c r="D365" s="554"/>
      <c r="E365" s="554"/>
      <c r="F365" s="554"/>
      <c r="G365" s="554"/>
      <c r="H365" s="554"/>
      <c r="I365" s="554"/>
      <c r="J365" s="554"/>
      <c r="K365" s="554"/>
      <c r="L365" s="554"/>
      <c r="M365" s="554"/>
      <c r="N365" s="554"/>
      <c r="O365" s="289">
        <f>ROUND((O334/$S334)*($S365),0)</f>
        <v>236</v>
      </c>
      <c r="P365" s="289">
        <f t="shared" ref="P365:Q365" si="94">ROUND((P334/$S334)*($S365),0)</f>
        <v>376</v>
      </c>
      <c r="Q365" s="289">
        <f t="shared" si="94"/>
        <v>284</v>
      </c>
      <c r="R365" s="289">
        <f>S365-Q365-P365-O365</f>
        <v>14</v>
      </c>
      <c r="S365" s="28">
        <f t="shared" si="89"/>
        <v>910</v>
      </c>
      <c r="T365" s="28"/>
    </row>
    <row r="366" spans="1:20" ht="17.399999999999999">
      <c r="A366" s="538">
        <v>12</v>
      </c>
      <c r="B366" s="554"/>
      <c r="C366" s="554"/>
      <c r="D366" s="554"/>
      <c r="E366" s="554"/>
      <c r="F366" s="554"/>
      <c r="G366" s="554"/>
      <c r="H366" s="554"/>
      <c r="I366" s="554"/>
      <c r="J366" s="554"/>
      <c r="K366" s="554"/>
      <c r="L366" s="554"/>
      <c r="M366" s="554"/>
      <c r="N366" s="554"/>
      <c r="O366" s="289">
        <f>ROUND((O335/$S335)*($S366),0)</f>
        <v>217</v>
      </c>
      <c r="P366" s="289">
        <f t="shared" ref="P366:Q366" si="95">ROUND((P335/$S335)*($S366),0)</f>
        <v>372</v>
      </c>
      <c r="Q366" s="289">
        <f t="shared" si="95"/>
        <v>335</v>
      </c>
      <c r="R366" s="289">
        <f>S366-Q366-P366-O366</f>
        <v>13</v>
      </c>
      <c r="S366" s="28">
        <f t="shared" si="89"/>
        <v>937</v>
      </c>
      <c r="T366" s="28"/>
    </row>
    <row r="367" spans="1:20" ht="17.399999999999999">
      <c r="A367" s="28" t="s">
        <v>50</v>
      </c>
      <c r="B367" s="554">
        <f t="shared" ref="B367:Q367" si="96">ROUND((B337/$S$337)*$F$269,0)</f>
        <v>0</v>
      </c>
      <c r="C367" s="554">
        <f t="shared" si="96"/>
        <v>0</v>
      </c>
      <c r="D367" s="554">
        <f t="shared" si="96"/>
        <v>0</v>
      </c>
      <c r="E367" s="554">
        <f t="shared" si="96"/>
        <v>0</v>
      </c>
      <c r="F367" s="554">
        <f t="shared" si="96"/>
        <v>0</v>
      </c>
      <c r="G367" s="554">
        <f t="shared" si="96"/>
        <v>0</v>
      </c>
      <c r="H367" s="554">
        <f t="shared" si="96"/>
        <v>0</v>
      </c>
      <c r="I367" s="554">
        <f t="shared" si="96"/>
        <v>0</v>
      </c>
      <c r="J367" s="554">
        <f t="shared" si="96"/>
        <v>0</v>
      </c>
      <c r="K367" s="554">
        <f t="shared" si="96"/>
        <v>0</v>
      </c>
      <c r="L367" s="554">
        <f t="shared" si="96"/>
        <v>0</v>
      </c>
      <c r="M367" s="554">
        <f t="shared" si="96"/>
        <v>0</v>
      </c>
      <c r="N367" s="554">
        <f t="shared" si="96"/>
        <v>0</v>
      </c>
      <c r="O367" s="288">
        <f t="shared" si="96"/>
        <v>6</v>
      </c>
      <c r="P367" s="288">
        <f t="shared" si="96"/>
        <v>9</v>
      </c>
      <c r="Q367" s="288">
        <f t="shared" si="96"/>
        <v>7</v>
      </c>
      <c r="R367" s="288"/>
      <c r="S367" s="28">
        <f t="shared" si="89"/>
        <v>22</v>
      </c>
      <c r="T367" s="28"/>
    </row>
    <row r="368" spans="1:20" ht="17.399999999999999">
      <c r="A368" s="312"/>
      <c r="B368" s="557"/>
      <c r="C368" s="557"/>
      <c r="D368" s="557"/>
      <c r="E368" s="557"/>
      <c r="F368" s="557"/>
      <c r="G368" s="557"/>
      <c r="H368" s="557"/>
      <c r="I368" s="557"/>
      <c r="J368" s="557"/>
      <c r="K368" s="557"/>
      <c r="L368" s="557"/>
      <c r="M368" s="557"/>
      <c r="N368" s="557"/>
      <c r="O368" s="265"/>
      <c r="P368" s="265"/>
      <c r="Q368" s="265"/>
      <c r="R368" s="265"/>
      <c r="S368" s="301"/>
      <c r="T368" s="563"/>
    </row>
    <row r="369" spans="1:21" ht="17.399999999999999">
      <c r="A369" s="292" t="s">
        <v>51</v>
      </c>
      <c r="B369" s="560">
        <f>SUM(B354:B366)</f>
        <v>585</v>
      </c>
      <c r="C369" s="560">
        <f t="shared" ref="C369:N369" si="97">SUM(C354:C366)</f>
        <v>435</v>
      </c>
      <c r="D369" s="560">
        <f t="shared" si="97"/>
        <v>550</v>
      </c>
      <c r="E369" s="560">
        <f t="shared" si="97"/>
        <v>505</v>
      </c>
      <c r="F369" s="560">
        <f t="shared" si="97"/>
        <v>591</v>
      </c>
      <c r="G369" s="560">
        <f t="shared" si="97"/>
        <v>527</v>
      </c>
      <c r="H369" s="560">
        <f t="shared" si="97"/>
        <v>576</v>
      </c>
      <c r="I369" s="560">
        <f t="shared" si="97"/>
        <v>450</v>
      </c>
      <c r="J369" s="560">
        <f t="shared" si="97"/>
        <v>603</v>
      </c>
      <c r="K369" s="560">
        <f t="shared" si="97"/>
        <v>626</v>
      </c>
      <c r="L369" s="560">
        <f t="shared" si="97"/>
        <v>778</v>
      </c>
      <c r="M369" s="560">
        <f t="shared" si="97"/>
        <v>756</v>
      </c>
      <c r="N369" s="560">
        <f t="shared" si="97"/>
        <v>711</v>
      </c>
      <c r="O369" s="313">
        <f>SUM(O354:O367)</f>
        <v>989</v>
      </c>
      <c r="P369" s="313">
        <f>SUM(P354:P367)</f>
        <v>1554</v>
      </c>
      <c r="Q369" s="313">
        <f>SUM(Q354:Q367)</f>
        <v>1197</v>
      </c>
      <c r="R369" s="313">
        <f>SUM(R354:R367)</f>
        <v>81</v>
      </c>
      <c r="S369" s="314">
        <f>F272</f>
        <v>11514</v>
      </c>
      <c r="T369" s="564"/>
      <c r="U369" s="4"/>
    </row>
    <row r="370" spans="1:21" ht="17.399999999999999">
      <c r="A370" s="28"/>
      <c r="B370" s="345"/>
      <c r="C370" s="345"/>
      <c r="D370" s="345"/>
      <c r="E370" s="345"/>
      <c r="F370" s="345"/>
      <c r="G370" s="345"/>
      <c r="H370" s="345"/>
      <c r="I370" s="345"/>
      <c r="J370" s="345"/>
      <c r="K370" s="345"/>
      <c r="L370" s="345"/>
      <c r="M370" s="345"/>
      <c r="N370" s="345"/>
      <c r="O370" s="28"/>
      <c r="P370" s="28"/>
      <c r="Q370" s="28"/>
      <c r="R370" s="28"/>
      <c r="S370" s="28"/>
      <c r="T370" s="28"/>
    </row>
    <row r="371" spans="1:21" ht="17.399999999999999">
      <c r="A371" s="274" t="s">
        <v>115</v>
      </c>
      <c r="B371" s="346">
        <f t="shared" ref="B371:R371" si="98">B341</f>
        <v>625</v>
      </c>
      <c r="C371" s="346">
        <f t="shared" si="98"/>
        <v>575</v>
      </c>
      <c r="D371" s="346">
        <f t="shared" si="98"/>
        <v>600</v>
      </c>
      <c r="E371" s="346">
        <f t="shared" si="98"/>
        <v>725</v>
      </c>
      <c r="F371" s="346">
        <f t="shared" si="98"/>
        <v>725</v>
      </c>
      <c r="G371" s="346">
        <f t="shared" si="98"/>
        <v>625</v>
      </c>
      <c r="H371" s="346">
        <f t="shared" si="98"/>
        <v>700</v>
      </c>
      <c r="I371" s="346">
        <f t="shared" si="98"/>
        <v>593</v>
      </c>
      <c r="J371" s="346">
        <f t="shared" si="98"/>
        <v>750</v>
      </c>
      <c r="K371" s="346">
        <f t="shared" si="98"/>
        <v>667</v>
      </c>
      <c r="L371" s="346">
        <f t="shared" si="98"/>
        <v>864</v>
      </c>
      <c r="M371" s="346">
        <f t="shared" si="98"/>
        <v>779</v>
      </c>
      <c r="N371" s="346">
        <f t="shared" si="98"/>
        <v>756</v>
      </c>
      <c r="O371" s="283">
        <f t="shared" si="98"/>
        <v>1250</v>
      </c>
      <c r="P371" s="283">
        <f t="shared" si="98"/>
        <v>1500</v>
      </c>
      <c r="Q371" s="283">
        <f t="shared" si="98"/>
        <v>1019</v>
      </c>
      <c r="R371" s="283">
        <f t="shared" si="98"/>
        <v>100</v>
      </c>
      <c r="S371" s="283">
        <f>SUM(B371:R371)</f>
        <v>12853</v>
      </c>
      <c r="T371" s="283"/>
    </row>
    <row r="372" spans="1:21" ht="17.399999999999999">
      <c r="A372" s="28"/>
      <c r="B372" s="345"/>
      <c r="C372" s="345"/>
      <c r="D372" s="345"/>
      <c r="E372" s="345"/>
      <c r="F372" s="345"/>
      <c r="G372" s="345"/>
      <c r="H372" s="345"/>
      <c r="I372" s="345"/>
      <c r="J372" s="666"/>
      <c r="K372" s="345"/>
      <c r="L372" s="345"/>
      <c r="M372" s="345"/>
      <c r="N372" s="345"/>
      <c r="O372" s="28"/>
      <c r="P372" s="28"/>
      <c r="Q372" s="28"/>
      <c r="R372" s="28"/>
      <c r="S372" s="28"/>
      <c r="T372" s="28"/>
    </row>
    <row r="373" spans="1:21" ht="17.399999999999999">
      <c r="A373" s="274" t="s">
        <v>244</v>
      </c>
      <c r="B373" s="668">
        <f t="shared" ref="B373:S373" si="99">B369/B371</f>
        <v>0.93600000000000005</v>
      </c>
      <c r="C373" s="668">
        <f t="shared" si="99"/>
        <v>0.75652173913043474</v>
      </c>
      <c r="D373" s="668">
        <f t="shared" si="99"/>
        <v>0.91666666666666663</v>
      </c>
      <c r="E373" s="668">
        <f t="shared" si="99"/>
        <v>0.69655172413793098</v>
      </c>
      <c r="F373" s="668">
        <f t="shared" si="99"/>
        <v>0.81517241379310346</v>
      </c>
      <c r="G373" s="668">
        <f t="shared" si="99"/>
        <v>0.84319999999999995</v>
      </c>
      <c r="H373" s="668">
        <f t="shared" si="99"/>
        <v>0.82285714285714284</v>
      </c>
      <c r="I373" s="668">
        <f t="shared" si="99"/>
        <v>0.75885328836424959</v>
      </c>
      <c r="J373" s="668">
        <f t="shared" si="99"/>
        <v>0.80400000000000005</v>
      </c>
      <c r="K373" s="668">
        <f t="shared" si="99"/>
        <v>0.93853073463268366</v>
      </c>
      <c r="L373" s="668">
        <f t="shared" si="99"/>
        <v>0.90046296296296291</v>
      </c>
      <c r="M373" s="668">
        <f t="shared" si="99"/>
        <v>0.97047496790757382</v>
      </c>
      <c r="N373" s="668">
        <f t="shared" si="99"/>
        <v>0.94047619047619047</v>
      </c>
      <c r="O373" s="291">
        <f t="shared" si="99"/>
        <v>0.79120000000000001</v>
      </c>
      <c r="P373" s="291">
        <f t="shared" si="99"/>
        <v>1.036</v>
      </c>
      <c r="Q373" s="291">
        <f t="shared" si="99"/>
        <v>1.1746810598626105</v>
      </c>
      <c r="R373" s="291">
        <f t="shared" si="99"/>
        <v>0.81</v>
      </c>
      <c r="S373" s="291">
        <f t="shared" si="99"/>
        <v>0.89582198708472727</v>
      </c>
      <c r="T373" s="291"/>
    </row>
    <row r="374" spans="1:21" ht="17.399999999999999">
      <c r="A374" s="274"/>
      <c r="B374" s="291"/>
      <c r="C374" s="291"/>
      <c r="D374" s="291"/>
      <c r="E374" s="291"/>
      <c r="F374" s="291"/>
      <c r="G374" s="291"/>
      <c r="H374" s="291"/>
      <c r="I374" s="291"/>
      <c r="J374" s="291"/>
      <c r="K374" s="291"/>
      <c r="L374" s="291"/>
      <c r="M374" s="291"/>
      <c r="N374" s="291"/>
      <c r="O374" s="291"/>
      <c r="P374" s="291"/>
    </row>
    <row r="375" spans="1:21" ht="17.399999999999999">
      <c r="A375" s="290"/>
      <c r="B375" s="291"/>
      <c r="C375" s="291"/>
      <c r="D375" s="291"/>
      <c r="E375" s="291"/>
      <c r="F375" s="291"/>
      <c r="G375" s="291"/>
      <c r="H375" s="291"/>
      <c r="I375" s="291"/>
      <c r="J375" s="291"/>
      <c r="K375" s="291"/>
      <c r="L375" s="291"/>
      <c r="M375" s="291"/>
      <c r="N375" s="291"/>
      <c r="O375" s="291"/>
      <c r="P375" s="291"/>
    </row>
    <row r="376" spans="1:21" ht="17.399999999999999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</row>
    <row r="377" spans="1:21" ht="17.399999999999999">
      <c r="A377" s="812" t="s">
        <v>203</v>
      </c>
      <c r="B377" s="812"/>
      <c r="C377" s="812"/>
      <c r="D377" s="812"/>
      <c r="E377" s="812"/>
      <c r="F377" s="812"/>
      <c r="G377" s="812"/>
      <c r="H377" s="812"/>
      <c r="I377" s="812"/>
      <c r="J377" s="812"/>
      <c r="K377" s="812"/>
      <c r="L377" s="812"/>
      <c r="M377" s="812"/>
    </row>
    <row r="378" spans="1:21" ht="17.399999999999999">
      <c r="A378" s="812" t="str">
        <f>$D$248</f>
        <v xml:space="preserve">    THREE YEAR AVERAGE PERCENTAGE OF SURVIVAL</v>
      </c>
      <c r="B378" s="812"/>
      <c r="C378" s="812"/>
      <c r="D378" s="812"/>
      <c r="E378" s="812"/>
      <c r="F378" s="812"/>
      <c r="G378" s="812"/>
      <c r="H378" s="812"/>
      <c r="I378" s="812"/>
      <c r="J378" s="812"/>
      <c r="K378" s="812"/>
      <c r="L378" s="812"/>
      <c r="M378" s="812"/>
    </row>
    <row r="379" spans="1:21" ht="17.399999999999999">
      <c r="A379" s="812" t="s">
        <v>245</v>
      </c>
      <c r="B379" s="812"/>
      <c r="C379" s="812"/>
      <c r="D379" s="812"/>
      <c r="E379" s="812"/>
      <c r="F379" s="812"/>
      <c r="G379" s="812"/>
      <c r="H379" s="812"/>
      <c r="I379" s="812"/>
      <c r="J379" s="812"/>
      <c r="K379" s="812"/>
      <c r="L379" s="812"/>
      <c r="M379" s="812"/>
    </row>
    <row r="381" spans="1:21">
      <c r="A381" s="19" t="s">
        <v>119</v>
      </c>
      <c r="B381" s="21"/>
      <c r="C381" s="21" t="s">
        <v>331</v>
      </c>
      <c r="D381" s="19" t="s">
        <v>121</v>
      </c>
      <c r="E381" s="19" t="s">
        <v>247</v>
      </c>
      <c r="F381" s="19" t="s">
        <v>248</v>
      </c>
      <c r="G381" s="19" t="s">
        <v>249</v>
      </c>
      <c r="H381" s="19" t="s">
        <v>250</v>
      </c>
      <c r="I381" s="19" t="s">
        <v>251</v>
      </c>
      <c r="J381" s="19" t="s">
        <v>252</v>
      </c>
      <c r="K381" s="19" t="s">
        <v>253</v>
      </c>
      <c r="L381" s="19" t="s">
        <v>254</v>
      </c>
      <c r="M381" s="19" t="s">
        <v>255</v>
      </c>
    </row>
    <row r="382" spans="1:2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21" ht="17.399999999999999">
      <c r="A383" s="263"/>
      <c r="B383" s="265" t="str">
        <f t="shared" ref="B383:M383" si="100">B252</f>
        <v>3 YEAR AVE.</v>
      </c>
      <c r="C383" s="264" t="str">
        <f t="shared" si="100"/>
        <v>2025-26</v>
      </c>
      <c r="D383" s="298" t="str">
        <f t="shared" si="100"/>
        <v>2026-27</v>
      </c>
      <c r="E383" s="298" t="str">
        <f t="shared" si="100"/>
        <v>2027-28</v>
      </c>
      <c r="F383" s="298" t="str">
        <f t="shared" si="100"/>
        <v>2028-29</v>
      </c>
      <c r="G383" s="298" t="str">
        <f t="shared" si="100"/>
        <v>2029-30</v>
      </c>
      <c r="H383" s="298" t="str">
        <f t="shared" si="100"/>
        <v>2030-31</v>
      </c>
      <c r="I383" s="298" t="str">
        <f t="shared" si="100"/>
        <v>2031-32</v>
      </c>
      <c r="J383" s="298" t="str">
        <f t="shared" si="100"/>
        <v>2032-33</v>
      </c>
      <c r="K383" s="298" t="str">
        <f t="shared" si="100"/>
        <v>2033-34</v>
      </c>
      <c r="L383" s="298" t="str">
        <f t="shared" si="100"/>
        <v>2034-35</v>
      </c>
      <c r="M383" s="310" t="str">
        <f t="shared" si="100"/>
        <v>2035-36</v>
      </c>
    </row>
    <row r="384" spans="1:21" ht="17.399999999999999">
      <c r="A384" s="311" t="s">
        <v>24</v>
      </c>
      <c r="B384" s="1" t="s">
        <v>110</v>
      </c>
      <c r="C384" s="1" t="s">
        <v>256</v>
      </c>
      <c r="D384" s="16"/>
      <c r="E384" s="16"/>
      <c r="F384" s="16"/>
      <c r="G384" s="16"/>
      <c r="H384" s="16"/>
      <c r="I384" s="16"/>
      <c r="J384" s="16"/>
      <c r="K384" s="16"/>
      <c r="L384" s="16"/>
      <c r="M384" s="303"/>
    </row>
    <row r="385" spans="1:13" ht="17.399999999999999">
      <c r="A385" s="268"/>
      <c r="B385" s="270" t="str">
        <f>B254</f>
        <v>SURVIVAL</v>
      </c>
      <c r="C385" s="270" t="str">
        <f>C254</f>
        <v xml:space="preserve">  ENROLLED</v>
      </c>
      <c r="D385" s="270"/>
      <c r="E385" s="270"/>
      <c r="F385" s="270"/>
      <c r="G385" s="270"/>
      <c r="H385" s="270"/>
      <c r="I385" s="270"/>
      <c r="J385" s="270"/>
      <c r="K385" s="270"/>
      <c r="L385" s="270"/>
      <c r="M385" s="306"/>
    </row>
    <row r="386" spans="1:13" ht="17.399999999999999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</row>
    <row r="387" spans="1:13" ht="17.399999999999999">
      <c r="A387" s="274" t="s">
        <v>402</v>
      </c>
      <c r="B387" s="28"/>
      <c r="C387" s="285">
        <f>SUM(C256:C261)</f>
        <v>4938</v>
      </c>
      <c r="D387" s="285">
        <f>SUM(D256:D261)</f>
        <v>4884</v>
      </c>
      <c r="E387" s="285">
        <f>SUM(E256:E261)</f>
        <v>4852</v>
      </c>
      <c r="F387" s="285">
        <f>SUM(F256:F261)</f>
        <v>4822</v>
      </c>
      <c r="G387" s="285">
        <f t="shared" ref="G387:M387" si="101">SUM(G256:G261)</f>
        <v>4835</v>
      </c>
      <c r="H387" s="285">
        <f t="shared" si="101"/>
        <v>4913</v>
      </c>
      <c r="I387" s="285">
        <f t="shared" si="101"/>
        <v>5003</v>
      </c>
      <c r="J387" s="285">
        <f t="shared" si="101"/>
        <v>5031</v>
      </c>
      <c r="K387" s="285">
        <f t="shared" si="101"/>
        <v>5087</v>
      </c>
      <c r="L387" s="285">
        <f t="shared" si="101"/>
        <v>5123</v>
      </c>
      <c r="M387" s="285">
        <f t="shared" si="101"/>
        <v>5190</v>
      </c>
    </row>
    <row r="388" spans="1:13" ht="17.399999999999999">
      <c r="A388" s="28"/>
      <c r="B388" s="28"/>
      <c r="C388" s="272"/>
      <c r="D388" s="272"/>
      <c r="E388" s="272"/>
      <c r="F388" s="272"/>
      <c r="G388" s="272"/>
      <c r="H388" s="272"/>
      <c r="I388" s="272"/>
      <c r="J388" s="272"/>
      <c r="K388" s="272"/>
      <c r="L388" s="272"/>
      <c r="M388" s="272"/>
    </row>
    <row r="389" spans="1:13" ht="17.399999999999999">
      <c r="A389" s="274" t="s">
        <v>319</v>
      </c>
      <c r="B389" s="28"/>
      <c r="C389" s="285">
        <f t="shared" ref="C389:M389" si="102">SUM($B371:$J371)</f>
        <v>5918</v>
      </c>
      <c r="D389" s="285">
        <f t="shared" si="102"/>
        <v>5918</v>
      </c>
      <c r="E389" s="285">
        <f t="shared" si="102"/>
        <v>5918</v>
      </c>
      <c r="F389" s="285">
        <f t="shared" si="102"/>
        <v>5918</v>
      </c>
      <c r="G389" s="285">
        <f t="shared" si="102"/>
        <v>5918</v>
      </c>
      <c r="H389" s="285">
        <f t="shared" si="102"/>
        <v>5918</v>
      </c>
      <c r="I389" s="285">
        <f t="shared" si="102"/>
        <v>5918</v>
      </c>
      <c r="J389" s="285">
        <f t="shared" si="102"/>
        <v>5918</v>
      </c>
      <c r="K389" s="285">
        <f t="shared" si="102"/>
        <v>5918</v>
      </c>
      <c r="L389" s="285">
        <f t="shared" si="102"/>
        <v>5918</v>
      </c>
      <c r="M389" s="285">
        <f t="shared" si="102"/>
        <v>5918</v>
      </c>
    </row>
    <row r="390" spans="1:13" ht="17.399999999999999">
      <c r="A390" s="274" t="s">
        <v>258</v>
      </c>
      <c r="B390" s="28"/>
      <c r="C390" s="272">
        <v>9</v>
      </c>
      <c r="D390" s="285">
        <v>9</v>
      </c>
      <c r="E390" s="285">
        <v>9</v>
      </c>
      <c r="F390" s="285">
        <v>9</v>
      </c>
      <c r="G390" s="285">
        <v>9</v>
      </c>
      <c r="H390" s="285">
        <v>9</v>
      </c>
      <c r="I390" s="285">
        <v>9</v>
      </c>
      <c r="J390" s="285">
        <v>9</v>
      </c>
      <c r="K390" s="285">
        <v>9</v>
      </c>
      <c r="L390" s="285">
        <v>9</v>
      </c>
      <c r="M390" s="285">
        <v>9</v>
      </c>
    </row>
    <row r="391" spans="1:13" ht="17.399999999999999">
      <c r="A391" s="274" t="s">
        <v>259</v>
      </c>
      <c r="B391" s="28"/>
      <c r="C391" s="285">
        <f t="shared" ref="C391:M391" si="103">C387/C390</f>
        <v>548.66666666666663</v>
      </c>
      <c r="D391" s="285">
        <f t="shared" si="103"/>
        <v>542.66666666666663</v>
      </c>
      <c r="E391" s="285">
        <f t="shared" si="103"/>
        <v>539.11111111111109</v>
      </c>
      <c r="F391" s="285">
        <f t="shared" si="103"/>
        <v>535.77777777777783</v>
      </c>
      <c r="G391" s="285">
        <f t="shared" si="103"/>
        <v>537.22222222222217</v>
      </c>
      <c r="H391" s="285">
        <f t="shared" si="103"/>
        <v>545.88888888888891</v>
      </c>
      <c r="I391" s="285">
        <f t="shared" si="103"/>
        <v>555.88888888888891</v>
      </c>
      <c r="J391" s="285">
        <f t="shared" si="103"/>
        <v>559</v>
      </c>
      <c r="K391" s="285">
        <f t="shared" si="103"/>
        <v>565.22222222222217</v>
      </c>
      <c r="L391" s="285">
        <f t="shared" si="103"/>
        <v>569.22222222222217</v>
      </c>
      <c r="M391" s="285">
        <f t="shared" si="103"/>
        <v>576.66666666666663</v>
      </c>
    </row>
    <row r="392" spans="1:13" ht="17.399999999999999">
      <c r="A392" s="274" t="s">
        <v>116</v>
      </c>
      <c r="B392" s="28"/>
      <c r="C392" s="286">
        <f t="shared" ref="C392:M392" si="104">C387/C389</f>
        <v>0.83440351470091245</v>
      </c>
      <c r="D392" s="286">
        <f t="shared" si="104"/>
        <v>0.82527881040892193</v>
      </c>
      <c r="E392" s="286">
        <f t="shared" si="104"/>
        <v>0.81987157823589052</v>
      </c>
      <c r="F392" s="286">
        <f t="shared" si="104"/>
        <v>0.81480229807367355</v>
      </c>
      <c r="G392" s="286">
        <f t="shared" si="104"/>
        <v>0.8169989861439676</v>
      </c>
      <c r="H392" s="286">
        <f t="shared" si="104"/>
        <v>0.83017911456573168</v>
      </c>
      <c r="I392" s="286">
        <f t="shared" si="104"/>
        <v>0.84538695505238259</v>
      </c>
      <c r="J392" s="286">
        <f t="shared" si="104"/>
        <v>0.85011828320378502</v>
      </c>
      <c r="K392" s="286">
        <f t="shared" si="104"/>
        <v>0.85958093950659009</v>
      </c>
      <c r="L392" s="286">
        <f t="shared" si="104"/>
        <v>0.86566407570125037</v>
      </c>
      <c r="M392" s="286">
        <f t="shared" si="104"/>
        <v>0.87698546806353495</v>
      </c>
    </row>
    <row r="393" spans="1:13" ht="17.399999999999999">
      <c r="A393" s="274"/>
      <c r="B393" s="28"/>
      <c r="C393" s="286"/>
      <c r="D393" s="286"/>
      <c r="E393" s="286"/>
      <c r="F393" s="286"/>
      <c r="G393" s="286"/>
      <c r="H393" s="286"/>
      <c r="I393" s="286"/>
      <c r="J393" s="286"/>
      <c r="K393" s="286"/>
      <c r="L393" s="286"/>
      <c r="M393" s="286"/>
    </row>
    <row r="394" spans="1:13" ht="18" thickBot="1">
      <c r="A394" s="290"/>
      <c r="B394" s="28"/>
      <c r="C394" s="286"/>
      <c r="D394" s="286"/>
      <c r="E394" s="286"/>
      <c r="F394" s="286"/>
      <c r="G394" s="286"/>
      <c r="H394" s="286"/>
      <c r="I394" s="286"/>
      <c r="J394" s="286"/>
      <c r="K394" s="286"/>
      <c r="L394" s="286"/>
      <c r="M394" s="286"/>
    </row>
    <row r="395" spans="1:13" ht="18" thickTop="1">
      <c r="A395" s="308"/>
      <c r="B395" s="308"/>
      <c r="C395" s="308"/>
      <c r="D395" s="308"/>
      <c r="E395" s="308"/>
      <c r="F395" s="308"/>
      <c r="G395" s="308"/>
      <c r="H395" s="308"/>
      <c r="I395" s="308"/>
      <c r="J395" s="308"/>
      <c r="K395" s="308"/>
      <c r="L395" s="308"/>
      <c r="M395" s="308"/>
    </row>
    <row r="396" spans="1:13" ht="17.399999999999999">
      <c r="A396" s="274" t="s">
        <v>260</v>
      </c>
      <c r="B396" s="28"/>
      <c r="C396" s="285">
        <f t="shared" ref="C396:M396" si="105">SUM(C262:C264)</f>
        <v>2895</v>
      </c>
      <c r="D396" s="285">
        <f t="shared" si="105"/>
        <v>2922</v>
      </c>
      <c r="E396" s="285">
        <f t="shared" si="105"/>
        <v>2868</v>
      </c>
      <c r="F396" s="285">
        <f t="shared" si="105"/>
        <v>2872</v>
      </c>
      <c r="G396" s="285">
        <f t="shared" si="105"/>
        <v>2798</v>
      </c>
      <c r="H396" s="285">
        <f t="shared" si="105"/>
        <v>2703</v>
      </c>
      <c r="I396" s="285">
        <f t="shared" si="105"/>
        <v>2579</v>
      </c>
      <c r="J396" s="285">
        <f t="shared" si="105"/>
        <v>2598</v>
      </c>
      <c r="K396" s="285">
        <f t="shared" si="105"/>
        <v>2660</v>
      </c>
      <c r="L396" s="285">
        <f t="shared" si="105"/>
        <v>2756</v>
      </c>
      <c r="M396" s="285">
        <f t="shared" si="105"/>
        <v>2755</v>
      </c>
    </row>
    <row r="397" spans="1:13" ht="17.399999999999999">
      <c r="A397" s="28"/>
      <c r="B397" s="28"/>
      <c r="C397" s="272"/>
      <c r="D397" s="272"/>
      <c r="E397" s="272"/>
      <c r="F397" s="272"/>
      <c r="G397" s="272"/>
      <c r="H397" s="272"/>
      <c r="I397" s="272"/>
      <c r="J397" s="272"/>
      <c r="K397" s="272"/>
      <c r="L397" s="272"/>
      <c r="M397" s="272"/>
    </row>
    <row r="398" spans="1:13" ht="17.399999999999999">
      <c r="A398" s="274" t="s">
        <v>320</v>
      </c>
      <c r="B398" s="28"/>
      <c r="C398" s="285">
        <f t="shared" ref="C398:M398" si="106">SUM($K371:$N371)</f>
        <v>3066</v>
      </c>
      <c r="D398" s="285">
        <f t="shared" si="106"/>
        <v>3066</v>
      </c>
      <c r="E398" s="285">
        <f t="shared" si="106"/>
        <v>3066</v>
      </c>
      <c r="F398" s="285">
        <f t="shared" si="106"/>
        <v>3066</v>
      </c>
      <c r="G398" s="285">
        <f t="shared" si="106"/>
        <v>3066</v>
      </c>
      <c r="H398" s="285">
        <f t="shared" si="106"/>
        <v>3066</v>
      </c>
      <c r="I398" s="285">
        <f t="shared" si="106"/>
        <v>3066</v>
      </c>
      <c r="J398" s="285">
        <f t="shared" si="106"/>
        <v>3066</v>
      </c>
      <c r="K398" s="285">
        <f t="shared" si="106"/>
        <v>3066</v>
      </c>
      <c r="L398" s="285">
        <f t="shared" si="106"/>
        <v>3066</v>
      </c>
      <c r="M398" s="285">
        <f t="shared" si="106"/>
        <v>3066</v>
      </c>
    </row>
    <row r="399" spans="1:13" ht="17.399999999999999">
      <c r="A399" s="274" t="s">
        <v>258</v>
      </c>
      <c r="B399" s="28"/>
      <c r="C399" s="272">
        <v>4</v>
      </c>
      <c r="D399" s="285">
        <v>4</v>
      </c>
      <c r="E399" s="285">
        <v>4</v>
      </c>
      <c r="F399" s="285">
        <v>4</v>
      </c>
      <c r="G399" s="285">
        <v>4</v>
      </c>
      <c r="H399" s="285">
        <v>4</v>
      </c>
      <c r="I399" s="285">
        <v>4</v>
      </c>
      <c r="J399" s="285">
        <v>4</v>
      </c>
      <c r="K399" s="285">
        <v>4</v>
      </c>
      <c r="L399" s="285">
        <v>4</v>
      </c>
      <c r="M399" s="285">
        <v>4</v>
      </c>
    </row>
    <row r="400" spans="1:13" ht="17.399999999999999">
      <c r="A400" s="274" t="s">
        <v>259</v>
      </c>
      <c r="B400" s="28"/>
      <c r="C400" s="285">
        <f t="shared" ref="C400:M400" si="107">C396/C399</f>
        <v>723.75</v>
      </c>
      <c r="D400" s="285">
        <f t="shared" si="107"/>
        <v>730.5</v>
      </c>
      <c r="E400" s="285">
        <f t="shared" si="107"/>
        <v>717</v>
      </c>
      <c r="F400" s="285">
        <f t="shared" si="107"/>
        <v>718</v>
      </c>
      <c r="G400" s="285">
        <f t="shared" si="107"/>
        <v>699.5</v>
      </c>
      <c r="H400" s="285">
        <f t="shared" si="107"/>
        <v>675.75</v>
      </c>
      <c r="I400" s="285">
        <f t="shared" si="107"/>
        <v>644.75</v>
      </c>
      <c r="J400" s="285">
        <f t="shared" si="107"/>
        <v>649.5</v>
      </c>
      <c r="K400" s="285">
        <f t="shared" si="107"/>
        <v>665</v>
      </c>
      <c r="L400" s="285">
        <f t="shared" si="107"/>
        <v>689</v>
      </c>
      <c r="M400" s="285">
        <f t="shared" si="107"/>
        <v>688.75</v>
      </c>
    </row>
    <row r="401" spans="1:13" ht="18" thickBot="1">
      <c r="A401" s="274" t="s">
        <v>116</v>
      </c>
      <c r="B401" s="28"/>
      <c r="C401" s="286">
        <f t="shared" ref="C401:M401" si="108">C396/C398</f>
        <v>0.94422700587084152</v>
      </c>
      <c r="D401" s="286">
        <f t="shared" si="108"/>
        <v>0.95303326810176126</v>
      </c>
      <c r="E401" s="286">
        <f t="shared" si="108"/>
        <v>0.93542074363992167</v>
      </c>
      <c r="F401" s="286">
        <f t="shared" si="108"/>
        <v>0.93672537508153941</v>
      </c>
      <c r="G401" s="286">
        <f t="shared" si="108"/>
        <v>0.91258969341161122</v>
      </c>
      <c r="H401" s="286">
        <f t="shared" si="108"/>
        <v>0.88160469667318986</v>
      </c>
      <c r="I401" s="286">
        <f t="shared" si="108"/>
        <v>0.84116112198303983</v>
      </c>
      <c r="J401" s="286">
        <f t="shared" si="108"/>
        <v>0.84735812133072408</v>
      </c>
      <c r="K401" s="286">
        <f t="shared" si="108"/>
        <v>0.86757990867579904</v>
      </c>
      <c r="L401" s="286">
        <f t="shared" si="108"/>
        <v>0.89889106327462487</v>
      </c>
      <c r="M401" s="286">
        <f t="shared" si="108"/>
        <v>0.89856490541422052</v>
      </c>
    </row>
    <row r="402" spans="1:13" ht="18" thickTop="1">
      <c r="A402" s="308"/>
      <c r="B402" s="308"/>
      <c r="C402" s="308"/>
      <c r="D402" s="308"/>
      <c r="E402" s="308"/>
      <c r="F402" s="308"/>
      <c r="G402" s="308"/>
      <c r="H402" s="308"/>
      <c r="I402" s="308"/>
      <c r="J402" s="308"/>
      <c r="K402" s="308"/>
      <c r="L402" s="308"/>
      <c r="M402" s="308"/>
    </row>
    <row r="403" spans="1:13" ht="17.399999999999999">
      <c r="A403" s="274" t="s">
        <v>262</v>
      </c>
      <c r="B403" s="28"/>
      <c r="C403" s="285">
        <f>SUM(C265:C268)</f>
        <v>3927</v>
      </c>
      <c r="D403" s="285">
        <f t="shared" ref="D403:M403" si="109">SUM(D265:D268)</f>
        <v>3799</v>
      </c>
      <c r="E403" s="285">
        <f t="shared" si="109"/>
        <v>3814</v>
      </c>
      <c r="F403" s="285">
        <f t="shared" si="109"/>
        <v>3798</v>
      </c>
      <c r="G403" s="285">
        <f t="shared" si="109"/>
        <v>3761</v>
      </c>
      <c r="H403" s="285">
        <f t="shared" si="109"/>
        <v>3748</v>
      </c>
      <c r="I403" s="285">
        <f t="shared" si="109"/>
        <v>3724</v>
      </c>
      <c r="J403" s="285">
        <f t="shared" si="109"/>
        <v>3662</v>
      </c>
      <c r="K403" s="285">
        <f t="shared" si="109"/>
        <v>3531</v>
      </c>
      <c r="L403" s="285">
        <f t="shared" si="109"/>
        <v>3438</v>
      </c>
      <c r="M403" s="285">
        <f t="shared" si="109"/>
        <v>3402</v>
      </c>
    </row>
    <row r="404" spans="1:13" ht="17.399999999999999">
      <c r="A404" s="28"/>
      <c r="B404" s="28"/>
      <c r="C404" s="272"/>
      <c r="D404" s="272"/>
      <c r="E404" s="272"/>
      <c r="F404" s="272"/>
      <c r="G404" s="272"/>
      <c r="H404" s="272"/>
      <c r="I404" s="272"/>
      <c r="J404" s="272"/>
      <c r="K404" s="272"/>
      <c r="L404" s="272"/>
      <c r="M404" s="272"/>
    </row>
    <row r="405" spans="1:13" ht="17.399999999999999">
      <c r="A405" s="274" t="s">
        <v>321</v>
      </c>
      <c r="B405" s="28"/>
      <c r="C405" s="285">
        <f>SUM($O371:$Q371)</f>
        <v>3769</v>
      </c>
      <c r="D405" s="285">
        <f t="shared" ref="D405:M405" si="110">SUM($O371:$Q371)</f>
        <v>3769</v>
      </c>
      <c r="E405" s="285">
        <f t="shared" si="110"/>
        <v>3769</v>
      </c>
      <c r="F405" s="285">
        <f t="shared" si="110"/>
        <v>3769</v>
      </c>
      <c r="G405" s="285">
        <f t="shared" si="110"/>
        <v>3769</v>
      </c>
      <c r="H405" s="285">
        <f t="shared" si="110"/>
        <v>3769</v>
      </c>
      <c r="I405" s="285">
        <f t="shared" si="110"/>
        <v>3769</v>
      </c>
      <c r="J405" s="285">
        <f t="shared" si="110"/>
        <v>3769</v>
      </c>
      <c r="K405" s="285">
        <f t="shared" si="110"/>
        <v>3769</v>
      </c>
      <c r="L405" s="285">
        <f t="shared" si="110"/>
        <v>3769</v>
      </c>
      <c r="M405" s="285">
        <f t="shared" si="110"/>
        <v>3769</v>
      </c>
    </row>
    <row r="406" spans="1:13" ht="17.399999999999999">
      <c r="A406" s="274" t="s">
        <v>264</v>
      </c>
      <c r="B406" s="28"/>
      <c r="C406" s="272">
        <v>3</v>
      </c>
      <c r="D406" s="272">
        <v>3</v>
      </c>
      <c r="E406" s="272">
        <v>3</v>
      </c>
      <c r="F406" s="272">
        <v>3</v>
      </c>
      <c r="G406" s="272">
        <v>3</v>
      </c>
      <c r="H406" s="272">
        <v>3</v>
      </c>
      <c r="I406" s="272">
        <v>3</v>
      </c>
      <c r="J406" s="272">
        <v>3</v>
      </c>
      <c r="K406" s="272">
        <v>3</v>
      </c>
      <c r="L406" s="272">
        <v>3</v>
      </c>
      <c r="M406" s="272">
        <v>3</v>
      </c>
    </row>
    <row r="407" spans="1:13" ht="17.399999999999999">
      <c r="A407" s="274" t="s">
        <v>259</v>
      </c>
      <c r="B407" s="28"/>
      <c r="C407" s="285">
        <f t="shared" ref="C407:M407" si="111">C403/C406</f>
        <v>1309</v>
      </c>
      <c r="D407" s="285">
        <f t="shared" si="111"/>
        <v>1266.3333333333333</v>
      </c>
      <c r="E407" s="285">
        <f t="shared" si="111"/>
        <v>1271.3333333333333</v>
      </c>
      <c r="F407" s="285">
        <f t="shared" si="111"/>
        <v>1266</v>
      </c>
      <c r="G407" s="285">
        <f t="shared" si="111"/>
        <v>1253.6666666666667</v>
      </c>
      <c r="H407" s="285">
        <f t="shared" si="111"/>
        <v>1249.3333333333333</v>
      </c>
      <c r="I407" s="285">
        <f t="shared" si="111"/>
        <v>1241.3333333333333</v>
      </c>
      <c r="J407" s="285">
        <f t="shared" si="111"/>
        <v>1220.6666666666667</v>
      </c>
      <c r="K407" s="285">
        <f t="shared" si="111"/>
        <v>1177</v>
      </c>
      <c r="L407" s="285">
        <f t="shared" si="111"/>
        <v>1146</v>
      </c>
      <c r="M407" s="285">
        <f t="shared" si="111"/>
        <v>1134</v>
      </c>
    </row>
    <row r="408" spans="1:13" ht="18" thickBot="1">
      <c r="A408" s="274" t="s">
        <v>116</v>
      </c>
      <c r="B408" s="28"/>
      <c r="C408" s="286">
        <f t="shared" ref="C408:M408" si="112">C403/C405</f>
        <v>1.0419209339347306</v>
      </c>
      <c r="D408" s="286">
        <f t="shared" si="112"/>
        <v>1.0079596710002654</v>
      </c>
      <c r="E408" s="286">
        <f t="shared" si="112"/>
        <v>1.011939506500398</v>
      </c>
      <c r="F408" s="286">
        <f t="shared" si="112"/>
        <v>1.0076943486335899</v>
      </c>
      <c r="G408" s="286">
        <f t="shared" si="112"/>
        <v>0.99787742106659594</v>
      </c>
      <c r="H408" s="286">
        <f t="shared" si="112"/>
        <v>0.99442823029981431</v>
      </c>
      <c r="I408" s="286">
        <f t="shared" si="112"/>
        <v>0.98806049349960201</v>
      </c>
      <c r="J408" s="286">
        <f t="shared" si="112"/>
        <v>0.97161050676572036</v>
      </c>
      <c r="K408" s="286">
        <f t="shared" si="112"/>
        <v>0.93685327673122842</v>
      </c>
      <c r="L408" s="286">
        <f t="shared" si="112"/>
        <v>0.91217829663040595</v>
      </c>
      <c r="M408" s="286">
        <f t="shared" si="112"/>
        <v>0.90262669143008756</v>
      </c>
    </row>
    <row r="409" spans="1:13" ht="18" thickTop="1">
      <c r="A409" s="308"/>
      <c r="B409" s="308"/>
      <c r="C409" s="308"/>
      <c r="D409" s="308"/>
      <c r="E409" s="308"/>
      <c r="F409" s="308"/>
      <c r="G409" s="308"/>
      <c r="H409" s="308"/>
      <c r="I409" s="308"/>
      <c r="J409" s="308"/>
      <c r="K409" s="308"/>
      <c r="L409" s="308"/>
      <c r="M409" s="308"/>
    </row>
    <row r="410" spans="1:13" ht="17.399999999999999">
      <c r="A410" s="274" t="s">
        <v>312</v>
      </c>
      <c r="B410" s="28"/>
      <c r="C410" s="285">
        <f>C272</f>
        <v>11782</v>
      </c>
      <c r="D410" s="285">
        <f t="shared" ref="D410:M410" si="113">D272</f>
        <v>11627</v>
      </c>
      <c r="E410" s="285">
        <f t="shared" si="113"/>
        <v>11556</v>
      </c>
      <c r="F410" s="285">
        <f t="shared" si="113"/>
        <v>11514</v>
      </c>
      <c r="G410" s="285">
        <f t="shared" si="113"/>
        <v>11416</v>
      </c>
      <c r="H410" s="285">
        <f t="shared" si="113"/>
        <v>11386</v>
      </c>
      <c r="I410" s="285">
        <f t="shared" si="113"/>
        <v>11328</v>
      </c>
      <c r="J410" s="285">
        <f t="shared" si="113"/>
        <v>11313</v>
      </c>
      <c r="K410" s="285">
        <f t="shared" si="113"/>
        <v>11300</v>
      </c>
      <c r="L410" s="285">
        <f t="shared" si="113"/>
        <v>11339</v>
      </c>
      <c r="M410" s="285">
        <f t="shared" si="113"/>
        <v>11369</v>
      </c>
    </row>
    <row r="411" spans="1:13" ht="17.399999999999999">
      <c r="A411" s="28"/>
      <c r="B411" s="28"/>
      <c r="C411" s="272"/>
      <c r="D411" s="272"/>
      <c r="E411" s="272"/>
      <c r="F411" s="272"/>
      <c r="G411" s="272"/>
      <c r="H411" s="272"/>
      <c r="I411" s="272"/>
      <c r="J411" s="272"/>
      <c r="K411" s="272"/>
      <c r="L411" s="272"/>
      <c r="M411" s="272"/>
    </row>
    <row r="412" spans="1:13" ht="17.399999999999999">
      <c r="A412" s="274" t="s">
        <v>266</v>
      </c>
      <c r="B412" s="28"/>
      <c r="C412" s="285">
        <f>C405+C398+C389+100</f>
        <v>12853</v>
      </c>
      <c r="D412" s="285">
        <f t="shared" ref="D412:M412" si="114">D405+D398+D389+100</f>
        <v>12853</v>
      </c>
      <c r="E412" s="285">
        <f t="shared" si="114"/>
        <v>12853</v>
      </c>
      <c r="F412" s="285">
        <f t="shared" si="114"/>
        <v>12853</v>
      </c>
      <c r="G412" s="285">
        <f t="shared" si="114"/>
        <v>12853</v>
      </c>
      <c r="H412" s="285">
        <f t="shared" si="114"/>
        <v>12853</v>
      </c>
      <c r="I412" s="285">
        <f t="shared" si="114"/>
        <v>12853</v>
      </c>
      <c r="J412" s="285">
        <f t="shared" si="114"/>
        <v>12853</v>
      </c>
      <c r="K412" s="285">
        <f t="shared" si="114"/>
        <v>12853</v>
      </c>
      <c r="L412" s="285">
        <f t="shared" si="114"/>
        <v>12853</v>
      </c>
      <c r="M412" s="285">
        <f t="shared" si="114"/>
        <v>12853</v>
      </c>
    </row>
    <row r="413" spans="1:13" ht="17.399999999999999">
      <c r="A413" s="28"/>
      <c r="B413" s="28"/>
      <c r="C413" s="272"/>
      <c r="D413" s="272"/>
      <c r="E413" s="272"/>
      <c r="F413" s="272"/>
      <c r="G413" s="272"/>
      <c r="H413" s="272"/>
      <c r="I413" s="272"/>
      <c r="J413" s="272"/>
      <c r="K413" s="272"/>
      <c r="L413" s="272"/>
      <c r="M413" s="272"/>
    </row>
    <row r="414" spans="1:13" ht="17.399999999999999">
      <c r="A414" s="274" t="s">
        <v>116</v>
      </c>
      <c r="B414" s="28"/>
      <c r="C414" s="286">
        <f t="shared" ref="C414:M414" si="115">C410/C412</f>
        <v>0.91667315023729867</v>
      </c>
      <c r="D414" s="286">
        <f t="shared" si="115"/>
        <v>0.9046137088617443</v>
      </c>
      <c r="E414" s="286">
        <f t="shared" si="115"/>
        <v>0.8990897066832646</v>
      </c>
      <c r="F414" s="286">
        <f t="shared" si="115"/>
        <v>0.89582198708472727</v>
      </c>
      <c r="G414" s="286">
        <f t="shared" si="115"/>
        <v>0.88819730802147356</v>
      </c>
      <c r="H414" s="286">
        <f t="shared" si="115"/>
        <v>0.8858632225939469</v>
      </c>
      <c r="I414" s="286">
        <f t="shared" si="115"/>
        <v>0.88135065743406205</v>
      </c>
      <c r="J414" s="286">
        <f t="shared" si="115"/>
        <v>0.88018361472029871</v>
      </c>
      <c r="K414" s="286">
        <f t="shared" si="115"/>
        <v>0.87917217770170386</v>
      </c>
      <c r="L414" s="286">
        <f t="shared" si="115"/>
        <v>0.88220648875748853</v>
      </c>
      <c r="M414" s="286">
        <f t="shared" si="115"/>
        <v>0.88454057418501519</v>
      </c>
    </row>
    <row r="415" spans="1:13" ht="17.399999999999999">
      <c r="A415" s="28"/>
      <c r="B415" s="28"/>
      <c r="C415" s="272"/>
      <c r="D415" s="272"/>
      <c r="E415" s="272"/>
      <c r="F415" s="272"/>
      <c r="G415" s="272"/>
      <c r="H415" s="272"/>
      <c r="I415" s="272"/>
      <c r="J415" s="272"/>
      <c r="K415" s="272"/>
      <c r="L415" s="272"/>
      <c r="M415" s="272"/>
    </row>
    <row r="416" spans="1:13" ht="17.399999999999999">
      <c r="A416" s="290"/>
      <c r="B416" s="28"/>
      <c r="C416" s="286"/>
      <c r="D416" s="286"/>
      <c r="E416" s="286"/>
      <c r="F416" s="286"/>
      <c r="G416" s="286"/>
      <c r="H416" s="286"/>
      <c r="I416" s="286"/>
      <c r="J416" s="286"/>
      <c r="K416" s="286"/>
      <c r="L416" s="286"/>
      <c r="M416" s="286"/>
    </row>
    <row r="417" spans="1:13" ht="17.399999999999999">
      <c r="A417" s="28"/>
      <c r="B417" s="28"/>
      <c r="C417" s="286"/>
      <c r="D417" s="286"/>
      <c r="E417" s="286"/>
      <c r="F417" s="286"/>
      <c r="G417" s="286"/>
      <c r="H417" s="286"/>
      <c r="I417" s="286"/>
      <c r="J417" s="286"/>
      <c r="K417" s="286"/>
      <c r="L417" s="286"/>
      <c r="M417" s="286"/>
    </row>
    <row r="418" spans="1:13" ht="17.399999999999999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</row>
    <row r="419" spans="1:13" ht="17.399999999999999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</row>
    <row r="420" spans="1:13" ht="17.399999999999999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</row>
    <row r="421" spans="1:13" ht="17.399999999999999">
      <c r="A421" s="28"/>
      <c r="B421" s="28"/>
      <c r="C421" s="777"/>
      <c r="D421" s="28"/>
      <c r="E421" s="777"/>
      <c r="F421" s="28"/>
      <c r="G421" s="777"/>
      <c r="H421" s="28"/>
      <c r="I421" s="28"/>
      <c r="J421" s="28"/>
      <c r="K421" s="28"/>
      <c r="L421" s="28"/>
      <c r="M421" s="28"/>
    </row>
    <row r="422" spans="1:13" ht="17.399999999999999">
      <c r="A422" s="28"/>
      <c r="B422" s="28"/>
      <c r="C422" s="777"/>
      <c r="D422" s="28"/>
      <c r="E422" s="777"/>
      <c r="F422" s="28"/>
      <c r="G422" s="777"/>
      <c r="H422" s="28"/>
      <c r="I422" s="283"/>
      <c r="J422" s="283"/>
      <c r="K422" s="283"/>
      <c r="L422" s="283"/>
      <c r="M422" s="283"/>
    </row>
    <row r="423" spans="1:13" ht="17.399999999999999">
      <c r="A423" s="28"/>
      <c r="B423" s="28"/>
      <c r="C423" s="777"/>
      <c r="D423" s="28"/>
      <c r="E423" s="777"/>
      <c r="F423" s="28"/>
      <c r="G423" s="777"/>
      <c r="H423" s="28"/>
      <c r="I423" s="28"/>
      <c r="J423" s="28"/>
      <c r="K423" s="28"/>
      <c r="L423" s="28"/>
      <c r="M423" s="28"/>
    </row>
    <row r="424" spans="1:13" ht="17.399999999999999">
      <c r="A424" s="28"/>
      <c r="B424" s="28"/>
      <c r="C424" s="777"/>
      <c r="D424" s="28"/>
      <c r="E424" s="777"/>
      <c r="F424" s="28"/>
      <c r="G424" s="777"/>
      <c r="H424" s="28"/>
      <c r="I424" s="283"/>
      <c r="J424" s="283"/>
      <c r="K424" s="283"/>
      <c r="L424" s="283"/>
      <c r="M424" s="283"/>
    </row>
    <row r="425" spans="1:13" ht="17.399999999999999">
      <c r="A425" s="28"/>
      <c r="B425" s="28"/>
      <c r="C425" s="777"/>
      <c r="D425" s="28"/>
      <c r="E425" s="777"/>
      <c r="F425" s="28"/>
      <c r="G425" s="777"/>
      <c r="H425" s="28"/>
      <c r="I425" s="28"/>
      <c r="J425" s="28"/>
      <c r="K425" s="28"/>
      <c r="L425" s="28"/>
      <c r="M425" s="28"/>
    </row>
    <row r="426" spans="1:13" ht="17.399999999999999">
      <c r="A426" s="28"/>
      <c r="B426" s="28"/>
      <c r="C426" s="777"/>
      <c r="D426" s="28"/>
      <c r="E426" s="777"/>
      <c r="F426" s="28"/>
      <c r="G426" s="777"/>
      <c r="H426" s="28"/>
      <c r="I426" s="316"/>
      <c r="J426" s="316"/>
      <c r="K426" s="316"/>
      <c r="L426" s="316"/>
      <c r="M426" s="316"/>
    </row>
    <row r="427" spans="1:13" ht="17.399999999999999">
      <c r="A427" s="28"/>
      <c r="B427" s="28"/>
      <c r="C427" s="777"/>
      <c r="D427" s="28"/>
      <c r="E427" s="777"/>
      <c r="F427" s="28"/>
      <c r="G427" s="777"/>
      <c r="H427" s="28"/>
      <c r="I427" s="659"/>
      <c r="J427" s="659"/>
      <c r="K427" s="659"/>
      <c r="L427" s="659"/>
      <c r="M427" s="659"/>
    </row>
    <row r="428" spans="1:13" ht="17.399999999999999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</row>
    <row r="429" spans="1:13" ht="17.399999999999999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</row>
    <row r="430" spans="1:13" ht="17.399999999999999">
      <c r="A430" s="28"/>
      <c r="B430" s="28"/>
      <c r="C430" s="286"/>
      <c r="D430" s="286"/>
      <c r="E430" s="286"/>
      <c r="F430" s="286"/>
      <c r="G430" s="286"/>
      <c r="H430" s="286"/>
      <c r="I430" s="286"/>
      <c r="J430" s="286"/>
      <c r="K430" s="286"/>
      <c r="L430" s="286"/>
      <c r="M430" s="286"/>
    </row>
    <row r="431" spans="1:13" ht="17.399999999999999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</row>
    <row r="432" spans="1:13" ht="17.399999999999999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</row>
    <row r="433" spans="1:13" ht="17.399999999999999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</row>
    <row r="434" spans="1:13" ht="17.399999999999999"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</row>
    <row r="435" spans="1:13" ht="17.399999999999999">
      <c r="A435" s="28"/>
      <c r="B435" s="28"/>
      <c r="C435" s="283"/>
      <c r="D435" s="283"/>
      <c r="E435" s="283"/>
      <c r="F435" s="283"/>
      <c r="G435" s="283"/>
      <c r="H435" s="283"/>
      <c r="I435" s="283"/>
      <c r="J435" s="283"/>
      <c r="K435" s="283"/>
      <c r="L435" s="283"/>
      <c r="M435" s="283"/>
    </row>
    <row r="436" spans="1:13" ht="17.399999999999999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</row>
    <row r="437" spans="1:13" ht="17.399999999999999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</row>
    <row r="438" spans="1:13" ht="17.399999999999999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</row>
    <row r="439" spans="1:13" ht="17.399999999999999">
      <c r="A439" s="28"/>
      <c r="B439" s="28"/>
      <c r="C439" s="316"/>
      <c r="D439" s="316"/>
      <c r="E439" s="316"/>
      <c r="F439" s="316"/>
      <c r="G439" s="316"/>
      <c r="H439" s="316"/>
      <c r="I439" s="316"/>
      <c r="J439" s="316"/>
      <c r="K439" s="316"/>
      <c r="L439" s="316"/>
      <c r="M439" s="316"/>
    </row>
    <row r="440" spans="1:13" ht="17.399999999999999">
      <c r="A440" s="28"/>
      <c r="B440" s="28"/>
      <c r="C440" s="659"/>
      <c r="D440" s="659"/>
      <c r="E440" s="659"/>
      <c r="F440" s="659"/>
      <c r="G440" s="659"/>
      <c r="H440" s="659"/>
      <c r="I440" s="659"/>
      <c r="J440" s="659"/>
      <c r="K440" s="659"/>
      <c r="L440" s="659"/>
      <c r="M440" s="659"/>
    </row>
    <row r="441" spans="1:13" ht="17.399999999999999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</row>
    <row r="442" spans="1:13" ht="17.399999999999999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</row>
    <row r="443" spans="1:13" ht="17.399999999999999">
      <c r="A443" s="28"/>
      <c r="B443" s="28"/>
      <c r="C443" s="286"/>
      <c r="D443" s="286"/>
      <c r="E443" s="286"/>
      <c r="F443" s="286"/>
      <c r="G443" s="286"/>
      <c r="H443" s="286"/>
      <c r="I443" s="286"/>
      <c r="J443" s="286"/>
      <c r="K443" s="286"/>
      <c r="L443" s="286"/>
      <c r="M443" s="286"/>
    </row>
    <row r="444" spans="1:13" ht="17.399999999999999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</row>
    <row r="445" spans="1:13" ht="17.399999999999999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</row>
    <row r="446" spans="1:13" ht="17.399999999999999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</row>
    <row r="447" spans="1:13" ht="17.399999999999999"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</row>
    <row r="448" spans="1:13" ht="17.399999999999999">
      <c r="A448" s="28"/>
      <c r="B448" s="28"/>
      <c r="C448" s="283"/>
      <c r="D448" s="283"/>
      <c r="E448" s="283"/>
      <c r="F448" s="283"/>
      <c r="G448" s="283"/>
      <c r="H448" s="283"/>
      <c r="I448" s="283"/>
      <c r="J448" s="283"/>
      <c r="K448" s="283"/>
      <c r="L448" s="283"/>
      <c r="M448" s="283"/>
    </row>
    <row r="449" spans="1:13" ht="17.399999999999999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</row>
    <row r="450" spans="1:13" ht="17.399999999999999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</row>
    <row r="451" spans="1:13" ht="17.399999999999999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</row>
    <row r="452" spans="1:13" ht="17.399999999999999">
      <c r="A452" s="28"/>
      <c r="B452" s="28"/>
      <c r="C452" s="316"/>
      <c r="D452" s="316"/>
      <c r="E452" s="316"/>
      <c r="F452" s="316"/>
      <c r="G452" s="316"/>
      <c r="H452" s="316"/>
      <c r="I452" s="316"/>
      <c r="J452" s="316"/>
      <c r="K452" s="316"/>
      <c r="L452" s="316"/>
      <c r="M452" s="316"/>
    </row>
    <row r="453" spans="1:13" ht="17.399999999999999">
      <c r="A453" s="28"/>
      <c r="B453" s="28"/>
      <c r="C453" s="659"/>
      <c r="D453" s="659"/>
      <c r="E453" s="659"/>
      <c r="F453" s="659"/>
      <c r="G453" s="659"/>
      <c r="H453" s="659"/>
      <c r="I453" s="659"/>
      <c r="J453" s="659"/>
      <c r="K453" s="659"/>
      <c r="L453" s="659"/>
      <c r="M453" s="659"/>
    </row>
  </sheetData>
  <mergeCells count="22">
    <mergeCell ref="O7:Q7"/>
    <mergeCell ref="B351:J351"/>
    <mergeCell ref="O351:Q351"/>
    <mergeCell ref="B291:J291"/>
    <mergeCell ref="O291:Q291"/>
    <mergeCell ref="B321:J321"/>
    <mergeCell ref="O321:Q321"/>
    <mergeCell ref="K291:N291"/>
    <mergeCell ref="K321:N321"/>
    <mergeCell ref="K351:N351"/>
    <mergeCell ref="A208:L208"/>
    <mergeCell ref="K7:N7"/>
    <mergeCell ref="A239:O240"/>
    <mergeCell ref="B7:J7"/>
    <mergeCell ref="A207:L207"/>
    <mergeCell ref="A378:M378"/>
    <mergeCell ref="A379:M379"/>
    <mergeCell ref="A178:L178"/>
    <mergeCell ref="A209:M209"/>
    <mergeCell ref="A210:M210"/>
    <mergeCell ref="A211:M211"/>
    <mergeCell ref="A377:M377"/>
  </mergeCells>
  <phoneticPr fontId="0" type="noConversion"/>
  <printOptions horizontalCentered="1" verticalCentered="1" gridLinesSet="0"/>
  <pageMargins left="0.01" right="0.01" top="0.5" bottom="0.55000000000000004" header="0.5" footer="0.5"/>
  <pageSetup scale="41" orientation="landscape" errors="blank" r:id="rId1"/>
  <headerFooter alignWithMargins="0">
    <oddFooter>&amp;LDPP - OCBE
&amp;F&amp;R
&amp;16&amp;A</oddFooter>
  </headerFooter>
  <rowBreaks count="12" manualBreakCount="12">
    <brk id="38" max="16383" man="1"/>
    <brk id="70" max="16383" man="1"/>
    <brk id="95" max="16383" man="1"/>
    <brk id="142" max="16383" man="1"/>
    <brk id="177" max="16383" man="1"/>
    <brk id="208" max="16383" man="1"/>
    <brk id="246" max="16383" man="1"/>
    <brk id="286" max="16383" man="1"/>
    <brk id="316" max="16383" man="1"/>
    <brk id="346" max="16383" man="1"/>
    <brk id="376" max="16383" man="1"/>
    <brk id="415" max="22" man="1"/>
  </rowBreaks>
  <ignoredErrors>
    <ignoredError sqref="A298:A306" numberStoredAsText="1"/>
    <ignoredError sqref="J131:J133 K131:K133" formulaRange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view="pageBreakPreview" zoomScale="60" zoomScaleNormal="100" workbookViewId="0"/>
  </sheetViews>
  <sheetFormatPr defaultRowHeight="13.2"/>
  <sheetData/>
  <pageMargins left="0.7" right="0.7" top="0.75" bottom="0.75" header="0.3" footer="0.3"/>
  <pageSetup scale="40" orientation="landscape" r:id="rId1"/>
  <headerFooter>
    <oddHeader>&amp;L&amp;11ENPRJ10&amp;C&amp;11OLDHAM COUNTY BOARD OF EDUCATION
CRESTWOOD, KENTUCKY&amp;R&amp;11&amp;D</oddHeader>
    <oddFooter>&amp;L&amp;11
DPP - OCBE
&amp;F&amp;R
&amp;11ENPRJ10
Page 27</oddFooter>
  </headerFooter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view="pageBreakPreview" zoomScale="60" zoomScaleNormal="100" workbookViewId="0"/>
  </sheetViews>
  <sheetFormatPr defaultRowHeight="13.2"/>
  <sheetData/>
  <pageMargins left="0.7" right="0.7" top="0.75" bottom="0.75" header="0.3" footer="0.3"/>
  <pageSetup scale="65" orientation="landscape" r:id="rId1"/>
  <headerFooter>
    <oddHeader>&amp;L&amp;11ENPRJ10&amp;C&amp;11OLDHAM COUNTY BOARD OF EDUCATION
CRESTWOOD, KENTUCKY&amp;R&amp;11&amp;D</oddHeader>
    <oddFooter>&amp;L&amp;11
DPP - OCBE
&amp;F&amp;R
&amp;11ENPRJ10
Page 28</oddFooter>
  </headerFooter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view="pageBreakPreview" zoomScale="60" zoomScaleNormal="100" workbookViewId="0"/>
  </sheetViews>
  <sheetFormatPr defaultRowHeight="13.2"/>
  <sheetData/>
  <pageMargins left="0.7" right="0.7" top="0.75" bottom="0.75" header="0.3" footer="0.3"/>
  <pageSetup scale="65" orientation="landscape" r:id="rId1"/>
  <headerFooter>
    <oddHeader>&amp;L&amp;11ENPRJ10&amp;C&amp;11OLDHAM COUNTY BOARD OF EDUCATION
CRESTWOOD, KENTUCKY&amp;R&amp;11&amp;D</oddHeader>
    <oddFooter>&amp;L&amp;11
DPP - OCBE
&amp;F&amp;R
&amp;11ENPRJ10
Page 29</oddFooter>
  </headerFooter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view="pageBreakPreview" zoomScaleNormal="100" zoomScaleSheetLayoutView="100" workbookViewId="0"/>
  </sheetViews>
  <sheetFormatPr defaultRowHeight="13.2"/>
  <sheetData/>
  <pageMargins left="0.7" right="0.7" top="0.75" bottom="0.75" header="0.3" footer="0.3"/>
  <pageSetup scale="45" orientation="landscape" r:id="rId1"/>
  <headerFooter>
    <oddHeader>&amp;L&amp;11ENPRJ10&amp;C&amp;11OLDHAM COUNTY BOARD OF EDUCATION
CRESTWOOD, KENTUCKY&amp;R&amp;11&amp;D</oddHeader>
    <oddFooter>&amp;L&amp;11
DPP - OCBE
&amp;F&amp;R
&amp;11ENPRJ10
Page 30</oddFooter>
  </headerFooter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"/>
  <sheetViews>
    <sheetView view="pageBreakPreview" zoomScale="60" zoomScaleNormal="100" workbookViewId="0"/>
  </sheetViews>
  <sheetFormatPr defaultRowHeight="13.2"/>
  <sheetData/>
  <pageMargins left="0.7" right="0.7" top="0.75" bottom="0.75" header="0.3" footer="0.3"/>
  <pageSetup scale="45" orientation="landscape" r:id="rId1"/>
  <headerFooter>
    <oddHeader>&amp;L&amp;11ENPRJ10&amp;C&amp;11OLDHAM COUNTY BOARD OF EDUCATION
CRESTWOOD, KENTUCKY&amp;R&amp;11&amp;D</oddHeader>
    <oddFooter>&amp;L&amp;11
DPP - OCBE
&amp;F&amp;R
&amp;11ENPRJ10
Page 31</oddFooter>
  </headerFooter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view="pageBreakPreview" zoomScale="60" zoomScaleNormal="100" workbookViewId="0"/>
  </sheetViews>
  <sheetFormatPr defaultRowHeight="13.2"/>
  <sheetData/>
  <pageMargins left="0.7" right="0.7" top="0.75" bottom="0.75" header="0.3" footer="0.3"/>
  <pageSetup scale="45" orientation="landscape" r:id="rId1"/>
  <headerFooter>
    <oddHeader>&amp;L&amp;11ENPRJ10&amp;C&amp;11OLDHAM COUNTY BOARD OF EDUCATION
CRESTWOOD, KENTUCKY&amp;R&amp;11&amp;D</oddHeader>
    <oddFooter>&amp;L&amp;11
DPP - OCBE
&amp;F&amp;R
&amp;11ENPRJ10
Page 32</oddFooter>
  </headerFooter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view="pageBreakPreview" zoomScale="60" zoomScaleNormal="100" workbookViewId="0"/>
  </sheetViews>
  <sheetFormatPr defaultRowHeight="13.2"/>
  <sheetData/>
  <pageMargins left="0.7" right="0.7" top="0.75" bottom="0.75" header="0.3" footer="0.3"/>
  <pageSetup scale="65" orientation="landscape" r:id="rId1"/>
  <headerFooter>
    <oddHeader>&amp;L&amp;11ENPRJ10&amp;C&amp;11OLDHAM COUNTY BOARD OF EDUCATION
CRESTWOOD, KENTUCKY&amp;R&amp;11&amp;D</oddHeader>
    <oddFooter>&amp;L&amp;11
DPP - OCBE
&amp;F&amp;R
&amp;11ENPRJ10
Page 33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W311"/>
  <sheetViews>
    <sheetView showGridLines="0" view="pageBreakPreview" topLeftCell="A71" zoomScale="90" zoomScaleNormal="60" zoomScaleSheetLayoutView="90" workbookViewId="0">
      <selection activeCell="C105" sqref="C105:M105"/>
    </sheetView>
  </sheetViews>
  <sheetFormatPr defaultColWidth="9.6640625" defaultRowHeight="13.2"/>
  <cols>
    <col min="1" max="1" width="19.44140625" style="61" customWidth="1"/>
    <col min="2" max="2" width="20.109375" style="61" customWidth="1"/>
    <col min="3" max="15" width="13.33203125" style="61" customWidth="1"/>
    <col min="16" max="16" width="12.6640625" style="61" customWidth="1"/>
    <col min="17" max="17" width="14.6640625" style="61" customWidth="1"/>
    <col min="18" max="18" width="15.88671875" style="61" customWidth="1"/>
    <col min="19" max="19" width="13" style="61" customWidth="1"/>
    <col min="20" max="20" width="11.88671875" style="61" bestFit="1" customWidth="1"/>
    <col min="21" max="21" width="11" style="61" customWidth="1"/>
    <col min="22" max="22" width="20.44140625" style="61" customWidth="1"/>
    <col min="23" max="23" width="18.88671875" style="61" customWidth="1"/>
    <col min="24" max="16384" width="9.6640625" style="61"/>
  </cols>
  <sheetData>
    <row r="1" spans="1:22">
      <c r="A1" s="122"/>
      <c r="M1" s="671"/>
    </row>
    <row r="2" spans="1:22" ht="17.399999999999999">
      <c r="C2" s="672"/>
      <c r="D2" s="673"/>
      <c r="E2" s="672"/>
    </row>
    <row r="3" spans="1:22" ht="17.399999999999999">
      <c r="C3" s="672"/>
      <c r="D3" s="673"/>
      <c r="E3" s="672"/>
    </row>
    <row r="4" spans="1:22">
      <c r="K4" s="674"/>
    </row>
    <row r="5" spans="1:22" ht="17.399999999999999">
      <c r="C5" s="121" t="s">
        <v>23</v>
      </c>
      <c r="H5" s="67"/>
      <c r="I5" s="67" t="str">
        <f>ENRHIST!K9</f>
        <v>2025-26</v>
      </c>
    </row>
    <row r="6" spans="1:22">
      <c r="A6" s="339"/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  <c r="R6" s="339"/>
    </row>
    <row r="7" spans="1:22" ht="17.399999999999999">
      <c r="A7" s="543" t="s">
        <v>24</v>
      </c>
      <c r="B7" s="817" t="s">
        <v>25</v>
      </c>
      <c r="C7" s="817"/>
      <c r="D7" s="817"/>
      <c r="E7" s="817"/>
      <c r="F7" s="817"/>
      <c r="G7" s="817"/>
      <c r="H7" s="817"/>
      <c r="I7" s="817"/>
      <c r="J7" s="817"/>
      <c r="K7" s="813" t="s">
        <v>63</v>
      </c>
      <c r="L7" s="813"/>
      <c r="M7" s="813"/>
      <c r="N7" s="813"/>
      <c r="O7" s="813" t="s">
        <v>364</v>
      </c>
      <c r="P7" s="813"/>
      <c r="Q7" s="813"/>
      <c r="R7" s="545"/>
      <c r="S7" s="546" t="s">
        <v>27</v>
      </c>
      <c r="T7" s="675" t="s">
        <v>367</v>
      </c>
      <c r="U7" s="544" t="s">
        <v>109</v>
      </c>
      <c r="V7" s="676" t="s">
        <v>29</v>
      </c>
    </row>
    <row r="8" spans="1:22" ht="17.399999999999999">
      <c r="A8" s="547"/>
      <c r="B8" s="548" t="s">
        <v>289</v>
      </c>
      <c r="C8" s="548" t="s">
        <v>357</v>
      </c>
      <c r="D8" s="548" t="s">
        <v>358</v>
      </c>
      <c r="E8" s="548" t="s">
        <v>359</v>
      </c>
      <c r="F8" s="548" t="s">
        <v>360</v>
      </c>
      <c r="G8" s="548" t="s">
        <v>370</v>
      </c>
      <c r="H8" s="548" t="s">
        <v>356</v>
      </c>
      <c r="I8" s="548" t="s">
        <v>361</v>
      </c>
      <c r="J8" s="548" t="s">
        <v>406</v>
      </c>
      <c r="K8" s="548" t="s">
        <v>363</v>
      </c>
      <c r="L8" s="549" t="s">
        <v>36</v>
      </c>
      <c r="M8" s="549" t="s">
        <v>86</v>
      </c>
      <c r="N8" s="549" t="s">
        <v>99</v>
      </c>
      <c r="O8" s="550" t="s">
        <v>346</v>
      </c>
      <c r="P8" s="550" t="s">
        <v>90</v>
      </c>
      <c r="Q8" s="550" t="s">
        <v>103</v>
      </c>
      <c r="R8" s="551" t="s">
        <v>343</v>
      </c>
      <c r="S8" s="552"/>
      <c r="T8" s="677" t="s">
        <v>368</v>
      </c>
      <c r="U8" s="678"/>
      <c r="V8" s="679" t="s">
        <v>111</v>
      </c>
    </row>
    <row r="9" spans="1:22" ht="17.399999999999999">
      <c r="A9" s="345"/>
      <c r="B9" s="345"/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345"/>
      <c r="T9" s="345"/>
      <c r="U9" s="345"/>
      <c r="V9" s="345"/>
    </row>
    <row r="10" spans="1:22" ht="17.399999999999999">
      <c r="A10" s="553" t="s">
        <v>391</v>
      </c>
      <c r="B10" s="28">
        <f>ENRHIST!B14</f>
        <v>84</v>
      </c>
      <c r="C10" s="28">
        <f>ENRHIST!C14</f>
        <v>62</v>
      </c>
      <c r="D10" s="28">
        <f>ENRHIST!D14</f>
        <v>86</v>
      </c>
      <c r="E10" s="28">
        <f>ENRHIST!E14</f>
        <v>69</v>
      </c>
      <c r="F10" s="28">
        <f>ENRHIST!F14</f>
        <v>89</v>
      </c>
      <c r="G10" s="28">
        <f>ENRHIST!G14</f>
        <v>79</v>
      </c>
      <c r="H10" s="28">
        <f>ENRHIST!H14</f>
        <v>79</v>
      </c>
      <c r="I10" s="28">
        <f>ENRHIST!I14</f>
        <v>73</v>
      </c>
      <c r="J10" s="28">
        <f>ENRHIST!J14</f>
        <v>102</v>
      </c>
      <c r="K10" s="28"/>
      <c r="L10" s="28"/>
      <c r="M10" s="28"/>
      <c r="N10" s="28"/>
      <c r="O10" s="28"/>
      <c r="P10" s="28"/>
      <c r="Q10" s="28"/>
      <c r="R10" s="28"/>
      <c r="S10" s="345">
        <f t="shared" ref="S10:S23" si="0">SUM(B10:R10)</f>
        <v>723</v>
      </c>
      <c r="T10" s="345">
        <f>ENRHIST!Y14</f>
        <v>850</v>
      </c>
      <c r="U10" s="666">
        <f>S10-T10</f>
        <v>-127</v>
      </c>
      <c r="V10" s="566">
        <f>T10/S10</f>
        <v>1.1756569847856155</v>
      </c>
    </row>
    <row r="11" spans="1:22" ht="17.399999999999999">
      <c r="A11" s="553">
        <v>1</v>
      </c>
      <c r="B11" s="28">
        <f>ENRHIST!B15</f>
        <v>84</v>
      </c>
      <c r="C11" s="28">
        <f>ENRHIST!C15</f>
        <v>69</v>
      </c>
      <c r="D11" s="28">
        <f>ENRHIST!D15</f>
        <v>87</v>
      </c>
      <c r="E11" s="28">
        <f>ENRHIST!E15</f>
        <v>75</v>
      </c>
      <c r="F11" s="28">
        <f>ENRHIST!F15</f>
        <v>86</v>
      </c>
      <c r="G11" s="28">
        <f>ENRHIST!G15</f>
        <v>88</v>
      </c>
      <c r="H11" s="28">
        <f>ENRHIST!H15</f>
        <v>90</v>
      </c>
      <c r="I11" s="28">
        <f>ENRHIST!I15</f>
        <v>72</v>
      </c>
      <c r="J11" s="28">
        <f>ENRHIST!J15</f>
        <v>84</v>
      </c>
      <c r="K11" s="28"/>
      <c r="L11" s="28"/>
      <c r="M11" s="28"/>
      <c r="N11" s="28"/>
      <c r="O11" s="28"/>
      <c r="P11" s="28"/>
      <c r="Q11" s="28"/>
      <c r="R11" s="28"/>
      <c r="S11" s="345">
        <f t="shared" si="0"/>
        <v>735</v>
      </c>
      <c r="T11" s="345">
        <f>ENRHIST!Y15</f>
        <v>770</v>
      </c>
      <c r="U11" s="666">
        <f t="shared" ref="U11:U23" si="1">S11-T11</f>
        <v>-35</v>
      </c>
      <c r="V11" s="566">
        <f t="shared" ref="V11:V23" si="2">T11/S11</f>
        <v>1.0476190476190477</v>
      </c>
    </row>
    <row r="12" spans="1:22" ht="17.399999999999999">
      <c r="A12" s="553">
        <v>2</v>
      </c>
      <c r="B12" s="28">
        <f>ENRHIST!B16</f>
        <v>103</v>
      </c>
      <c r="C12" s="28">
        <f>ENRHIST!C16</f>
        <v>72</v>
      </c>
      <c r="D12" s="28">
        <f>ENRHIST!D16</f>
        <v>95</v>
      </c>
      <c r="E12" s="28">
        <f>ENRHIST!E16</f>
        <v>93</v>
      </c>
      <c r="F12" s="28">
        <f>ENRHIST!F16</f>
        <v>103</v>
      </c>
      <c r="G12" s="28">
        <f>ENRHIST!G16</f>
        <v>80</v>
      </c>
      <c r="H12" s="28">
        <f>ENRHIST!H16</f>
        <v>97</v>
      </c>
      <c r="I12" s="28">
        <f>ENRHIST!I16</f>
        <v>68</v>
      </c>
      <c r="J12" s="28">
        <f>ENRHIST!J16</f>
        <v>96</v>
      </c>
      <c r="K12" s="28"/>
      <c r="L12" s="28"/>
      <c r="M12" s="28"/>
      <c r="N12" s="28"/>
      <c r="O12" s="28"/>
      <c r="P12" s="28"/>
      <c r="Q12" s="28"/>
      <c r="R12" s="28"/>
      <c r="S12" s="345">
        <f t="shared" si="0"/>
        <v>807</v>
      </c>
      <c r="T12" s="345">
        <f>ENRHIST!Y16</f>
        <v>794</v>
      </c>
      <c r="U12" s="666">
        <f t="shared" si="1"/>
        <v>13</v>
      </c>
      <c r="V12" s="566">
        <f t="shared" si="2"/>
        <v>0.98389095415117722</v>
      </c>
    </row>
    <row r="13" spans="1:22" ht="17.399999999999999">
      <c r="A13" s="553">
        <v>3</v>
      </c>
      <c r="B13" s="28">
        <f>ENRHIST!B17</f>
        <v>99</v>
      </c>
      <c r="C13" s="28">
        <f>ENRHIST!C17</f>
        <v>81</v>
      </c>
      <c r="D13" s="28">
        <f>ENRHIST!D17</f>
        <v>95</v>
      </c>
      <c r="E13" s="28">
        <f>ENRHIST!E17</f>
        <v>84</v>
      </c>
      <c r="F13" s="28">
        <f>ENRHIST!F17</f>
        <v>109</v>
      </c>
      <c r="G13" s="28">
        <f>ENRHIST!G17</f>
        <v>102</v>
      </c>
      <c r="H13" s="28">
        <f>ENRHIST!H17</f>
        <v>120</v>
      </c>
      <c r="I13" s="28">
        <f>ENRHIST!I17</f>
        <v>77</v>
      </c>
      <c r="J13" s="28">
        <f>ENRHIST!J17</f>
        <v>109</v>
      </c>
      <c r="K13" s="28"/>
      <c r="L13" s="28"/>
      <c r="M13" s="28"/>
      <c r="N13" s="28"/>
      <c r="O13" s="28"/>
      <c r="P13" s="28"/>
      <c r="Q13" s="28"/>
      <c r="R13" s="28"/>
      <c r="S13" s="345">
        <f t="shared" si="0"/>
        <v>876</v>
      </c>
      <c r="T13" s="345">
        <f>ENRHIST!Y17</f>
        <v>865</v>
      </c>
      <c r="U13" s="666">
        <f t="shared" si="1"/>
        <v>11</v>
      </c>
      <c r="V13" s="566">
        <f t="shared" si="2"/>
        <v>0.98744292237442921</v>
      </c>
    </row>
    <row r="14" spans="1:22" ht="17.399999999999999">
      <c r="A14" s="555">
        <v>4</v>
      </c>
      <c r="B14" s="28">
        <f>ENRHIST!B18</f>
        <v>132</v>
      </c>
      <c r="C14" s="28">
        <f>ENRHIST!C18</f>
        <v>79</v>
      </c>
      <c r="D14" s="28">
        <f>ENRHIST!D18</f>
        <v>80</v>
      </c>
      <c r="E14" s="28">
        <f>ENRHIST!E18</f>
        <v>104</v>
      </c>
      <c r="F14" s="28">
        <f>ENRHIST!F18</f>
        <v>106</v>
      </c>
      <c r="G14" s="28">
        <f>ENRHIST!G18</f>
        <v>89</v>
      </c>
      <c r="H14" s="28">
        <f>ENRHIST!H18</f>
        <v>97</v>
      </c>
      <c r="I14" s="28">
        <f>ENRHIST!I18</f>
        <v>94</v>
      </c>
      <c r="J14" s="28">
        <f>ENRHIST!J18</f>
        <v>93</v>
      </c>
      <c r="K14" s="28"/>
      <c r="L14" s="28"/>
      <c r="M14" s="28"/>
      <c r="N14" s="28"/>
      <c r="O14" s="28"/>
      <c r="P14" s="28"/>
      <c r="Q14" s="28"/>
      <c r="R14" s="28"/>
      <c r="S14" s="345">
        <f t="shared" si="0"/>
        <v>874</v>
      </c>
      <c r="T14" s="345">
        <f>ENRHIST!Y18</f>
        <v>867</v>
      </c>
      <c r="U14" s="666">
        <f t="shared" si="1"/>
        <v>7</v>
      </c>
      <c r="V14" s="566">
        <f t="shared" si="2"/>
        <v>0.99199084668192217</v>
      </c>
    </row>
    <row r="15" spans="1:22" ht="17.399999999999999">
      <c r="A15" s="555">
        <v>5</v>
      </c>
      <c r="B15" s="28">
        <f>ENRHIST!B19</f>
        <v>115</v>
      </c>
      <c r="C15" s="28">
        <f>ENRHIST!C19</f>
        <v>89</v>
      </c>
      <c r="D15" s="28">
        <f>ENRHIST!D19</f>
        <v>96</v>
      </c>
      <c r="E15" s="28">
        <f>ENRHIST!E19</f>
        <v>101</v>
      </c>
      <c r="F15" s="28">
        <f>ENRHIST!F19</f>
        <v>119</v>
      </c>
      <c r="G15" s="28">
        <f>ENRHIST!G19</f>
        <v>111</v>
      </c>
      <c r="H15" s="28">
        <f>ENRHIST!H19</f>
        <v>119</v>
      </c>
      <c r="I15" s="28">
        <f>ENRHIST!I19</f>
        <v>62</v>
      </c>
      <c r="J15" s="28">
        <f>ENRHIST!J19</f>
        <v>111</v>
      </c>
      <c r="K15" s="28"/>
      <c r="L15" s="28"/>
      <c r="M15" s="28"/>
      <c r="N15" s="28"/>
      <c r="O15" s="28"/>
      <c r="P15" s="28"/>
      <c r="Q15" s="28"/>
      <c r="R15" s="28"/>
      <c r="S15" s="345">
        <f t="shared" si="0"/>
        <v>923</v>
      </c>
      <c r="T15" s="345">
        <f>ENRHIST!Y19</f>
        <v>931</v>
      </c>
      <c r="U15" s="666">
        <f t="shared" si="1"/>
        <v>-8</v>
      </c>
      <c r="V15" s="566">
        <f t="shared" si="2"/>
        <v>1.0086673889490791</v>
      </c>
    </row>
    <row r="16" spans="1:22" ht="17.399999999999999">
      <c r="A16" s="555">
        <v>6</v>
      </c>
      <c r="B16" s="28"/>
      <c r="C16" s="28"/>
      <c r="D16" s="28"/>
      <c r="E16" s="28"/>
      <c r="F16" s="28"/>
      <c r="G16" s="28"/>
      <c r="H16" s="28"/>
      <c r="I16" s="28"/>
      <c r="J16" s="28"/>
      <c r="K16" s="28">
        <f>ENRHIST!K20</f>
        <v>176</v>
      </c>
      <c r="L16" s="28">
        <f>ENRHIST!L20</f>
        <v>246</v>
      </c>
      <c r="M16" s="28">
        <f>ENRHIST!M20</f>
        <v>232</v>
      </c>
      <c r="N16" s="28">
        <f>ENRHIST!N20</f>
        <v>297</v>
      </c>
      <c r="O16" s="28"/>
      <c r="P16" s="28"/>
      <c r="Q16" s="28"/>
      <c r="R16" s="28"/>
      <c r="S16" s="345">
        <f t="shared" si="0"/>
        <v>951</v>
      </c>
      <c r="T16" s="345">
        <f>ENRHIST!Y20</f>
        <v>941</v>
      </c>
      <c r="U16" s="666">
        <f t="shared" si="1"/>
        <v>10</v>
      </c>
      <c r="V16" s="566">
        <f t="shared" si="2"/>
        <v>0.98948475289169291</v>
      </c>
    </row>
    <row r="17" spans="1:23" ht="17.399999999999999">
      <c r="A17" s="555">
        <v>7</v>
      </c>
      <c r="B17" s="28"/>
      <c r="C17" s="28"/>
      <c r="D17" s="28"/>
      <c r="E17" s="28"/>
      <c r="F17" s="28"/>
      <c r="G17" s="28"/>
      <c r="H17" s="28"/>
      <c r="I17" s="28"/>
      <c r="J17" s="28"/>
      <c r="K17" s="28">
        <f>ENRHIST!K21</f>
        <v>193</v>
      </c>
      <c r="L17" s="28">
        <f>ENRHIST!L21</f>
        <v>236</v>
      </c>
      <c r="M17" s="28">
        <f>ENRHIST!M21</f>
        <v>269</v>
      </c>
      <c r="N17" s="28">
        <f>ENRHIST!N21</f>
        <v>296</v>
      </c>
      <c r="O17" s="28"/>
      <c r="P17" s="28"/>
      <c r="Q17" s="28"/>
      <c r="R17" s="28">
        <f>ENRHIST!R21</f>
        <v>1</v>
      </c>
      <c r="S17" s="345">
        <f t="shared" si="0"/>
        <v>995</v>
      </c>
      <c r="T17" s="345">
        <f>ENRHIST!Y21</f>
        <v>984</v>
      </c>
      <c r="U17" s="666">
        <f t="shared" si="1"/>
        <v>11</v>
      </c>
      <c r="V17" s="566">
        <f t="shared" si="2"/>
        <v>0.98894472361809049</v>
      </c>
    </row>
    <row r="18" spans="1:23" ht="17.399999999999999">
      <c r="A18" s="555">
        <v>8</v>
      </c>
      <c r="B18" s="28"/>
      <c r="C18" s="28"/>
      <c r="D18" s="28"/>
      <c r="E18" s="28"/>
      <c r="F18" s="28"/>
      <c r="G18" s="28"/>
      <c r="H18" s="28"/>
      <c r="I18" s="28"/>
      <c r="J18" s="28"/>
      <c r="K18" s="28">
        <f>ENRHIST!K22</f>
        <v>189</v>
      </c>
      <c r="L18" s="28">
        <f>ENRHIST!L22</f>
        <v>238</v>
      </c>
      <c r="M18" s="28">
        <f>ENRHIST!M22</f>
        <v>247</v>
      </c>
      <c r="N18" s="28">
        <f>ENRHIST!N22</f>
        <v>272</v>
      </c>
      <c r="O18" s="28"/>
      <c r="P18" s="28"/>
      <c r="Q18" s="28"/>
      <c r="R18" s="28">
        <f>ENRHIST!R22</f>
        <v>2</v>
      </c>
      <c r="S18" s="345">
        <f t="shared" si="0"/>
        <v>948</v>
      </c>
      <c r="T18" s="345">
        <f>ENRHIST!Y22</f>
        <v>938</v>
      </c>
      <c r="U18" s="666">
        <f t="shared" si="1"/>
        <v>10</v>
      </c>
      <c r="V18" s="566">
        <f t="shared" si="2"/>
        <v>0.98945147679324896</v>
      </c>
    </row>
    <row r="19" spans="1:23" ht="17.399999999999999">
      <c r="A19" s="555">
        <v>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>
        <f>ENRHIST!O23</f>
        <v>239</v>
      </c>
      <c r="P19" s="28">
        <f>ENRHIST!P23</f>
        <v>412</v>
      </c>
      <c r="Q19" s="28">
        <f>ENRHIST!Q23</f>
        <v>370</v>
      </c>
      <c r="R19" s="28">
        <f>ENRHIST!R23</f>
        <v>15</v>
      </c>
      <c r="S19" s="345">
        <f t="shared" si="0"/>
        <v>1036</v>
      </c>
      <c r="T19" s="345">
        <f>ENRHIST!Y23</f>
        <v>1043</v>
      </c>
      <c r="U19" s="666">
        <f t="shared" si="1"/>
        <v>-7</v>
      </c>
      <c r="V19" s="566">
        <f t="shared" si="2"/>
        <v>1.0067567567567568</v>
      </c>
    </row>
    <row r="20" spans="1:23" ht="17.399999999999999">
      <c r="A20" s="555">
        <v>10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>
        <f>ENRHIST!O24</f>
        <v>234</v>
      </c>
      <c r="P20" s="28">
        <f>ENRHIST!P24</f>
        <v>351</v>
      </c>
      <c r="Q20" s="28">
        <f>ENRHIST!Q24</f>
        <v>355</v>
      </c>
      <c r="R20" s="28">
        <f>ENRHIST!R24</f>
        <v>14</v>
      </c>
      <c r="S20" s="345">
        <f t="shared" si="0"/>
        <v>954</v>
      </c>
      <c r="T20" s="345">
        <f>ENRHIST!Y24</f>
        <v>962</v>
      </c>
      <c r="U20" s="666">
        <f t="shared" si="1"/>
        <v>-8</v>
      </c>
      <c r="V20" s="566">
        <f t="shared" si="2"/>
        <v>1.0083857442348008</v>
      </c>
    </row>
    <row r="21" spans="1:23" ht="17.399999999999999">
      <c r="A21" s="555">
        <v>11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>
        <f>ENRHIST!O25</f>
        <v>247</v>
      </c>
      <c r="P21" s="28">
        <f>ENRHIST!P25</f>
        <v>396</v>
      </c>
      <c r="Q21" s="28">
        <f>ENRHIST!Q25</f>
        <v>285</v>
      </c>
      <c r="R21" s="28">
        <f>ENRHIST!R25</f>
        <v>13</v>
      </c>
      <c r="S21" s="345">
        <f t="shared" si="0"/>
        <v>941</v>
      </c>
      <c r="T21" s="345">
        <f>ENRHIST!Y25</f>
        <v>924</v>
      </c>
      <c r="U21" s="666">
        <f t="shared" si="1"/>
        <v>17</v>
      </c>
      <c r="V21" s="566">
        <f t="shared" si="2"/>
        <v>0.98193411264612118</v>
      </c>
    </row>
    <row r="22" spans="1:23" ht="17.399999999999999">
      <c r="A22" s="555">
        <v>12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>
        <f>ENRHIST!O26</f>
        <v>227</v>
      </c>
      <c r="P22" s="28">
        <f>ENRHIST!P26</f>
        <v>400</v>
      </c>
      <c r="Q22" s="28">
        <f>ENRHIST!Q26</f>
        <v>358</v>
      </c>
      <c r="R22" s="28">
        <f>ENRHIST!R26</f>
        <v>11</v>
      </c>
      <c r="S22" s="345">
        <f t="shared" si="0"/>
        <v>996</v>
      </c>
      <c r="T22" s="345">
        <f>ENRHIST!Y26</f>
        <v>982</v>
      </c>
      <c r="U22" s="666">
        <f t="shared" si="1"/>
        <v>14</v>
      </c>
      <c r="V22" s="566">
        <f t="shared" si="2"/>
        <v>0.98594377510040165</v>
      </c>
    </row>
    <row r="23" spans="1:23" ht="17.399999999999999">
      <c r="A23" s="555" t="s">
        <v>386</v>
      </c>
      <c r="B23" s="28">
        <f>ENRHIST!B27</f>
        <v>0</v>
      </c>
      <c r="C23" s="28">
        <f>ENRHIST!C27</f>
        <v>0</v>
      </c>
      <c r="D23" s="28">
        <f>ENRHIST!D27</f>
        <v>0</v>
      </c>
      <c r="E23" s="28">
        <f>ENRHIST!E27</f>
        <v>0</v>
      </c>
      <c r="F23" s="28">
        <f>ENRHIST!F27</f>
        <v>0</v>
      </c>
      <c r="G23" s="28">
        <f>ENRHIST!G27</f>
        <v>0</v>
      </c>
      <c r="H23" s="28">
        <f>ENRHIST!H27</f>
        <v>0</v>
      </c>
      <c r="I23" s="28">
        <f>ENRHIST!I27</f>
        <v>0</v>
      </c>
      <c r="J23" s="28">
        <f>ENRHIST!J27</f>
        <v>0</v>
      </c>
      <c r="K23" s="28">
        <f>ENRHIST!K27</f>
        <v>0</v>
      </c>
      <c r="L23" s="28">
        <f>ENRHIST!L27</f>
        <v>0</v>
      </c>
      <c r="M23" s="28">
        <f>ENRHIST!M27</f>
        <v>0</v>
      </c>
      <c r="N23" s="28">
        <f>ENRHIST!N27</f>
        <v>0</v>
      </c>
      <c r="O23" s="28">
        <f>ENRHIST!O27</f>
        <v>6</v>
      </c>
      <c r="P23" s="28">
        <f>ENRHIST!P27</f>
        <v>9</v>
      </c>
      <c r="Q23" s="28">
        <f>ENRHIST!Q27</f>
        <v>7</v>
      </c>
      <c r="R23" s="28">
        <f>ENRHIST!R27</f>
        <v>0</v>
      </c>
      <c r="S23" s="345">
        <f t="shared" si="0"/>
        <v>22</v>
      </c>
      <c r="T23" s="345">
        <f>ENRHIST!Y27</f>
        <v>13</v>
      </c>
      <c r="U23" s="666">
        <f t="shared" si="1"/>
        <v>9</v>
      </c>
      <c r="V23" s="566">
        <f t="shared" si="2"/>
        <v>0.59090909090909094</v>
      </c>
    </row>
    <row r="24" spans="1:23" ht="17.399999999999999">
      <c r="A24" s="556"/>
      <c r="B24" s="544"/>
      <c r="C24" s="557"/>
      <c r="D24" s="557"/>
      <c r="E24" s="557"/>
      <c r="F24" s="557"/>
      <c r="G24" s="557"/>
      <c r="H24" s="557"/>
      <c r="I24" s="557"/>
      <c r="J24" s="557"/>
      <c r="K24" s="557"/>
      <c r="L24" s="557"/>
      <c r="M24" s="557"/>
      <c r="N24" s="557"/>
      <c r="O24" s="557"/>
      <c r="P24" s="557"/>
      <c r="Q24" s="557"/>
      <c r="R24" s="557"/>
      <c r="S24" s="558"/>
      <c r="T24" s="557"/>
      <c r="U24" s="544"/>
      <c r="V24" s="558"/>
    </row>
    <row r="25" spans="1:23" ht="17.399999999999999">
      <c r="A25" s="547" t="s">
        <v>51</v>
      </c>
      <c r="B25" s="559">
        <f>SUM(B10:B23)</f>
        <v>617</v>
      </c>
      <c r="C25" s="559">
        <f t="shared" ref="C25:S25" si="3">SUM(C10:C23)</f>
        <v>452</v>
      </c>
      <c r="D25" s="559">
        <f t="shared" si="3"/>
        <v>539</v>
      </c>
      <c r="E25" s="559">
        <f t="shared" si="3"/>
        <v>526</v>
      </c>
      <c r="F25" s="559">
        <f t="shared" si="3"/>
        <v>612</v>
      </c>
      <c r="G25" s="559">
        <f>SUM(G10:G23)</f>
        <v>549</v>
      </c>
      <c r="H25" s="559">
        <f t="shared" si="3"/>
        <v>602</v>
      </c>
      <c r="I25" s="559">
        <f t="shared" si="3"/>
        <v>446</v>
      </c>
      <c r="J25" s="559">
        <f>SUM(J10:J23)</f>
        <v>595</v>
      </c>
      <c r="K25" s="559">
        <f>SUM(K10:K23)</f>
        <v>558</v>
      </c>
      <c r="L25" s="560">
        <f t="shared" si="3"/>
        <v>720</v>
      </c>
      <c r="M25" s="560">
        <f t="shared" si="3"/>
        <v>748</v>
      </c>
      <c r="N25" s="560">
        <f t="shared" si="3"/>
        <v>865</v>
      </c>
      <c r="O25" s="560">
        <f t="shared" si="3"/>
        <v>953</v>
      </c>
      <c r="P25" s="560">
        <f t="shared" si="3"/>
        <v>1568</v>
      </c>
      <c r="Q25" s="560">
        <f t="shared" si="3"/>
        <v>1375</v>
      </c>
      <c r="R25" s="560">
        <f t="shared" si="3"/>
        <v>56</v>
      </c>
      <c r="S25" s="561">
        <f t="shared" si="3"/>
        <v>11781</v>
      </c>
      <c r="T25" s="560">
        <f>SUM(T10:T23)</f>
        <v>11864</v>
      </c>
      <c r="U25" s="680">
        <f>SUM(U10:U23)</f>
        <v>-83</v>
      </c>
      <c r="V25" s="681">
        <f>T25/S25</f>
        <v>1.0070452423393599</v>
      </c>
    </row>
    <row r="26" spans="1:23" ht="17.399999999999999">
      <c r="A26" s="345"/>
      <c r="B26" s="345"/>
      <c r="C26" s="345"/>
      <c r="D26" s="345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</row>
    <row r="27" spans="1:23" ht="17.399999999999999">
      <c r="A27" s="344" t="s">
        <v>112</v>
      </c>
      <c r="B27" s="554">
        <f>ENRHIST!B36</f>
        <v>637</v>
      </c>
      <c r="C27" s="554">
        <f>ENRHIST!C36</f>
        <v>467</v>
      </c>
      <c r="D27" s="554">
        <f>ENRHIST!D36</f>
        <v>529</v>
      </c>
      <c r="E27" s="554">
        <f>ENRHIST!E36</f>
        <v>546</v>
      </c>
      <c r="F27" s="554">
        <f>ENRHIST!F36</f>
        <v>632</v>
      </c>
      <c r="G27" s="554">
        <f>ENRHIST!G36</f>
        <v>569</v>
      </c>
      <c r="H27" s="554">
        <f>ENRHIST!H36</f>
        <v>633</v>
      </c>
      <c r="I27" s="554">
        <f>ENRHIST!I36</f>
        <v>465</v>
      </c>
      <c r="J27" s="554">
        <f>ENRHIST!J36</f>
        <v>599</v>
      </c>
      <c r="K27" s="554">
        <f>ENRHIST!K36</f>
        <v>581</v>
      </c>
      <c r="L27" s="554">
        <f>ENRHIST!L36</f>
        <v>725</v>
      </c>
      <c r="M27" s="554">
        <f>ENRHIST!M36</f>
        <v>760</v>
      </c>
      <c r="N27" s="554">
        <f>ENRHIST!N36</f>
        <v>797</v>
      </c>
      <c r="O27" s="554">
        <f>ENRHIST!O36</f>
        <v>967</v>
      </c>
      <c r="P27" s="554">
        <f>ENRHIST!P36</f>
        <v>1593</v>
      </c>
      <c r="Q27" s="554">
        <f>ENRHIST!Q36</f>
        <v>1320</v>
      </c>
      <c r="R27" s="670">
        <f>ENRHIST!R36</f>
        <v>44</v>
      </c>
      <c r="S27" s="682"/>
      <c r="T27" s="346">
        <f>SUM(B27:S27)</f>
        <v>11864</v>
      </c>
      <c r="U27" s="345"/>
      <c r="V27" s="345"/>
    </row>
    <row r="28" spans="1:23" ht="17.399999999999999">
      <c r="A28" s="345"/>
      <c r="B28" s="554"/>
      <c r="C28" s="554"/>
      <c r="D28" s="554"/>
      <c r="E28" s="554"/>
      <c r="F28" s="554"/>
      <c r="G28" s="554"/>
      <c r="H28" s="554"/>
      <c r="I28" s="554"/>
      <c r="J28" s="554"/>
      <c r="K28" s="554"/>
      <c r="L28" s="554"/>
      <c r="M28" s="554"/>
      <c r="N28" s="554"/>
      <c r="O28" s="554"/>
      <c r="P28" s="554"/>
      <c r="Q28" s="554"/>
      <c r="R28" s="554"/>
      <c r="S28" s="683"/>
      <c r="T28" s="683"/>
      <c r="U28" s="345"/>
      <c r="V28" s="345"/>
      <c r="W28" s="345"/>
    </row>
    <row r="29" spans="1:23" ht="17.399999999999999">
      <c r="A29" s="344" t="s">
        <v>113</v>
      </c>
      <c r="B29" s="670">
        <f t="shared" ref="B29:R29" si="4">B25-B27</f>
        <v>-20</v>
      </c>
      <c r="C29" s="670">
        <f t="shared" si="4"/>
        <v>-15</v>
      </c>
      <c r="D29" s="670">
        <f t="shared" si="4"/>
        <v>10</v>
      </c>
      <c r="E29" s="670">
        <f t="shared" si="4"/>
        <v>-20</v>
      </c>
      <c r="F29" s="670">
        <f t="shared" si="4"/>
        <v>-20</v>
      </c>
      <c r="G29" s="670">
        <f t="shared" si="4"/>
        <v>-20</v>
      </c>
      <c r="H29" s="670">
        <f t="shared" si="4"/>
        <v>-31</v>
      </c>
      <c r="I29" s="670">
        <f t="shared" si="4"/>
        <v>-19</v>
      </c>
      <c r="J29" s="670">
        <f t="shared" si="4"/>
        <v>-4</v>
      </c>
      <c r="K29" s="670">
        <f t="shared" si="4"/>
        <v>-23</v>
      </c>
      <c r="L29" s="670">
        <f t="shared" si="4"/>
        <v>-5</v>
      </c>
      <c r="M29" s="670">
        <f t="shared" si="4"/>
        <v>-12</v>
      </c>
      <c r="N29" s="670">
        <f t="shared" si="4"/>
        <v>68</v>
      </c>
      <c r="O29" s="670">
        <f t="shared" si="4"/>
        <v>-14</v>
      </c>
      <c r="P29" s="670">
        <f t="shared" si="4"/>
        <v>-25</v>
      </c>
      <c r="Q29" s="670">
        <f t="shared" si="4"/>
        <v>55</v>
      </c>
      <c r="R29" s="670">
        <f t="shared" si="4"/>
        <v>12</v>
      </c>
      <c r="S29" s="666"/>
      <c r="T29" s="666"/>
      <c r="U29" s="345"/>
      <c r="V29" s="345"/>
      <c r="W29" s="345"/>
    </row>
    <row r="30" spans="1:23" ht="17.399999999999999">
      <c r="A30" s="345"/>
      <c r="B30" s="554"/>
      <c r="C30" s="554"/>
      <c r="D30" s="554"/>
      <c r="E30" s="554"/>
      <c r="F30" s="554"/>
      <c r="G30" s="554"/>
      <c r="H30" s="554"/>
      <c r="I30" s="554"/>
      <c r="J30" s="554"/>
      <c r="K30" s="554"/>
      <c r="L30" s="554"/>
      <c r="M30" s="554"/>
      <c r="N30" s="554"/>
      <c r="O30" s="554"/>
      <c r="P30" s="554"/>
      <c r="Q30" s="554"/>
      <c r="R30" s="554"/>
      <c r="S30" s="666"/>
      <c r="T30" s="666"/>
      <c r="U30" s="345"/>
      <c r="V30" s="345"/>
      <c r="W30" s="345"/>
    </row>
    <row r="31" spans="1:23" ht="17.399999999999999">
      <c r="A31" s="344" t="s">
        <v>114</v>
      </c>
      <c r="B31" s="685">
        <f t="shared" ref="B31:R31" si="5">B27/B25</f>
        <v>1.0324149108589951</v>
      </c>
      <c r="C31" s="685">
        <f t="shared" si="5"/>
        <v>1.0331858407079646</v>
      </c>
      <c r="D31" s="685">
        <f t="shared" si="5"/>
        <v>0.98144712430426717</v>
      </c>
      <c r="E31" s="685">
        <f t="shared" si="5"/>
        <v>1.038022813688213</v>
      </c>
      <c r="F31" s="685">
        <f t="shared" si="5"/>
        <v>1.0326797385620916</v>
      </c>
      <c r="G31" s="685">
        <f t="shared" si="5"/>
        <v>1.0364298724954462</v>
      </c>
      <c r="H31" s="685">
        <f t="shared" si="5"/>
        <v>1.0514950166112957</v>
      </c>
      <c r="I31" s="685">
        <f t="shared" si="5"/>
        <v>1.0426008968609866</v>
      </c>
      <c r="J31" s="685">
        <f t="shared" si="5"/>
        <v>1.0067226890756302</v>
      </c>
      <c r="K31" s="685">
        <f t="shared" si="5"/>
        <v>1.0412186379928314</v>
      </c>
      <c r="L31" s="685">
        <f t="shared" si="5"/>
        <v>1.0069444444444444</v>
      </c>
      <c r="M31" s="685">
        <f t="shared" si="5"/>
        <v>1.0160427807486632</v>
      </c>
      <c r="N31" s="685">
        <f t="shared" si="5"/>
        <v>0.92138728323699426</v>
      </c>
      <c r="O31" s="685">
        <f t="shared" si="5"/>
        <v>1.0146904512067156</v>
      </c>
      <c r="P31" s="685">
        <f t="shared" si="5"/>
        <v>1.0159438775510203</v>
      </c>
      <c r="Q31" s="685">
        <f t="shared" si="5"/>
        <v>0.96</v>
      </c>
      <c r="R31" s="685">
        <f t="shared" si="5"/>
        <v>0.7857142857142857</v>
      </c>
      <c r="S31" s="685">
        <f>T27/S25</f>
        <v>1.0070452423393599</v>
      </c>
      <c r="T31" s="685"/>
      <c r="U31" s="345"/>
      <c r="V31" s="345"/>
      <c r="W31" s="345"/>
    </row>
    <row r="32" spans="1:23" ht="17.399999999999999">
      <c r="A32" s="345"/>
      <c r="B32" s="554"/>
      <c r="C32" s="554"/>
      <c r="D32" s="554"/>
      <c r="E32" s="554"/>
      <c r="F32" s="554"/>
      <c r="G32" s="554"/>
      <c r="H32" s="554"/>
      <c r="I32" s="554"/>
      <c r="J32" s="554"/>
      <c r="K32" s="554"/>
      <c r="L32" s="554"/>
      <c r="M32" s="554"/>
      <c r="N32" s="554"/>
      <c r="O32" s="554"/>
      <c r="P32" s="554"/>
      <c r="Q32" s="554"/>
      <c r="R32" s="554"/>
      <c r="S32" s="554"/>
      <c r="T32" s="554"/>
      <c r="U32" s="345"/>
      <c r="V32" s="345"/>
      <c r="W32" s="345"/>
    </row>
    <row r="33" spans="1:23" ht="17.399999999999999">
      <c r="A33" s="344" t="s">
        <v>115</v>
      </c>
      <c r="B33" s="554">
        <f>ENPRJ3!B33</f>
        <v>625</v>
      </c>
      <c r="C33" s="554">
        <f>ENPRJ3!C33</f>
        <v>575</v>
      </c>
      <c r="D33" s="554">
        <f>ENPRJ3!D33</f>
        <v>600</v>
      </c>
      <c r="E33" s="554">
        <f>ENPRJ3!E33</f>
        <v>725</v>
      </c>
      <c r="F33" s="554">
        <f>ENPRJ3!F33</f>
        <v>725</v>
      </c>
      <c r="G33" s="554">
        <f>ENPRJ3!G33</f>
        <v>625</v>
      </c>
      <c r="H33" s="554">
        <f>ENPRJ3!H33</f>
        <v>700</v>
      </c>
      <c r="I33" s="554">
        <f>ENPRJ3!I33</f>
        <v>593</v>
      </c>
      <c r="J33" s="554">
        <f>ENPRJ3!J33</f>
        <v>750</v>
      </c>
      <c r="K33" s="554">
        <v>667</v>
      </c>
      <c r="L33" s="554">
        <f>ENPRJ3!L33</f>
        <v>864</v>
      </c>
      <c r="M33" s="554">
        <f>ENPRJ3!M33</f>
        <v>779</v>
      </c>
      <c r="N33" s="554">
        <f>ENPRJ3!N33</f>
        <v>756</v>
      </c>
      <c r="O33" s="554">
        <f>ENPRJ3!O33</f>
        <v>1267</v>
      </c>
      <c r="P33" s="554">
        <f>ENPRJ3!P33</f>
        <v>1495</v>
      </c>
      <c r="Q33" s="554">
        <f>ENPRJ3!Q33</f>
        <v>1019</v>
      </c>
      <c r="R33" s="554">
        <v>100</v>
      </c>
      <c r="S33" s="670">
        <f>SUM(B33:R33)</f>
        <v>12865</v>
      </c>
      <c r="T33" s="670"/>
      <c r="U33" s="345"/>
      <c r="V33" s="345"/>
      <c r="W33" s="345"/>
    </row>
    <row r="34" spans="1:23" ht="17.399999999999999">
      <c r="A34" s="345"/>
      <c r="B34" s="554"/>
      <c r="C34" s="554"/>
      <c r="D34" s="554"/>
      <c r="E34" s="554"/>
      <c r="F34" s="554"/>
      <c r="G34" s="554"/>
      <c r="H34" s="554"/>
      <c r="I34" s="554"/>
      <c r="J34" s="554"/>
      <c r="K34" s="554"/>
      <c r="L34" s="554"/>
      <c r="M34" s="554"/>
      <c r="N34" s="554"/>
      <c r="O34" s="554"/>
      <c r="P34" s="554"/>
      <c r="Q34" s="554"/>
      <c r="R34" s="554"/>
      <c r="S34" s="554"/>
      <c r="T34" s="554"/>
      <c r="U34" s="345"/>
      <c r="V34" s="345"/>
      <c r="W34" s="345"/>
    </row>
    <row r="35" spans="1:23" ht="17.399999999999999">
      <c r="A35" s="344" t="s">
        <v>116</v>
      </c>
      <c r="B35" s="685">
        <f t="shared" ref="B35:R35" si="6">B25/B33</f>
        <v>0.98719999999999997</v>
      </c>
      <c r="C35" s="685">
        <f t="shared" si="6"/>
        <v>0.7860869565217391</v>
      </c>
      <c r="D35" s="685">
        <f t="shared" si="6"/>
        <v>0.89833333333333332</v>
      </c>
      <c r="E35" s="685">
        <f t="shared" si="6"/>
        <v>0.7255172413793104</v>
      </c>
      <c r="F35" s="685">
        <f t="shared" si="6"/>
        <v>0.84413793103448276</v>
      </c>
      <c r="G35" s="685">
        <f t="shared" si="6"/>
        <v>0.87839999999999996</v>
      </c>
      <c r="H35" s="685">
        <f t="shared" si="6"/>
        <v>0.86</v>
      </c>
      <c r="I35" s="685">
        <f t="shared" si="6"/>
        <v>0.75210792580101182</v>
      </c>
      <c r="J35" s="685">
        <f t="shared" si="6"/>
        <v>0.79333333333333333</v>
      </c>
      <c r="K35" s="685">
        <f t="shared" si="6"/>
        <v>0.83658170914542729</v>
      </c>
      <c r="L35" s="685">
        <f t="shared" si="6"/>
        <v>0.83333333333333337</v>
      </c>
      <c r="M35" s="685">
        <f t="shared" si="6"/>
        <v>0.96020539152759954</v>
      </c>
      <c r="N35" s="685">
        <f t="shared" si="6"/>
        <v>1.1441798941798942</v>
      </c>
      <c r="O35" s="685">
        <f t="shared" si="6"/>
        <v>0.75217048145224941</v>
      </c>
      <c r="P35" s="685">
        <f t="shared" si="6"/>
        <v>1.048829431438127</v>
      </c>
      <c r="Q35" s="685">
        <f t="shared" si="6"/>
        <v>1.3493621197252208</v>
      </c>
      <c r="R35" s="685">
        <f t="shared" si="6"/>
        <v>0.56000000000000005</v>
      </c>
      <c r="S35" s="685">
        <f>S25/S33</f>
        <v>0.91574038087835208</v>
      </c>
      <c r="T35" s="685"/>
      <c r="U35" s="345"/>
      <c r="V35" s="345"/>
      <c r="W35" s="345"/>
    </row>
    <row r="36" spans="1:23" ht="17.399999999999999">
      <c r="A36" s="344"/>
      <c r="B36" s="669"/>
      <c r="C36" s="669"/>
      <c r="D36" s="669"/>
      <c r="E36" s="669"/>
      <c r="F36" s="669"/>
      <c r="G36" s="669"/>
      <c r="H36" s="669"/>
      <c r="I36" s="668"/>
      <c r="J36" s="668"/>
      <c r="K36" s="668"/>
      <c r="L36" s="668"/>
      <c r="M36" s="668"/>
      <c r="N36" s="668"/>
      <c r="O36" s="668"/>
      <c r="P36" s="668"/>
      <c r="Q36" s="666"/>
      <c r="R36" s="669"/>
      <c r="S36" s="666"/>
      <c r="T36" s="345"/>
      <c r="U36" s="345"/>
    </row>
    <row r="37" spans="1:23" ht="17.399999999999999">
      <c r="A37" s="686"/>
      <c r="B37" s="668"/>
      <c r="C37" s="668"/>
      <c r="D37" s="668"/>
      <c r="E37" s="668"/>
      <c r="F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345"/>
      <c r="T37" s="345"/>
      <c r="U37" s="345"/>
    </row>
    <row r="38" spans="1:23" ht="17.399999999999999">
      <c r="A38" s="344"/>
      <c r="B38" s="669"/>
      <c r="C38" s="669"/>
      <c r="D38" s="669"/>
      <c r="E38" s="669"/>
      <c r="F38" s="669"/>
      <c r="G38" s="669"/>
      <c r="H38" s="669"/>
      <c r="I38" s="668"/>
      <c r="J38" s="668"/>
      <c r="K38" s="668"/>
      <c r="L38" s="668"/>
      <c r="M38" s="668"/>
      <c r="N38" s="666"/>
      <c r="O38" s="669"/>
      <c r="P38" s="666"/>
      <c r="Q38" s="345"/>
      <c r="R38" s="345"/>
    </row>
    <row r="39" spans="1:23" ht="17.399999999999999">
      <c r="A39" s="345"/>
      <c r="B39" s="345"/>
      <c r="C39" s="345"/>
      <c r="D39" s="345"/>
      <c r="E39" s="345"/>
      <c r="F39" s="345"/>
      <c r="G39" s="345"/>
      <c r="H39" s="345"/>
      <c r="I39" s="345"/>
      <c r="J39" s="345"/>
      <c r="K39" s="345"/>
      <c r="L39" s="345"/>
      <c r="M39" s="345"/>
      <c r="N39" s="345"/>
      <c r="O39" s="345"/>
      <c r="P39" s="345"/>
      <c r="Q39" s="345"/>
      <c r="R39" s="345"/>
    </row>
    <row r="40" spans="1:23" ht="17.399999999999999">
      <c r="A40" s="819" t="s">
        <v>203</v>
      </c>
      <c r="B40" s="819"/>
      <c r="C40" s="819"/>
      <c r="D40" s="819"/>
      <c r="E40" s="819"/>
      <c r="F40" s="819"/>
      <c r="G40" s="819"/>
      <c r="H40" s="819"/>
      <c r="I40" s="819"/>
      <c r="J40" s="819"/>
      <c r="K40" s="819"/>
      <c r="L40" s="819"/>
      <c r="M40" s="819"/>
    </row>
    <row r="41" spans="1:23" ht="17.399999999999999">
      <c r="A41" s="820" t="s">
        <v>267</v>
      </c>
      <c r="B41" s="820"/>
      <c r="C41" s="820"/>
      <c r="D41" s="820"/>
      <c r="E41" s="820"/>
      <c r="F41" s="820"/>
      <c r="G41" s="820"/>
      <c r="H41" s="820"/>
      <c r="I41" s="820"/>
      <c r="J41" s="820"/>
      <c r="K41" s="820"/>
      <c r="L41" s="820"/>
      <c r="M41" s="820"/>
    </row>
    <row r="42" spans="1:23" ht="17.399999999999999">
      <c r="A42" s="819" t="s">
        <v>205</v>
      </c>
      <c r="B42" s="819"/>
      <c r="C42" s="819"/>
      <c r="D42" s="819"/>
      <c r="E42" s="819"/>
      <c r="F42" s="819"/>
      <c r="G42" s="819"/>
      <c r="H42" s="819"/>
      <c r="I42" s="819"/>
      <c r="J42" s="819"/>
      <c r="K42" s="819"/>
      <c r="L42" s="819"/>
      <c r="M42" s="819"/>
    </row>
    <row r="44" spans="1:23">
      <c r="A44" s="687" t="s">
        <v>188</v>
      </c>
      <c r="B44" s="89"/>
      <c r="C44" s="687" t="s">
        <v>120</v>
      </c>
      <c r="D44" s="89"/>
      <c r="E44" s="687" t="s">
        <v>138</v>
      </c>
      <c r="F44" s="89"/>
      <c r="G44" s="687" t="s">
        <v>206</v>
      </c>
      <c r="H44" s="89"/>
      <c r="I44" s="687" t="s">
        <v>207</v>
      </c>
      <c r="J44" s="89"/>
      <c r="K44" s="687" t="s">
        <v>208</v>
      </c>
      <c r="L44" s="687" t="s">
        <v>209</v>
      </c>
      <c r="M44" s="89"/>
    </row>
    <row r="45" spans="1:23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</row>
    <row r="46" spans="1:23" ht="17.399999999999999">
      <c r="A46" s="543" t="s">
        <v>189</v>
      </c>
      <c r="B46" s="557"/>
      <c r="C46" s="688" t="s">
        <v>210</v>
      </c>
      <c r="D46" s="557"/>
      <c r="E46" s="688" t="s">
        <v>211</v>
      </c>
      <c r="F46" s="557"/>
      <c r="G46" s="688" t="s">
        <v>212</v>
      </c>
      <c r="H46" s="557"/>
      <c r="I46" s="688" t="s">
        <v>268</v>
      </c>
      <c r="J46" s="557"/>
      <c r="K46" s="688" t="s">
        <v>214</v>
      </c>
      <c r="L46" s="688" t="s">
        <v>112</v>
      </c>
      <c r="M46" s="558"/>
    </row>
    <row r="47" spans="1:23" ht="17.399999999999999">
      <c r="A47" s="689" t="s">
        <v>194</v>
      </c>
      <c r="B47" s="67"/>
      <c r="C47" s="121" t="s">
        <v>215</v>
      </c>
      <c r="D47" s="67"/>
      <c r="E47" s="121" t="s">
        <v>216</v>
      </c>
      <c r="F47" s="67"/>
      <c r="G47" s="121" t="s">
        <v>217</v>
      </c>
      <c r="H47" s="67"/>
      <c r="I47" s="121" t="s">
        <v>218</v>
      </c>
      <c r="J47" s="67"/>
      <c r="K47" s="121" t="s">
        <v>219</v>
      </c>
      <c r="L47" s="121" t="s">
        <v>220</v>
      </c>
      <c r="M47" s="690"/>
    </row>
    <row r="48" spans="1:23" ht="17.399999999999999">
      <c r="A48" s="547"/>
      <c r="B48" s="678"/>
      <c r="C48" s="691" t="s">
        <v>221</v>
      </c>
      <c r="D48" s="678"/>
      <c r="E48" s="691" t="s">
        <v>222</v>
      </c>
      <c r="F48" s="678"/>
      <c r="G48" s="691" t="s">
        <v>223</v>
      </c>
      <c r="H48" s="678"/>
      <c r="I48" s="691" t="s">
        <v>212</v>
      </c>
      <c r="J48" s="678"/>
      <c r="K48" s="678"/>
      <c r="L48" s="691" t="s">
        <v>224</v>
      </c>
      <c r="M48" s="552"/>
    </row>
    <row r="49" spans="1:13" ht="17.399999999999999">
      <c r="A49" s="345"/>
      <c r="B49" s="345"/>
      <c r="C49" s="345"/>
      <c r="D49" s="345"/>
      <c r="E49" s="345"/>
      <c r="F49" s="345"/>
      <c r="G49" s="345"/>
      <c r="H49" s="345"/>
      <c r="I49" s="345"/>
      <c r="J49" s="345"/>
      <c r="K49" s="345"/>
      <c r="L49" s="345"/>
      <c r="M49" s="345"/>
    </row>
    <row r="50" spans="1:13" ht="17.399999999999999">
      <c r="A50" s="345">
        <f>ENPRJ3!$A$219</f>
        <v>2010</v>
      </c>
      <c r="B50" s="345"/>
      <c r="C50" s="345">
        <f>ENPRJ3!C219</f>
        <v>524</v>
      </c>
      <c r="D50" s="345"/>
      <c r="E50" s="692">
        <f>ENPRJ3!E219</f>
        <v>57725</v>
      </c>
      <c r="F50" s="345"/>
      <c r="G50" s="693">
        <f>ENPRJ3!G219</f>
        <v>9.0775227371156352E-3</v>
      </c>
      <c r="H50" s="345"/>
      <c r="I50" s="345"/>
      <c r="J50" s="345"/>
      <c r="K50" s="345"/>
      <c r="L50" s="345"/>
      <c r="M50" s="345"/>
    </row>
    <row r="51" spans="1:13" ht="17.399999999999999">
      <c r="A51" s="345">
        <f>ENPRJ3!$A$220</f>
        <v>2011</v>
      </c>
      <c r="B51" s="345"/>
      <c r="C51" s="345">
        <f>ENPRJ3!C220</f>
        <v>497</v>
      </c>
      <c r="D51" s="345"/>
      <c r="E51" s="692">
        <f>ENPRJ3!E220</f>
        <v>58095</v>
      </c>
      <c r="F51" s="345"/>
      <c r="G51" s="693">
        <f>ENPRJ3!G220</f>
        <v>8.5549530940700579E-3</v>
      </c>
      <c r="H51" s="345"/>
      <c r="I51" s="345"/>
      <c r="J51" s="345"/>
      <c r="K51" s="345"/>
      <c r="L51" s="345"/>
      <c r="M51" s="345"/>
    </row>
    <row r="52" spans="1:13" ht="17.399999999999999">
      <c r="A52" s="345">
        <f>ENPRJ3!$A$221</f>
        <v>2012</v>
      </c>
      <c r="B52" s="345"/>
      <c r="C52" s="345">
        <f>ENPRJ3!C221</f>
        <v>496</v>
      </c>
      <c r="D52" s="345"/>
      <c r="E52" s="692">
        <f>ENPRJ3!E221</f>
        <v>60316</v>
      </c>
      <c r="F52" s="345"/>
      <c r="G52" s="693">
        <f>ENPRJ3!G221</f>
        <v>8.223356986537568E-3</v>
      </c>
      <c r="H52" s="345"/>
      <c r="I52" s="345"/>
      <c r="J52" s="345"/>
      <c r="K52" s="345"/>
      <c r="L52" s="345"/>
      <c r="M52" s="345"/>
    </row>
    <row r="53" spans="1:13" ht="17.399999999999999">
      <c r="A53" s="345">
        <f>ENPRJ3!$A$222</f>
        <v>2013</v>
      </c>
      <c r="B53" s="345"/>
      <c r="C53" s="345">
        <f>ENPRJ3!C222</f>
        <v>511</v>
      </c>
      <c r="D53" s="345"/>
      <c r="E53" s="692">
        <f>ENPRJ3!E222</f>
        <v>60756</v>
      </c>
      <c r="F53" s="345"/>
      <c r="G53" s="693">
        <f>ENPRJ3!G222</f>
        <v>8.410691948120351E-3</v>
      </c>
      <c r="H53" s="345"/>
      <c r="I53" s="345"/>
      <c r="J53" s="345"/>
      <c r="K53" s="345"/>
      <c r="L53" s="345"/>
      <c r="M53" s="345"/>
    </row>
    <row r="54" spans="1:13" ht="17.399999999999999">
      <c r="A54" s="345">
        <f>ENPRJ3!$A$223</f>
        <v>2014</v>
      </c>
      <c r="B54" s="345"/>
      <c r="C54" s="345">
        <f>ENPRJ3!C223</f>
        <v>556</v>
      </c>
      <c r="D54" s="345"/>
      <c r="E54" s="692">
        <f>ENPRJ3!E223</f>
        <v>62104</v>
      </c>
      <c r="F54" s="345"/>
      <c r="G54" s="693">
        <f>ENPRJ3!G223</f>
        <v>8.9527244621924514E-3</v>
      </c>
      <c r="H54" s="345"/>
      <c r="I54" s="345"/>
      <c r="J54" s="345"/>
      <c r="K54" s="345"/>
      <c r="L54" s="345"/>
      <c r="M54" s="345"/>
    </row>
    <row r="55" spans="1:13" ht="17.399999999999999">
      <c r="A55" s="345">
        <f>ENPRJ3!$A$224</f>
        <v>2015</v>
      </c>
      <c r="B55" s="345"/>
      <c r="C55" s="345">
        <f>ENPRJ3!C224</f>
        <v>444</v>
      </c>
      <c r="D55" s="345"/>
      <c r="E55" s="692">
        <f>ENPRJ3!E224</f>
        <v>63059</v>
      </c>
      <c r="F55" s="345"/>
      <c r="G55" s="693">
        <f>ENPRJ3!G224</f>
        <v>7.0410250717581951E-3</v>
      </c>
      <c r="H55" s="345"/>
      <c r="I55" s="345"/>
      <c r="J55" s="345"/>
      <c r="K55" s="345"/>
      <c r="L55" s="345"/>
      <c r="M55" s="345"/>
    </row>
    <row r="56" spans="1:13" ht="17.399999999999999">
      <c r="A56" s="345">
        <f>ENPRJ3!$A$225</f>
        <v>2016</v>
      </c>
      <c r="B56" s="345"/>
      <c r="C56" s="345">
        <f>ENPRJ3!C225</f>
        <v>507</v>
      </c>
      <c r="D56" s="345"/>
      <c r="E56" s="692">
        <f>ENPRJ3!E225</f>
        <v>64029</v>
      </c>
      <c r="F56" s="345"/>
      <c r="G56" s="693">
        <f>ENPRJ3!G225</f>
        <v>7.918287026191257E-3</v>
      </c>
      <c r="H56" s="345"/>
      <c r="I56" s="345"/>
      <c r="J56" s="345"/>
      <c r="K56" s="345"/>
      <c r="L56" s="345"/>
      <c r="M56" s="345"/>
    </row>
    <row r="57" spans="1:13" ht="17.399999999999999">
      <c r="A57" s="345">
        <f>ENPRJ3!$A$226</f>
        <v>2017</v>
      </c>
      <c r="B57" s="345"/>
      <c r="C57" s="345">
        <f>ENPRJ3!C226</f>
        <v>546</v>
      </c>
      <c r="D57" s="345"/>
      <c r="E57" s="692">
        <f>ENPRJ3!E226</f>
        <v>64875</v>
      </c>
      <c r="F57" s="345"/>
      <c r="G57" s="693">
        <f>ENPRJ3!G226</f>
        <v>8.4161849710982662E-3</v>
      </c>
      <c r="H57" s="345"/>
      <c r="I57" s="566"/>
      <c r="J57" s="345"/>
      <c r="K57" s="345"/>
      <c r="L57" s="345"/>
      <c r="M57" s="345"/>
    </row>
    <row r="58" spans="1:13" ht="17.399999999999999">
      <c r="A58" s="345">
        <f>ENPRJ3!$A$227</f>
        <v>2018</v>
      </c>
      <c r="B58" s="345"/>
      <c r="C58" s="345">
        <f>ENPRJ3!C227</f>
        <v>511</v>
      </c>
      <c r="D58" s="345"/>
      <c r="E58" s="692">
        <f>ENPRJ3!E227</f>
        <v>65784</v>
      </c>
      <c r="F58" s="345"/>
      <c r="G58" s="693">
        <f>ENPRJ3!G227</f>
        <v>7.7678462848108963E-3</v>
      </c>
      <c r="H58" s="345"/>
      <c r="I58" s="566"/>
      <c r="J58" s="345"/>
      <c r="K58" s="345"/>
      <c r="L58" s="345"/>
      <c r="M58" s="345"/>
    </row>
    <row r="59" spans="1:13" ht="17.399999999999999">
      <c r="A59" s="345">
        <f>ENPRJ3!$A$228</f>
        <v>2019</v>
      </c>
      <c r="B59" s="345"/>
      <c r="C59" s="345">
        <f>ENPRJ3!C228</f>
        <v>464</v>
      </c>
      <c r="D59" s="694"/>
      <c r="E59" s="692">
        <f>ENPRJ3!E228</f>
        <v>66693</v>
      </c>
      <c r="F59" s="345"/>
      <c r="G59" s="693">
        <f>ENPRJ3!G228</f>
        <v>6.9572518855052258E-3</v>
      </c>
      <c r="H59" s="345"/>
      <c r="I59" s="566"/>
      <c r="J59" s="345"/>
      <c r="K59" s="345"/>
      <c r="L59" s="345"/>
      <c r="M59" s="345"/>
    </row>
    <row r="60" spans="1:13" ht="17.399999999999999">
      <c r="A60" s="345">
        <f>ENPRJ3!$A$229</f>
        <v>2020</v>
      </c>
      <c r="B60" s="345"/>
      <c r="C60" s="345">
        <f>ENPRJ3!C229</f>
        <v>538</v>
      </c>
      <c r="D60" s="345"/>
      <c r="E60" s="692">
        <f>ENPRJ3!E229</f>
        <v>67609</v>
      </c>
      <c r="F60" s="345"/>
      <c r="G60" s="693">
        <f>ENPRJ3!G229</f>
        <v>7.9575204484610036E-3</v>
      </c>
      <c r="H60" s="345"/>
      <c r="I60" s="566">
        <f>ENPRJ3!K204</f>
        <v>1.5505536076740791</v>
      </c>
      <c r="J60" s="345"/>
      <c r="K60" s="345" t="str">
        <f>D83</f>
        <v>2026-27</v>
      </c>
      <c r="L60" s="345">
        <f>ROUND(C60*I60,0)</f>
        <v>834</v>
      </c>
      <c r="M60" s="345"/>
    </row>
    <row r="61" spans="1:13" ht="17.399999999999999">
      <c r="A61" s="345">
        <f>ENPRJ3!$A$230</f>
        <v>2021</v>
      </c>
      <c r="B61" s="345"/>
      <c r="C61" s="345">
        <f>ENPRJ3!C230</f>
        <v>529</v>
      </c>
      <c r="D61" s="345"/>
      <c r="E61" s="692">
        <f>ENPRJ3!E230</f>
        <v>68232</v>
      </c>
      <c r="F61" s="345"/>
      <c r="G61" s="693">
        <f>ENPRJ3!G230</f>
        <v>7.752960487747684E-3</v>
      </c>
      <c r="H61" s="345"/>
      <c r="I61" s="566">
        <f t="shared" ref="I61:I67" si="7">I60</f>
        <v>1.5505536076740791</v>
      </c>
      <c r="J61" s="345"/>
      <c r="K61" s="345" t="str">
        <f>E83</f>
        <v>2027-28</v>
      </c>
      <c r="L61" s="345">
        <f>ROUND(C61*I61,0)</f>
        <v>820</v>
      </c>
      <c r="M61" s="345"/>
    </row>
    <row r="62" spans="1:13" ht="17.399999999999999">
      <c r="A62" s="345">
        <f>ENPRJ3!$A$231</f>
        <v>2022</v>
      </c>
      <c r="B62" s="344"/>
      <c r="C62" s="345">
        <f>ENPRJ3!C231</f>
        <v>549</v>
      </c>
      <c r="D62" s="345"/>
      <c r="E62" s="692">
        <f>ENPRJ3!E231</f>
        <v>69431</v>
      </c>
      <c r="F62" s="345"/>
      <c r="G62" s="693">
        <f>AVERAGE(G57:G61)</f>
        <v>7.7703528155246161E-3</v>
      </c>
      <c r="H62" s="345"/>
      <c r="I62" s="566">
        <f t="shared" si="7"/>
        <v>1.5505536076740791</v>
      </c>
      <c r="J62" s="345"/>
      <c r="K62" s="345" t="str">
        <f>F83</f>
        <v>2028-29</v>
      </c>
      <c r="L62" s="345">
        <f t="shared" ref="L62:L69" si="8">ROUND(C62*I62,0)</f>
        <v>851</v>
      </c>
      <c r="M62" s="345"/>
    </row>
    <row r="63" spans="1:13" ht="17.399999999999999">
      <c r="A63" s="345">
        <f>ENPRJ3!$A$232</f>
        <v>2023</v>
      </c>
      <c r="B63" s="344"/>
      <c r="C63" s="345">
        <f>ENPRJ3!C232</f>
        <v>537</v>
      </c>
      <c r="D63" s="345"/>
      <c r="E63" s="692">
        <f>ENPRJ3!E232</f>
        <v>69819</v>
      </c>
      <c r="F63" s="345"/>
      <c r="G63" s="693">
        <f t="shared" ref="G63:G65" si="9">AVERAGE(G58:G62)</f>
        <v>7.6411863844098845E-3</v>
      </c>
      <c r="H63" s="345"/>
      <c r="I63" s="566">
        <f t="shared" si="7"/>
        <v>1.5505536076740791</v>
      </c>
      <c r="J63" s="345"/>
      <c r="K63" s="345" t="str">
        <f>G83</f>
        <v>2029-30</v>
      </c>
      <c r="L63" s="345">
        <f t="shared" si="8"/>
        <v>833</v>
      </c>
      <c r="M63" s="345"/>
    </row>
    <row r="64" spans="1:13" ht="17.399999999999999">
      <c r="A64" s="345">
        <f>ENPRJ3!$A$233</f>
        <v>2024</v>
      </c>
      <c r="B64" s="344"/>
      <c r="C64" s="345">
        <f>ENPRJ3!C233</f>
        <v>541</v>
      </c>
      <c r="D64" s="345"/>
      <c r="E64" s="692">
        <f>ENPRJ3!E233</f>
        <v>70496</v>
      </c>
      <c r="F64" s="345"/>
      <c r="G64" s="693">
        <f t="shared" si="9"/>
        <v>7.6158544043296835E-3</v>
      </c>
      <c r="H64" s="345"/>
      <c r="I64" s="566">
        <f t="shared" si="7"/>
        <v>1.5505536076740791</v>
      </c>
      <c r="J64" s="345"/>
      <c r="K64" s="345" t="str">
        <f>H83</f>
        <v>2030-31</v>
      </c>
      <c r="L64" s="345">
        <f t="shared" si="8"/>
        <v>839</v>
      </c>
      <c r="M64" s="345"/>
    </row>
    <row r="65" spans="1:17" ht="17.399999999999999">
      <c r="A65" s="345">
        <f>ENPRJ3!$A$234</f>
        <v>2025</v>
      </c>
      <c r="B65" s="344" t="s">
        <v>225</v>
      </c>
      <c r="C65" s="345">
        <f t="shared" ref="C65:C69" si="10">ROUND(E65*G65,0)</f>
        <v>555</v>
      </c>
      <c r="D65" s="345"/>
      <c r="E65" s="692">
        <f>ENPRJ3!E234</f>
        <v>71574</v>
      </c>
      <c r="F65" s="345"/>
      <c r="G65" s="693">
        <f t="shared" si="9"/>
        <v>7.7475749080945736E-3</v>
      </c>
      <c r="H65" s="345"/>
      <c r="I65" s="566">
        <f t="shared" si="7"/>
        <v>1.5505536076740791</v>
      </c>
      <c r="J65" s="345"/>
      <c r="K65" s="345" t="str">
        <f>I83</f>
        <v>2031-32</v>
      </c>
      <c r="L65" s="345">
        <f t="shared" si="8"/>
        <v>861</v>
      </c>
      <c r="M65" s="345"/>
    </row>
    <row r="66" spans="1:17" ht="17.399999999999999">
      <c r="A66" s="345">
        <f>ENPRJ3!$A$235</f>
        <v>2026</v>
      </c>
      <c r="B66" s="344" t="s">
        <v>225</v>
      </c>
      <c r="C66" s="345">
        <f t="shared" si="10"/>
        <v>563</v>
      </c>
      <c r="D66" s="345"/>
      <c r="E66" s="692">
        <f>ENPRJ3!E235</f>
        <v>72651</v>
      </c>
      <c r="F66" s="345"/>
      <c r="G66" s="693">
        <f>AVERAGE(G60:G64)</f>
        <v>7.7475749080945736E-3</v>
      </c>
      <c r="H66" s="345"/>
      <c r="I66" s="566">
        <f t="shared" si="7"/>
        <v>1.5505536076740791</v>
      </c>
      <c r="J66" s="345"/>
      <c r="K66" s="345" t="str">
        <f>J83</f>
        <v>2032-33</v>
      </c>
      <c r="L66" s="345">
        <f t="shared" si="8"/>
        <v>873</v>
      </c>
      <c r="M66" s="345"/>
    </row>
    <row r="67" spans="1:17" ht="17.399999999999999">
      <c r="A67" s="345">
        <f>ENPRJ3!$A$236</f>
        <v>2027</v>
      </c>
      <c r="B67" s="344" t="s">
        <v>225</v>
      </c>
      <c r="C67" s="345">
        <f t="shared" si="10"/>
        <v>571</v>
      </c>
      <c r="E67" s="692">
        <f>ENPRJ3!E236</f>
        <v>73729</v>
      </c>
      <c r="G67" s="693">
        <f>AVERAGE(G60:G64)</f>
        <v>7.7475749080945736E-3</v>
      </c>
      <c r="I67" s="566">
        <f t="shared" si="7"/>
        <v>1.5505536076740791</v>
      </c>
      <c r="J67" s="345"/>
      <c r="K67" s="345" t="str">
        <f>K83</f>
        <v>2033-34</v>
      </c>
      <c r="L67" s="345">
        <f t="shared" si="8"/>
        <v>885</v>
      </c>
      <c r="M67" s="345"/>
    </row>
    <row r="68" spans="1:17" ht="17.399999999999999">
      <c r="A68" s="345">
        <f>ENPRJ3!$A$237</f>
        <v>2028</v>
      </c>
      <c r="B68" s="344" t="s">
        <v>225</v>
      </c>
      <c r="C68" s="345">
        <f t="shared" si="10"/>
        <v>580</v>
      </c>
      <c r="E68" s="692">
        <f>ENPRJ3!E237</f>
        <v>74806</v>
      </c>
      <c r="G68" s="693">
        <f>AVERAGE(G60:G64)</f>
        <v>7.7475749080945736E-3</v>
      </c>
      <c r="I68" s="566">
        <f>I67</f>
        <v>1.5505536076740791</v>
      </c>
      <c r="K68" s="345" t="str">
        <f>L83</f>
        <v>2034-35</v>
      </c>
      <c r="L68" s="345">
        <f t="shared" si="8"/>
        <v>899</v>
      </c>
      <c r="M68" s="345"/>
    </row>
    <row r="69" spans="1:17" ht="18" thickBot="1">
      <c r="A69" s="695">
        <f>ENPRJ3!$A$238</f>
        <v>2029</v>
      </c>
      <c r="B69" s="696" t="s">
        <v>225</v>
      </c>
      <c r="C69" s="695">
        <f t="shared" si="10"/>
        <v>588</v>
      </c>
      <c r="D69" s="136"/>
      <c r="E69" s="697">
        <f>ENPRJ3!E238</f>
        <v>75883</v>
      </c>
      <c r="F69" s="136"/>
      <c r="G69" s="698">
        <f>AVERAGE(G60:G64)</f>
        <v>7.7475749080945736E-3</v>
      </c>
      <c r="H69" s="136"/>
      <c r="I69" s="699">
        <f>I68</f>
        <v>1.5505536076740791</v>
      </c>
      <c r="J69" s="136"/>
      <c r="K69" s="695" t="str">
        <f>M83</f>
        <v>2035-36</v>
      </c>
      <c r="L69" s="695">
        <f t="shared" si="8"/>
        <v>912</v>
      </c>
      <c r="M69" s="695"/>
    </row>
    <row r="70" spans="1:17" ht="24.75" customHeight="1" thickTop="1">
      <c r="A70" s="818"/>
      <c r="B70" s="818"/>
      <c r="C70" s="818"/>
      <c r="D70" s="818"/>
      <c r="E70" s="818"/>
      <c r="F70" s="818"/>
      <c r="G70" s="818"/>
      <c r="H70" s="818"/>
      <c r="I70" s="818"/>
      <c r="J70" s="818"/>
      <c r="K70" s="818"/>
      <c r="L70" s="818"/>
      <c r="M70" s="818"/>
      <c r="N70" s="818"/>
      <c r="O70" s="818"/>
    </row>
    <row r="71" spans="1:17">
      <c r="A71" s="818"/>
      <c r="B71" s="818"/>
      <c r="C71" s="818"/>
      <c r="D71" s="818"/>
      <c r="E71" s="818"/>
      <c r="F71" s="818"/>
      <c r="G71" s="818"/>
      <c r="H71" s="818"/>
      <c r="I71" s="818"/>
      <c r="J71" s="818"/>
      <c r="K71" s="818"/>
      <c r="L71" s="818"/>
      <c r="M71" s="818"/>
      <c r="N71" s="818"/>
      <c r="O71" s="818"/>
    </row>
    <row r="72" spans="1:17" ht="17.399999999999999">
      <c r="A72" s="700" t="s">
        <v>317</v>
      </c>
      <c r="B72" s="700"/>
      <c r="C72" s="700"/>
      <c r="D72" s="700"/>
      <c r="E72" s="700"/>
      <c r="F72" s="700"/>
      <c r="G72" s="700"/>
      <c r="H72" s="700"/>
      <c r="I72" s="700"/>
      <c r="J72" s="700"/>
      <c r="K72" s="700"/>
      <c r="L72" s="700"/>
      <c r="M72" s="345"/>
    </row>
    <row r="73" spans="1:17" ht="15">
      <c r="A73" s="701" t="s">
        <v>405</v>
      </c>
      <c r="B73" s="702"/>
      <c r="C73" s="702"/>
      <c r="D73" s="702"/>
      <c r="E73" s="702"/>
      <c r="F73" s="702"/>
      <c r="G73" s="701"/>
      <c r="H73" s="702" t="s">
        <v>433</v>
      </c>
      <c r="I73" s="701"/>
      <c r="J73" s="702"/>
      <c r="K73" s="702"/>
      <c r="L73" s="702"/>
      <c r="M73" s="702"/>
      <c r="N73" s="702"/>
      <c r="O73" s="702"/>
      <c r="P73" s="702"/>
      <c r="Q73" s="702"/>
    </row>
    <row r="74" spans="1:17" ht="15">
      <c r="A74" s="701"/>
      <c r="B74" s="702"/>
      <c r="C74" s="702"/>
      <c r="D74" s="702"/>
      <c r="E74" s="702"/>
      <c r="F74" s="702"/>
      <c r="G74" s="701"/>
      <c r="H74" s="702" t="s">
        <v>434</v>
      </c>
      <c r="I74" s="701"/>
      <c r="J74" s="702"/>
      <c r="K74" s="702"/>
      <c r="L74" s="702"/>
      <c r="M74" s="702"/>
      <c r="N74" s="702"/>
      <c r="O74" s="702"/>
      <c r="P74" s="702"/>
      <c r="Q74" s="702"/>
    </row>
    <row r="75" spans="1:17" ht="15">
      <c r="A75" s="701" t="s">
        <v>353</v>
      </c>
      <c r="B75" s="702">
        <f>A65</f>
        <v>2025</v>
      </c>
      <c r="C75" s="703" t="s">
        <v>3</v>
      </c>
      <c r="D75" s="702">
        <f>A69</f>
        <v>2029</v>
      </c>
      <c r="E75" s="701" t="s">
        <v>226</v>
      </c>
      <c r="G75" s="702"/>
      <c r="H75" s="704">
        <f>G66</f>
        <v>7.7475749080945736E-3</v>
      </c>
      <c r="I75" s="701" t="s">
        <v>318</v>
      </c>
      <c r="J75" s="702"/>
      <c r="K75" s="702"/>
      <c r="L75" s="702"/>
      <c r="M75" s="702"/>
      <c r="N75" s="702"/>
      <c r="O75" s="702"/>
    </row>
    <row r="76" spans="1:17" ht="15">
      <c r="A76" s="701" t="s">
        <v>342</v>
      </c>
      <c r="B76" s="701"/>
      <c r="C76" s="702"/>
      <c r="D76" s="702"/>
      <c r="E76" s="704"/>
      <c r="F76" s="701"/>
      <c r="G76" s="702"/>
      <c r="H76" s="702"/>
      <c r="I76" s="702"/>
      <c r="J76" s="702"/>
      <c r="K76" s="703">
        <f>A60</f>
        <v>2020</v>
      </c>
      <c r="L76" s="703" t="s">
        <v>3</v>
      </c>
      <c r="M76" s="703">
        <f>A64</f>
        <v>2024</v>
      </c>
      <c r="N76" s="702"/>
      <c r="O76" s="702"/>
    </row>
    <row r="77" spans="1:17" ht="17.399999999999999">
      <c r="A77" s="344"/>
      <c r="B77" s="344"/>
      <c r="C77" s="345"/>
      <c r="D77" s="345"/>
      <c r="E77" s="693"/>
      <c r="F77" s="344"/>
      <c r="G77" s="345"/>
      <c r="H77" s="345"/>
      <c r="I77" s="345"/>
      <c r="K77" s="666"/>
      <c r="L77" s="666"/>
      <c r="M77" s="666"/>
    </row>
    <row r="78" spans="1:17" ht="17.399999999999999">
      <c r="B78" s="121" t="s">
        <v>227</v>
      </c>
      <c r="C78" s="67"/>
      <c r="D78" s="67"/>
      <c r="E78" s="67"/>
      <c r="H78" s="67"/>
      <c r="I78" s="67" t="str">
        <f>D83</f>
        <v>2026-27</v>
      </c>
      <c r="J78" s="705" t="s">
        <v>3</v>
      </c>
      <c r="K78" s="67" t="str">
        <f>M83</f>
        <v>2035-36</v>
      </c>
    </row>
    <row r="79" spans="1:17" ht="17.399999999999999">
      <c r="B79" s="67"/>
      <c r="C79" s="67"/>
      <c r="D79" s="67" t="str">
        <f>A41</f>
        <v xml:space="preserve">    FIVE YEAR AVERAGE PERCENTAGE OF SURVIVAL</v>
      </c>
      <c r="E79" s="67"/>
      <c r="F79" s="67"/>
      <c r="G79" s="67"/>
      <c r="H79" s="67"/>
    </row>
    <row r="81" spans="1:14">
      <c r="A81" s="706" t="s">
        <v>119</v>
      </c>
      <c r="B81" s="706" t="s">
        <v>144</v>
      </c>
      <c r="C81" s="706" t="s">
        <v>145</v>
      </c>
      <c r="D81" s="706" t="s">
        <v>122</v>
      </c>
      <c r="E81" s="706" t="s">
        <v>124</v>
      </c>
      <c r="F81" s="706" t="s">
        <v>125</v>
      </c>
      <c r="G81" s="706" t="s">
        <v>126</v>
      </c>
      <c r="H81" s="706" t="s">
        <v>127</v>
      </c>
      <c r="I81" s="706" t="s">
        <v>128</v>
      </c>
      <c r="J81" s="706" t="s">
        <v>129</v>
      </c>
      <c r="K81" s="706" t="s">
        <v>130</v>
      </c>
      <c r="L81" s="706" t="s">
        <v>131</v>
      </c>
      <c r="M81" s="706" t="s">
        <v>139</v>
      </c>
    </row>
    <row r="82" spans="1:14">
      <c r="A82" s="89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440"/>
    </row>
    <row r="83" spans="1:14" ht="17.399999999999999">
      <c r="A83" s="543" t="s">
        <v>24</v>
      </c>
      <c r="B83" s="557" t="str">
        <f>I46</f>
        <v>5 YEAR AVE.</v>
      </c>
      <c r="C83" s="544" t="str">
        <f>ENPRJ3!O45</f>
        <v>2025-26</v>
      </c>
      <c r="D83" s="544" t="str">
        <f>ENPRJ3!D252</f>
        <v>2026-27</v>
      </c>
      <c r="E83" s="544" t="str">
        <f>ENPRJ3!E252</f>
        <v>2027-28</v>
      </c>
      <c r="F83" s="544" t="str">
        <f>ENPRJ3!F252</f>
        <v>2028-29</v>
      </c>
      <c r="G83" s="544" t="str">
        <f>ENPRJ3!G252</f>
        <v>2029-30</v>
      </c>
      <c r="H83" s="544" t="str">
        <f>ENPRJ3!H252</f>
        <v>2030-31</v>
      </c>
      <c r="I83" s="544" t="str">
        <f>ENPRJ3!I252</f>
        <v>2031-32</v>
      </c>
      <c r="J83" s="544" t="str">
        <f>ENPRJ3!J252</f>
        <v>2032-33</v>
      </c>
      <c r="K83" s="544" t="str">
        <f>ENPRJ3!K252</f>
        <v>2033-34</v>
      </c>
      <c r="L83" s="544" t="str">
        <f>ENPRJ3!L252</f>
        <v>2034-35</v>
      </c>
      <c r="M83" s="544" t="str">
        <f>ENPRJ3!M252</f>
        <v>2035-36</v>
      </c>
      <c r="N83" s="194"/>
    </row>
    <row r="84" spans="1:14" ht="17.399999999999999">
      <c r="A84" s="707"/>
      <c r="B84" s="121" t="s">
        <v>110</v>
      </c>
      <c r="C84" s="121" t="s">
        <v>345</v>
      </c>
      <c r="D84" s="67"/>
      <c r="E84" s="67"/>
      <c r="F84" s="67"/>
      <c r="G84" s="67"/>
      <c r="H84" s="67"/>
      <c r="I84" s="67"/>
      <c r="J84" s="67"/>
      <c r="K84" s="67"/>
      <c r="L84" s="67"/>
      <c r="M84" s="690"/>
    </row>
    <row r="85" spans="1:14" ht="17.399999999999999">
      <c r="A85" s="547"/>
      <c r="B85" s="691" t="s">
        <v>230</v>
      </c>
      <c r="C85" s="691" t="s">
        <v>198</v>
      </c>
      <c r="D85" s="678"/>
      <c r="E85" s="678"/>
      <c r="F85" s="678"/>
      <c r="G85" s="678"/>
      <c r="H85" s="678"/>
      <c r="I85" s="678"/>
      <c r="J85" s="678"/>
      <c r="K85" s="678"/>
      <c r="L85" s="678"/>
      <c r="M85" s="552"/>
    </row>
    <row r="86" spans="1:14" ht="17.399999999999999">
      <c r="A86" s="345"/>
      <c r="B86" s="345"/>
      <c r="C86" s="345"/>
      <c r="D86" s="345"/>
      <c r="E86" s="345"/>
      <c r="F86" s="345"/>
      <c r="G86" s="345"/>
      <c r="H86" s="345"/>
      <c r="I86" s="345"/>
      <c r="J86" s="345"/>
      <c r="K86" s="345"/>
      <c r="L86" s="345"/>
      <c r="M86" s="345"/>
    </row>
    <row r="87" spans="1:14" ht="17.399999999999999">
      <c r="A87" s="555" t="s">
        <v>391</v>
      </c>
      <c r="B87" s="345"/>
      <c r="C87" s="345">
        <f>ENPRJ3!O47</f>
        <v>723</v>
      </c>
      <c r="D87" s="345">
        <f>L60</f>
        <v>834</v>
      </c>
      <c r="E87" s="345">
        <f>L61</f>
        <v>820</v>
      </c>
      <c r="F87" s="345">
        <f>L62</f>
        <v>851</v>
      </c>
      <c r="G87" s="667">
        <f>L63</f>
        <v>833</v>
      </c>
      <c r="H87" s="345">
        <f>L64</f>
        <v>839</v>
      </c>
      <c r="I87" s="345">
        <f>L65</f>
        <v>861</v>
      </c>
      <c r="J87" s="345">
        <f>L66</f>
        <v>873</v>
      </c>
      <c r="K87" s="345">
        <f>L67</f>
        <v>885</v>
      </c>
      <c r="L87" s="345">
        <f>L68</f>
        <v>899</v>
      </c>
      <c r="M87" s="345">
        <f>L69</f>
        <v>912</v>
      </c>
    </row>
    <row r="88" spans="1:14" ht="17.399999999999999">
      <c r="A88" s="555">
        <v>1</v>
      </c>
      <c r="B88" s="668">
        <f>ENPRJ3!P80</f>
        <v>1.0394398350031575</v>
      </c>
      <c r="C88" s="345">
        <f>ENPRJ3!O48</f>
        <v>735</v>
      </c>
      <c r="D88" s="667">
        <f>ROUND(C87*$B$88,0)</f>
        <v>752</v>
      </c>
      <c r="E88" s="667">
        <f t="shared" ref="E88:M88" si="11">ROUND(D87*$B$88,0)</f>
        <v>867</v>
      </c>
      <c r="F88" s="667">
        <f t="shared" si="11"/>
        <v>852</v>
      </c>
      <c r="G88" s="667">
        <f t="shared" si="11"/>
        <v>885</v>
      </c>
      <c r="H88" s="667">
        <f t="shared" si="11"/>
        <v>866</v>
      </c>
      <c r="I88" s="667">
        <f t="shared" si="11"/>
        <v>872</v>
      </c>
      <c r="J88" s="667">
        <f t="shared" si="11"/>
        <v>895</v>
      </c>
      <c r="K88" s="667">
        <f t="shared" si="11"/>
        <v>907</v>
      </c>
      <c r="L88" s="667">
        <f t="shared" si="11"/>
        <v>920</v>
      </c>
      <c r="M88" s="667">
        <f t="shared" si="11"/>
        <v>934</v>
      </c>
    </row>
    <row r="89" spans="1:14" ht="17.399999999999999">
      <c r="A89" s="555">
        <v>2</v>
      </c>
      <c r="B89" s="668">
        <f>ENPRJ3!P81</f>
        <v>1.0217731967021362</v>
      </c>
      <c r="C89" s="345">
        <f>ENPRJ3!O49</f>
        <v>807</v>
      </c>
      <c r="D89" s="667">
        <f>ROUND(C88*$B$89,0)</f>
        <v>751</v>
      </c>
      <c r="E89" s="667">
        <f t="shared" ref="E89:M89" si="12">ROUND(D88*$B$89,0)</f>
        <v>768</v>
      </c>
      <c r="F89" s="667">
        <f t="shared" si="12"/>
        <v>886</v>
      </c>
      <c r="G89" s="667">
        <f t="shared" si="12"/>
        <v>871</v>
      </c>
      <c r="H89" s="667">
        <f t="shared" si="12"/>
        <v>904</v>
      </c>
      <c r="I89" s="667">
        <f t="shared" si="12"/>
        <v>885</v>
      </c>
      <c r="J89" s="667">
        <f t="shared" si="12"/>
        <v>891</v>
      </c>
      <c r="K89" s="667">
        <f t="shared" si="12"/>
        <v>914</v>
      </c>
      <c r="L89" s="667">
        <f t="shared" si="12"/>
        <v>927</v>
      </c>
      <c r="M89" s="667">
        <f t="shared" si="12"/>
        <v>940</v>
      </c>
    </row>
    <row r="90" spans="1:14" ht="17.399999999999999">
      <c r="A90" s="555">
        <v>3</v>
      </c>
      <c r="B90" s="668">
        <f>ENPRJ3!P82</f>
        <v>1.0236280424550861</v>
      </c>
      <c r="C90" s="345">
        <f>ENPRJ3!O50</f>
        <v>876</v>
      </c>
      <c r="D90" s="667">
        <f>ROUND(C89*$B$90,0)</f>
        <v>826</v>
      </c>
      <c r="E90" s="667">
        <f t="shared" ref="E90:M90" si="13">ROUND(D89*$B$90,0)</f>
        <v>769</v>
      </c>
      <c r="F90" s="667">
        <f t="shared" si="13"/>
        <v>786</v>
      </c>
      <c r="G90" s="667">
        <f t="shared" si="13"/>
        <v>907</v>
      </c>
      <c r="H90" s="667">
        <f t="shared" si="13"/>
        <v>892</v>
      </c>
      <c r="I90" s="667">
        <f t="shared" si="13"/>
        <v>925</v>
      </c>
      <c r="J90" s="667">
        <f t="shared" si="13"/>
        <v>906</v>
      </c>
      <c r="K90" s="667">
        <f t="shared" si="13"/>
        <v>912</v>
      </c>
      <c r="L90" s="667">
        <f t="shared" si="13"/>
        <v>936</v>
      </c>
      <c r="M90" s="667">
        <f t="shared" si="13"/>
        <v>949</v>
      </c>
    </row>
    <row r="91" spans="1:14" ht="17.399999999999999">
      <c r="A91" s="555">
        <v>4</v>
      </c>
      <c r="B91" s="668">
        <f>ENPRJ3!P83</f>
        <v>1.0268050622824358</v>
      </c>
      <c r="C91" s="345">
        <f>ENPRJ3!O51</f>
        <v>874</v>
      </c>
      <c r="D91" s="667">
        <f>ROUND(C90*$B$91,0)</f>
        <v>899</v>
      </c>
      <c r="E91" s="667">
        <f t="shared" ref="E91:M91" si="14">ROUND(D90*$B$91,0)</f>
        <v>848</v>
      </c>
      <c r="F91" s="667">
        <f t="shared" si="14"/>
        <v>790</v>
      </c>
      <c r="G91" s="667">
        <f t="shared" si="14"/>
        <v>807</v>
      </c>
      <c r="H91" s="667">
        <f t="shared" si="14"/>
        <v>931</v>
      </c>
      <c r="I91" s="667">
        <f t="shared" si="14"/>
        <v>916</v>
      </c>
      <c r="J91" s="667">
        <f t="shared" si="14"/>
        <v>950</v>
      </c>
      <c r="K91" s="667">
        <f t="shared" si="14"/>
        <v>930</v>
      </c>
      <c r="L91" s="667">
        <f t="shared" si="14"/>
        <v>936</v>
      </c>
      <c r="M91" s="667">
        <f t="shared" si="14"/>
        <v>961</v>
      </c>
    </row>
    <row r="92" spans="1:14" ht="17.399999999999999">
      <c r="A92" s="555">
        <v>5</v>
      </c>
      <c r="B92" s="668">
        <f>ENPRJ3!P84</f>
        <v>1.0224124222297826</v>
      </c>
      <c r="C92" s="345">
        <f>ENPRJ3!O52</f>
        <v>923</v>
      </c>
      <c r="D92" s="667">
        <f>ROUND(C91*$B$92,0)</f>
        <v>894</v>
      </c>
      <c r="E92" s="667">
        <f t="shared" ref="E92:M92" si="15">ROUND(D91*$B$92,0)</f>
        <v>919</v>
      </c>
      <c r="F92" s="667">
        <f t="shared" si="15"/>
        <v>867</v>
      </c>
      <c r="G92" s="667">
        <f t="shared" si="15"/>
        <v>808</v>
      </c>
      <c r="H92" s="667">
        <f t="shared" si="15"/>
        <v>825</v>
      </c>
      <c r="I92" s="667">
        <f t="shared" si="15"/>
        <v>952</v>
      </c>
      <c r="J92" s="667">
        <f t="shared" si="15"/>
        <v>937</v>
      </c>
      <c r="K92" s="667">
        <f t="shared" si="15"/>
        <v>971</v>
      </c>
      <c r="L92" s="667">
        <f t="shared" si="15"/>
        <v>951</v>
      </c>
      <c r="M92" s="667">
        <f t="shared" si="15"/>
        <v>957</v>
      </c>
    </row>
    <row r="93" spans="1:14" ht="17.399999999999999">
      <c r="A93" s="555">
        <v>6</v>
      </c>
      <c r="B93" s="668">
        <f>ENPRJ3!P85</f>
        <v>1.048126697802789</v>
      </c>
      <c r="C93" s="345">
        <f>ENPRJ3!O53</f>
        <v>952</v>
      </c>
      <c r="D93" s="667">
        <f>ROUND(C92*$B$93,0)</f>
        <v>967</v>
      </c>
      <c r="E93" s="667">
        <f>ROUND(D92*$B$93,0)</f>
        <v>937</v>
      </c>
      <c r="F93" s="667">
        <f t="shared" ref="F93:M93" si="16">ROUND(E92*$B$93,0)</f>
        <v>963</v>
      </c>
      <c r="G93" s="667">
        <f t="shared" si="16"/>
        <v>909</v>
      </c>
      <c r="H93" s="667">
        <f t="shared" si="16"/>
        <v>847</v>
      </c>
      <c r="I93" s="667">
        <f t="shared" si="16"/>
        <v>865</v>
      </c>
      <c r="J93" s="667">
        <f t="shared" si="16"/>
        <v>998</v>
      </c>
      <c r="K93" s="667">
        <f t="shared" si="16"/>
        <v>982</v>
      </c>
      <c r="L93" s="667">
        <f t="shared" si="16"/>
        <v>1018</v>
      </c>
      <c r="M93" s="667">
        <f t="shared" si="16"/>
        <v>997</v>
      </c>
    </row>
    <row r="94" spans="1:14" ht="17.399999999999999">
      <c r="A94" s="555">
        <v>7</v>
      </c>
      <c r="B94" s="668">
        <f>ENPRJ3!P86</f>
        <v>1.0119854776876671</v>
      </c>
      <c r="C94" s="345">
        <f>ENPRJ3!O54</f>
        <v>995</v>
      </c>
      <c r="D94" s="667">
        <f>ROUND(C93*$B$94,0)</f>
        <v>963</v>
      </c>
      <c r="E94" s="667">
        <f t="shared" ref="E94:M94" si="17">ROUND(D93*$B$94,0)</f>
        <v>979</v>
      </c>
      <c r="F94" s="667">
        <f t="shared" si="17"/>
        <v>948</v>
      </c>
      <c r="G94" s="667">
        <f t="shared" si="17"/>
        <v>975</v>
      </c>
      <c r="H94" s="667">
        <f t="shared" si="17"/>
        <v>920</v>
      </c>
      <c r="I94" s="667">
        <f t="shared" si="17"/>
        <v>857</v>
      </c>
      <c r="J94" s="667">
        <f t="shared" si="17"/>
        <v>875</v>
      </c>
      <c r="K94" s="667">
        <f t="shared" si="17"/>
        <v>1010</v>
      </c>
      <c r="L94" s="667">
        <f t="shared" si="17"/>
        <v>994</v>
      </c>
      <c r="M94" s="667">
        <f t="shared" si="17"/>
        <v>1030</v>
      </c>
    </row>
    <row r="95" spans="1:14" ht="17.399999999999999">
      <c r="A95" s="555">
        <v>8</v>
      </c>
      <c r="B95" s="668">
        <f>ENPRJ3!P87</f>
        <v>1.0030406212054845</v>
      </c>
      <c r="C95" s="345">
        <f>ENPRJ3!O55</f>
        <v>948</v>
      </c>
      <c r="D95" s="667">
        <f>ROUND(C94*$B$95,0)</f>
        <v>998</v>
      </c>
      <c r="E95" s="667">
        <f t="shared" ref="E95:M95" si="18">ROUND(D94*$B$95,0)</f>
        <v>966</v>
      </c>
      <c r="F95" s="667">
        <f t="shared" si="18"/>
        <v>982</v>
      </c>
      <c r="G95" s="667">
        <f t="shared" si="18"/>
        <v>951</v>
      </c>
      <c r="H95" s="667">
        <f t="shared" si="18"/>
        <v>978</v>
      </c>
      <c r="I95" s="667">
        <f t="shared" si="18"/>
        <v>923</v>
      </c>
      <c r="J95" s="667">
        <f t="shared" si="18"/>
        <v>860</v>
      </c>
      <c r="K95" s="667">
        <f t="shared" si="18"/>
        <v>878</v>
      </c>
      <c r="L95" s="667">
        <f t="shared" si="18"/>
        <v>1013</v>
      </c>
      <c r="M95" s="667">
        <f t="shared" si="18"/>
        <v>997</v>
      </c>
    </row>
    <row r="96" spans="1:14" ht="17.399999999999999">
      <c r="A96" s="555">
        <v>9</v>
      </c>
      <c r="B96" s="668">
        <f>ENPRJ3!P88</f>
        <v>1.025754172571975</v>
      </c>
      <c r="C96" s="345">
        <f>ENPRJ3!O56</f>
        <v>1036</v>
      </c>
      <c r="D96" s="667">
        <f>ROUND(C95*$B$96,0)</f>
        <v>972</v>
      </c>
      <c r="E96" s="667">
        <f t="shared" ref="E96:M96" si="19">ROUND(D95*$B$96,0)</f>
        <v>1024</v>
      </c>
      <c r="F96" s="667">
        <f t="shared" si="19"/>
        <v>991</v>
      </c>
      <c r="G96" s="667">
        <f t="shared" si="19"/>
        <v>1007</v>
      </c>
      <c r="H96" s="667">
        <f t="shared" si="19"/>
        <v>975</v>
      </c>
      <c r="I96" s="667">
        <f t="shared" si="19"/>
        <v>1003</v>
      </c>
      <c r="J96" s="667">
        <f t="shared" si="19"/>
        <v>947</v>
      </c>
      <c r="K96" s="667">
        <f t="shared" si="19"/>
        <v>882</v>
      </c>
      <c r="L96" s="667">
        <f t="shared" si="19"/>
        <v>901</v>
      </c>
      <c r="M96" s="667">
        <f t="shared" si="19"/>
        <v>1039</v>
      </c>
    </row>
    <row r="97" spans="1:13" ht="17.399999999999999">
      <c r="A97" s="555">
        <v>10</v>
      </c>
      <c r="B97" s="668">
        <f>ENPRJ3!P89</f>
        <v>0.96237357226492704</v>
      </c>
      <c r="C97" s="345">
        <f>ENPRJ3!O57</f>
        <v>954</v>
      </c>
      <c r="D97" s="667">
        <f>ROUND(C96*$B$97,0)</f>
        <v>997</v>
      </c>
      <c r="E97" s="667">
        <f t="shared" ref="E97:M97" si="20">ROUND(D96*$B$97,0)</f>
        <v>935</v>
      </c>
      <c r="F97" s="667">
        <f t="shared" si="20"/>
        <v>985</v>
      </c>
      <c r="G97" s="667">
        <f t="shared" si="20"/>
        <v>954</v>
      </c>
      <c r="H97" s="667">
        <f t="shared" si="20"/>
        <v>969</v>
      </c>
      <c r="I97" s="667">
        <f t="shared" si="20"/>
        <v>938</v>
      </c>
      <c r="J97" s="667">
        <f t="shared" si="20"/>
        <v>965</v>
      </c>
      <c r="K97" s="667">
        <f t="shared" si="20"/>
        <v>911</v>
      </c>
      <c r="L97" s="667">
        <f t="shared" si="20"/>
        <v>849</v>
      </c>
      <c r="M97" s="667">
        <f t="shared" si="20"/>
        <v>867</v>
      </c>
    </row>
    <row r="98" spans="1:13" ht="17.399999999999999">
      <c r="A98" s="555">
        <v>11</v>
      </c>
      <c r="B98" s="668">
        <f>ENPRJ3!P90</f>
        <v>0.97282588287734773</v>
      </c>
      <c r="C98" s="345">
        <f>ENPRJ3!O58</f>
        <v>941</v>
      </c>
      <c r="D98" s="667">
        <f>ROUND(C97*$B$98,0)</f>
        <v>928</v>
      </c>
      <c r="E98" s="667">
        <f t="shared" ref="E98:M98" si="21">ROUND(D97*$B$98,0)</f>
        <v>970</v>
      </c>
      <c r="F98" s="667">
        <f t="shared" si="21"/>
        <v>910</v>
      </c>
      <c r="G98" s="667">
        <f t="shared" si="21"/>
        <v>958</v>
      </c>
      <c r="H98" s="667">
        <f t="shared" si="21"/>
        <v>928</v>
      </c>
      <c r="I98" s="667">
        <f t="shared" si="21"/>
        <v>943</v>
      </c>
      <c r="J98" s="667">
        <f t="shared" si="21"/>
        <v>913</v>
      </c>
      <c r="K98" s="667">
        <f t="shared" si="21"/>
        <v>939</v>
      </c>
      <c r="L98" s="667">
        <f t="shared" si="21"/>
        <v>886</v>
      </c>
      <c r="M98" s="667">
        <f t="shared" si="21"/>
        <v>826</v>
      </c>
    </row>
    <row r="99" spans="1:13" ht="17.399999999999999">
      <c r="A99" s="555">
        <v>12</v>
      </c>
      <c r="B99" s="668">
        <f>ENPRJ3!P91</f>
        <v>0.95716703757994126</v>
      </c>
      <c r="C99" s="345">
        <f>ENPRJ3!O59</f>
        <v>996</v>
      </c>
      <c r="D99" s="667">
        <f>ROUND(C98*$B$99,0)</f>
        <v>901</v>
      </c>
      <c r="E99" s="667">
        <f t="shared" ref="E99:M99" si="22">ROUND(D98*$B$99,0)</f>
        <v>888</v>
      </c>
      <c r="F99" s="667">
        <f t="shared" si="22"/>
        <v>928</v>
      </c>
      <c r="G99" s="667">
        <f t="shared" si="22"/>
        <v>871</v>
      </c>
      <c r="H99" s="667">
        <f t="shared" si="22"/>
        <v>917</v>
      </c>
      <c r="I99" s="667">
        <f t="shared" si="22"/>
        <v>888</v>
      </c>
      <c r="J99" s="667">
        <f t="shared" si="22"/>
        <v>903</v>
      </c>
      <c r="K99" s="667">
        <f t="shared" si="22"/>
        <v>874</v>
      </c>
      <c r="L99" s="667">
        <f t="shared" si="22"/>
        <v>899</v>
      </c>
      <c r="M99" s="667">
        <f t="shared" si="22"/>
        <v>848</v>
      </c>
    </row>
    <row r="100" spans="1:13" ht="17.399999999999999">
      <c r="A100" s="344" t="s">
        <v>50</v>
      </c>
      <c r="B100" s="344" t="s">
        <v>232</v>
      </c>
      <c r="C100" s="345">
        <f>ENPRJ3!O62</f>
        <v>22</v>
      </c>
      <c r="D100" s="345">
        <f t="shared" ref="D100:I100" si="23">ROUND((C100/SUM(C87:C99))*SUM(D87:D99),0)</f>
        <v>22</v>
      </c>
      <c r="E100" s="345">
        <f>ROUND((D100/SUM(D87:D99))*SUM(E87:E99),0)</f>
        <v>22</v>
      </c>
      <c r="F100" s="345">
        <f>ROUND((E100/SUM(E87:E99))*SUM(F87:F99),0)</f>
        <v>22</v>
      </c>
      <c r="G100" s="667">
        <f t="shared" si="23"/>
        <v>22</v>
      </c>
      <c r="H100" s="345">
        <f t="shared" si="23"/>
        <v>22</v>
      </c>
      <c r="I100" s="345">
        <f t="shared" si="23"/>
        <v>22</v>
      </c>
      <c r="J100" s="345">
        <f>ROUND((I100/SUM(H87:I99))*SUM(I87:J99),0)</f>
        <v>22</v>
      </c>
      <c r="K100" s="345">
        <f>ROUND((J100/SUM(I87:J99))*SUM(J87:K99),0)</f>
        <v>22</v>
      </c>
      <c r="L100" s="345">
        <f>ROUND((K100/SUM(J87:K99))*SUM(K87:L99),0)</f>
        <v>22</v>
      </c>
      <c r="M100" s="345">
        <f>ROUND((L100/SUM(K87:L99))*SUM(L87:M99),0)</f>
        <v>22</v>
      </c>
    </row>
    <row r="101" spans="1:13" ht="17.399999999999999">
      <c r="A101" s="345"/>
      <c r="B101" s="344" t="s">
        <v>233</v>
      </c>
      <c r="C101" s="345"/>
      <c r="D101" s="345"/>
      <c r="E101" s="345"/>
      <c r="F101" s="345"/>
      <c r="G101" s="345"/>
      <c r="H101" s="345"/>
      <c r="I101" s="345"/>
      <c r="J101" s="345"/>
      <c r="K101" s="345"/>
      <c r="L101" s="345"/>
      <c r="M101" s="345"/>
    </row>
    <row r="102" spans="1:13" ht="17.399999999999999">
      <c r="A102" s="556"/>
      <c r="B102" s="557"/>
      <c r="C102" s="557"/>
      <c r="D102" s="557"/>
      <c r="E102" s="557"/>
      <c r="F102" s="557"/>
      <c r="G102" s="557"/>
      <c r="H102" s="557"/>
      <c r="I102" s="557"/>
      <c r="J102" s="557"/>
      <c r="K102" s="557"/>
      <c r="L102" s="557"/>
      <c r="M102" s="558"/>
    </row>
    <row r="103" spans="1:13" ht="17.399999999999999">
      <c r="A103" s="708" t="s">
        <v>234</v>
      </c>
      <c r="B103" s="678"/>
      <c r="C103" s="560">
        <f t="shared" ref="C103:M103" si="24">SUM(C87:C100)</f>
        <v>11782</v>
      </c>
      <c r="D103" s="560">
        <f>SUM(D87:D100)</f>
        <v>11704</v>
      </c>
      <c r="E103" s="560">
        <f t="shared" si="24"/>
        <v>11712</v>
      </c>
      <c r="F103" s="560">
        <f t="shared" si="24"/>
        <v>11761</v>
      </c>
      <c r="G103" s="560">
        <f t="shared" si="24"/>
        <v>11758</v>
      </c>
      <c r="H103" s="560">
        <f t="shared" si="24"/>
        <v>11813</v>
      </c>
      <c r="I103" s="560">
        <f t="shared" si="24"/>
        <v>11850</v>
      </c>
      <c r="J103" s="560">
        <f t="shared" si="24"/>
        <v>11935</v>
      </c>
      <c r="K103" s="560">
        <f t="shared" si="24"/>
        <v>12017</v>
      </c>
      <c r="L103" s="560">
        <f t="shared" si="24"/>
        <v>12151</v>
      </c>
      <c r="M103" s="561">
        <f t="shared" si="24"/>
        <v>12279</v>
      </c>
    </row>
    <row r="104" spans="1:13" ht="17.399999999999999">
      <c r="A104" s="345"/>
      <c r="B104" s="345"/>
      <c r="C104" s="345"/>
      <c r="D104" s="345"/>
      <c r="E104" s="345"/>
      <c r="F104" s="345"/>
      <c r="G104" s="345"/>
      <c r="H104" s="345"/>
      <c r="I104" s="345"/>
      <c r="J104" s="345"/>
      <c r="K104" s="345"/>
      <c r="L104" s="345"/>
      <c r="M104" s="345"/>
    </row>
    <row r="105" spans="1:13" ht="17.399999999999999">
      <c r="A105" s="344" t="s">
        <v>12</v>
      </c>
      <c r="B105" s="345"/>
      <c r="C105" s="773">
        <f>ENPRJ3!O66</f>
        <v>-29</v>
      </c>
      <c r="D105" s="773">
        <f t="shared" ref="D105:K105" si="25">D103-C103</f>
        <v>-78</v>
      </c>
      <c r="E105" s="773">
        <f t="shared" si="25"/>
        <v>8</v>
      </c>
      <c r="F105" s="773">
        <f t="shared" si="25"/>
        <v>49</v>
      </c>
      <c r="G105" s="773">
        <f t="shared" si="25"/>
        <v>-3</v>
      </c>
      <c r="H105" s="773">
        <f t="shared" si="25"/>
        <v>55</v>
      </c>
      <c r="I105" s="773">
        <f t="shared" si="25"/>
        <v>37</v>
      </c>
      <c r="J105" s="773">
        <f t="shared" si="25"/>
        <v>85</v>
      </c>
      <c r="K105" s="773">
        <f t="shared" si="25"/>
        <v>82</v>
      </c>
      <c r="L105" s="773">
        <f>L103-K103</f>
        <v>134</v>
      </c>
      <c r="M105" s="773">
        <f>M103-L103</f>
        <v>128</v>
      </c>
    </row>
    <row r="106" spans="1:13" ht="17.399999999999999">
      <c r="A106" s="344" t="s">
        <v>13</v>
      </c>
      <c r="B106" s="345"/>
      <c r="C106" s="668">
        <f>C103/ENPRJ3!N64</f>
        <v>0.99754466175599021</v>
      </c>
      <c r="D106" s="668">
        <f t="shared" ref="D106:K106" si="26">D103/C103</f>
        <v>0.99337973179426242</v>
      </c>
      <c r="E106" s="668">
        <f t="shared" si="26"/>
        <v>1.0006835269993164</v>
      </c>
      <c r="F106" s="668">
        <f t="shared" si="26"/>
        <v>1.004183743169399</v>
      </c>
      <c r="G106" s="668">
        <f t="shared" si="26"/>
        <v>0.9997449196496897</v>
      </c>
      <c r="H106" s="668">
        <f t="shared" si="26"/>
        <v>1.0046776662697738</v>
      </c>
      <c r="I106" s="668">
        <f t="shared" si="26"/>
        <v>1.0031321425548125</v>
      </c>
      <c r="J106" s="668">
        <f t="shared" si="26"/>
        <v>1.0071729957805906</v>
      </c>
      <c r="K106" s="668">
        <f t="shared" si="26"/>
        <v>1.0068705488060328</v>
      </c>
      <c r="L106" s="668">
        <f>L103/K103</f>
        <v>1.011150869601398</v>
      </c>
      <c r="M106" s="668">
        <f>M103/L103</f>
        <v>1.010534112418731</v>
      </c>
    </row>
    <row r="107" spans="1:13" ht="17.399999999999999">
      <c r="A107" s="344" t="s">
        <v>420</v>
      </c>
      <c r="B107" s="345"/>
      <c r="C107" s="346">
        <f>ENPRJ3!C276</f>
        <v>14722</v>
      </c>
      <c r="D107" s="346"/>
      <c r="E107" s="345"/>
      <c r="F107" s="345"/>
      <c r="G107" s="345"/>
      <c r="H107" s="346"/>
      <c r="I107" s="346"/>
      <c r="J107" s="345"/>
      <c r="K107" s="345"/>
      <c r="L107" s="345"/>
      <c r="M107" s="345">
        <v>16373</v>
      </c>
    </row>
    <row r="108" spans="1:13" ht="17.399999999999999">
      <c r="A108" s="345"/>
      <c r="B108" s="345"/>
      <c r="C108" s="345"/>
      <c r="D108" s="345"/>
      <c r="E108" s="345"/>
      <c r="F108" s="345"/>
      <c r="G108" s="345"/>
      <c r="H108" s="345"/>
      <c r="I108" s="345"/>
      <c r="J108" s="345"/>
      <c r="K108" s="345"/>
      <c r="L108" s="345"/>
      <c r="M108" s="345"/>
    </row>
    <row r="109" spans="1:13" ht="17.399999999999999">
      <c r="A109" s="344" t="s">
        <v>419</v>
      </c>
      <c r="B109" s="345"/>
      <c r="C109" s="566">
        <f>C103/C107</f>
        <v>0.80029887243581033</v>
      </c>
      <c r="D109" s="566"/>
      <c r="E109" s="345"/>
      <c r="F109" s="345"/>
      <c r="G109" s="345"/>
      <c r="H109" s="566"/>
      <c r="I109" s="566"/>
      <c r="J109" s="345"/>
      <c r="K109" s="345"/>
      <c r="L109" s="345"/>
      <c r="M109" s="566">
        <f>M103/M107</f>
        <v>0.7499541928785195</v>
      </c>
    </row>
    <row r="110" spans="1:13" ht="17.399999999999999">
      <c r="A110" s="344"/>
      <c r="B110" s="345"/>
      <c r="C110" s="346"/>
      <c r="D110" s="346"/>
      <c r="E110" s="345"/>
      <c r="F110" s="345"/>
      <c r="G110" s="345"/>
      <c r="H110" s="346"/>
      <c r="I110" s="346"/>
      <c r="J110" s="345"/>
      <c r="K110" s="345"/>
      <c r="L110" s="345"/>
      <c r="M110" s="345"/>
    </row>
    <row r="111" spans="1:13" ht="17.399999999999999">
      <c r="A111" s="344" t="s">
        <v>17</v>
      </c>
      <c r="B111" s="345"/>
      <c r="C111" s="345"/>
      <c r="D111" s="345"/>
      <c r="E111" s="345"/>
      <c r="F111" s="345"/>
      <c r="G111" s="345"/>
      <c r="H111" s="345"/>
      <c r="I111" s="345"/>
      <c r="J111" s="345"/>
      <c r="K111" s="345"/>
      <c r="L111" s="345"/>
      <c r="M111" s="345"/>
    </row>
    <row r="112" spans="1:13" ht="17.399999999999999">
      <c r="A112" s="344" t="s">
        <v>418</v>
      </c>
      <c r="B112" s="345"/>
      <c r="C112" s="346">
        <f>ROUND(ENPRJ3!$H$161*C103,0)</f>
        <v>62281</v>
      </c>
      <c r="D112" s="346">
        <f>ROUND(ENPRJ3!$H$161*D103,0)</f>
        <v>61868</v>
      </c>
      <c r="E112" s="346">
        <f>ROUND(ENPRJ3!$H$161*E103,0)</f>
        <v>61911</v>
      </c>
      <c r="F112" s="346">
        <f>ROUND(ENPRJ3!$H$161*F103,0)</f>
        <v>62170</v>
      </c>
      <c r="G112" s="346">
        <f>ROUND(ENPRJ3!$H$161*G103,0)</f>
        <v>62154</v>
      </c>
      <c r="H112" s="346">
        <f>ROUND(ENPRJ3!$H$161*H103,0)</f>
        <v>62444</v>
      </c>
      <c r="I112" s="346">
        <f>ROUND(ENPRJ3!$H$161*I103,0)</f>
        <v>62640</v>
      </c>
      <c r="J112" s="346">
        <f>ROUND(ENPRJ3!$H$161*J103,0)</f>
        <v>63089</v>
      </c>
      <c r="K112" s="346">
        <f>ROUND(ENPRJ3!$H$161*K103,0)</f>
        <v>63523</v>
      </c>
      <c r="L112" s="346">
        <f>ROUND(ENPRJ3!$H$161*L103,0)</f>
        <v>64231</v>
      </c>
      <c r="M112" s="346">
        <f>ROUND(ENPRJ3!$H$161*M103,0)</f>
        <v>64908</v>
      </c>
    </row>
    <row r="113" spans="1:19" ht="17.399999999999999">
      <c r="A113" s="344" t="s">
        <v>235</v>
      </c>
      <c r="B113" s="345"/>
      <c r="C113" s="345"/>
      <c r="D113" s="345"/>
      <c r="E113" s="345"/>
      <c r="F113" s="345"/>
      <c r="G113" s="345"/>
      <c r="H113" s="345"/>
      <c r="I113" s="345"/>
      <c r="J113" s="345"/>
      <c r="K113" s="345"/>
      <c r="L113" s="345"/>
      <c r="M113" s="345"/>
    </row>
    <row r="114" spans="1:19" ht="17.399999999999999">
      <c r="A114" s="344" t="s">
        <v>236</v>
      </c>
      <c r="B114" s="345"/>
      <c r="C114" s="346">
        <f>ROUND((0.75/ENPRJ3!$C$286)*(C105),0)</f>
        <v>280</v>
      </c>
      <c r="D114" s="346">
        <f>ROUND((0.75/ENPRJ3!$C$286)*(D105),0)</f>
        <v>754</v>
      </c>
      <c r="E114" s="346">
        <f>ROUND((0.75/ENPRJ3!$C$286)*(E105),0)</f>
        <v>-77</v>
      </c>
      <c r="F114" s="346">
        <f>ROUND((0.75/ENPRJ3!$C$286)*(F105),0)</f>
        <v>-473</v>
      </c>
      <c r="G114" s="346">
        <f>ROUND((0.75/ENPRJ3!$C$286)*(G105),0)</f>
        <v>29</v>
      </c>
      <c r="H114" s="346">
        <f>ROUND((0.75/ENPRJ3!$C$286)*(H105),0)</f>
        <v>-531</v>
      </c>
      <c r="I114" s="346">
        <f>ROUND((0.75/ENPRJ3!$C$286)*(I105),0)</f>
        <v>-358</v>
      </c>
      <c r="J114" s="346">
        <f>ROUND((0.75/ENPRJ3!$C$286)*(J105),0)</f>
        <v>-821</v>
      </c>
      <c r="K114" s="346">
        <f>ROUND((0.75/ENPRJ3!$C$286)*(K105),0)</f>
        <v>-792</v>
      </c>
      <c r="L114" s="346">
        <f>ROUND((0.75/ENPRJ3!$C$286)*(L105),0)</f>
        <v>-1295</v>
      </c>
      <c r="M114" s="346">
        <f>ROUND((0.75/ENPRJ3!$C$286)*(M105),0)</f>
        <v>-1237</v>
      </c>
    </row>
    <row r="115" spans="1:19" ht="17.399999999999999">
      <c r="A115" s="344" t="s">
        <v>237</v>
      </c>
      <c r="B115" s="345"/>
      <c r="C115" s="345"/>
      <c r="D115" s="345"/>
      <c r="E115" s="345"/>
      <c r="F115" s="345"/>
      <c r="G115" s="345"/>
      <c r="H115" s="345"/>
      <c r="I115" s="345"/>
      <c r="J115" s="345"/>
      <c r="K115" s="345"/>
      <c r="L115" s="345"/>
      <c r="M115" s="345"/>
    </row>
    <row r="116" spans="1:19" ht="17.399999999999999">
      <c r="A116" s="344" t="s">
        <v>238</v>
      </c>
      <c r="B116" s="345"/>
      <c r="C116" s="345"/>
      <c r="D116" s="345"/>
      <c r="E116" s="345"/>
      <c r="F116" s="345"/>
      <c r="G116" s="345"/>
      <c r="H116" s="345"/>
      <c r="I116" s="345"/>
      <c r="J116" s="345"/>
      <c r="K116" s="345"/>
      <c r="L116" s="345"/>
      <c r="M116" s="345"/>
    </row>
    <row r="117" spans="1:19" ht="17.399999999999999">
      <c r="A117" s="344" t="s">
        <v>239</v>
      </c>
      <c r="B117" s="345"/>
      <c r="C117" s="709">
        <f>ENPRJ3!M137</f>
        <v>-7.7616279069767438E-2</v>
      </c>
      <c r="D117" s="345"/>
      <c r="E117" s="345"/>
      <c r="F117" s="345"/>
      <c r="G117" s="345"/>
      <c r="H117" s="345"/>
      <c r="I117" s="345"/>
      <c r="J117" s="345"/>
      <c r="K117" s="345"/>
      <c r="L117" s="345"/>
      <c r="M117" s="345"/>
    </row>
    <row r="118" spans="1:19" ht="17.399999999999999">
      <c r="C118" s="121" t="s">
        <v>227</v>
      </c>
      <c r="D118" s="67"/>
      <c r="E118" s="67"/>
      <c r="F118" s="67"/>
      <c r="G118" s="67"/>
      <c r="I118" s="67"/>
      <c r="J118" s="67" t="str">
        <f>D83</f>
        <v>2026-27</v>
      </c>
    </row>
    <row r="119" spans="1:19" ht="17.399999999999999">
      <c r="C119" s="121" t="s">
        <v>240</v>
      </c>
      <c r="D119" s="67"/>
      <c r="E119" s="67"/>
      <c r="F119" s="67"/>
      <c r="G119" s="67"/>
      <c r="H119" s="67"/>
    </row>
    <row r="120" spans="1:19" ht="17.399999999999999">
      <c r="C120" s="67"/>
      <c r="D120" s="67" t="str">
        <f>D79</f>
        <v xml:space="preserve">    FIVE YEAR AVERAGE PERCENTAGE OF SURVIVAL</v>
      </c>
      <c r="E120" s="67"/>
      <c r="F120" s="67"/>
      <c r="G120" s="67"/>
      <c r="H120" s="67"/>
    </row>
    <row r="122" spans="1:19" ht="17.399999999999999">
      <c r="A122" s="543" t="s">
        <v>24</v>
      </c>
      <c r="B122" s="813" t="s">
        <v>25</v>
      </c>
      <c r="C122" s="813"/>
      <c r="D122" s="813"/>
      <c r="E122" s="813"/>
      <c r="F122" s="813"/>
      <c r="G122" s="813"/>
      <c r="H122" s="813"/>
      <c r="I122" s="813"/>
      <c r="J122" s="813"/>
      <c r="K122" s="813" t="s">
        <v>241</v>
      </c>
      <c r="L122" s="813"/>
      <c r="M122" s="813"/>
      <c r="N122" s="813"/>
      <c r="O122" s="813" t="s">
        <v>242</v>
      </c>
      <c r="P122" s="813"/>
      <c r="Q122" s="813"/>
      <c r="R122" s="595"/>
      <c r="S122" s="546" t="s">
        <v>243</v>
      </c>
    </row>
    <row r="123" spans="1:19" s="82" customFormat="1" ht="17.399999999999999">
      <c r="A123" s="596"/>
      <c r="B123" s="550" t="s">
        <v>289</v>
      </c>
      <c r="C123" s="550" t="s">
        <v>357</v>
      </c>
      <c r="D123" s="550" t="s">
        <v>358</v>
      </c>
      <c r="E123" s="550" t="s">
        <v>359</v>
      </c>
      <c r="F123" s="550" t="s">
        <v>360</v>
      </c>
      <c r="G123" s="550" t="s">
        <v>370</v>
      </c>
      <c r="H123" s="550" t="s">
        <v>356</v>
      </c>
      <c r="I123" s="550" t="s">
        <v>361</v>
      </c>
      <c r="J123" s="550" t="s">
        <v>406</v>
      </c>
      <c r="K123" s="550" t="s">
        <v>363</v>
      </c>
      <c r="L123" s="550" t="s">
        <v>36</v>
      </c>
      <c r="M123" s="550" t="s">
        <v>86</v>
      </c>
      <c r="N123" s="550" t="s">
        <v>99</v>
      </c>
      <c r="O123" s="550" t="s">
        <v>346</v>
      </c>
      <c r="P123" s="550" t="s">
        <v>90</v>
      </c>
      <c r="Q123" s="550" t="s">
        <v>103</v>
      </c>
      <c r="R123" s="550" t="s">
        <v>343</v>
      </c>
      <c r="S123" s="597"/>
    </row>
    <row r="124" spans="1:19" ht="17.399999999999999">
      <c r="A124" s="345"/>
      <c r="B124" s="345"/>
      <c r="C124" s="345"/>
      <c r="D124" s="345"/>
      <c r="E124" s="345"/>
      <c r="F124" s="345"/>
      <c r="G124" s="345"/>
      <c r="H124" s="345"/>
      <c r="I124" s="345"/>
      <c r="J124" s="345"/>
      <c r="K124" s="345"/>
      <c r="L124" s="345"/>
      <c r="M124" s="345"/>
      <c r="N124" s="345"/>
      <c r="O124" s="345"/>
      <c r="P124" s="345"/>
      <c r="Q124" s="345"/>
      <c r="R124" s="345"/>
      <c r="S124" s="345"/>
    </row>
    <row r="125" spans="1:19" ht="17.399999999999999">
      <c r="A125" s="555" t="s">
        <v>391</v>
      </c>
      <c r="B125" s="666">
        <f t="shared" ref="B125:J125" si="27">ROUND(B25/(SUM($B$25:$J$25))*($S$125),0)</f>
        <v>104</v>
      </c>
      <c r="C125" s="666">
        <f t="shared" si="27"/>
        <v>76</v>
      </c>
      <c r="D125" s="666">
        <f t="shared" si="27"/>
        <v>91</v>
      </c>
      <c r="E125" s="666">
        <f t="shared" si="27"/>
        <v>89</v>
      </c>
      <c r="F125" s="666">
        <f t="shared" si="27"/>
        <v>103</v>
      </c>
      <c r="G125" s="666">
        <f t="shared" si="27"/>
        <v>93</v>
      </c>
      <c r="H125" s="666">
        <f t="shared" si="27"/>
        <v>102</v>
      </c>
      <c r="I125" s="666">
        <f t="shared" si="27"/>
        <v>75</v>
      </c>
      <c r="J125" s="666">
        <f t="shared" si="27"/>
        <v>100</v>
      </c>
      <c r="K125" s="710"/>
      <c r="L125" s="345"/>
      <c r="M125" s="345"/>
      <c r="N125" s="345"/>
      <c r="O125" s="345"/>
      <c r="P125" s="345"/>
      <c r="Q125" s="345"/>
      <c r="R125" s="345"/>
      <c r="S125" s="667">
        <f t="shared" ref="S125:S138" si="28">D87</f>
        <v>834</v>
      </c>
    </row>
    <row r="126" spans="1:19" ht="17.399999999999999">
      <c r="A126" s="555">
        <v>1</v>
      </c>
      <c r="B126" s="666">
        <f t="shared" ref="B126:I130" si="29">ROUND((B10/$S10)*($S126),0)</f>
        <v>87</v>
      </c>
      <c r="C126" s="666">
        <f t="shared" si="29"/>
        <v>64</v>
      </c>
      <c r="D126" s="666">
        <f t="shared" si="29"/>
        <v>89</v>
      </c>
      <c r="E126" s="666">
        <f t="shared" si="29"/>
        <v>72</v>
      </c>
      <c r="F126" s="666">
        <f t="shared" si="29"/>
        <v>93</v>
      </c>
      <c r="G126" s="666">
        <f t="shared" si="29"/>
        <v>82</v>
      </c>
      <c r="H126" s="666">
        <f t="shared" si="29"/>
        <v>82</v>
      </c>
      <c r="I126" s="666">
        <f t="shared" si="29"/>
        <v>76</v>
      </c>
      <c r="J126" s="710">
        <f>S126-(SUM(B126:I126))</f>
        <v>107</v>
      </c>
      <c r="K126" s="710"/>
      <c r="L126" s="345"/>
      <c r="M126" s="345"/>
      <c r="N126" s="345"/>
      <c r="O126" s="345"/>
      <c r="P126" s="345"/>
      <c r="Q126" s="345"/>
      <c r="R126" s="345"/>
      <c r="S126" s="667">
        <f t="shared" si="28"/>
        <v>752</v>
      </c>
    </row>
    <row r="127" spans="1:19" ht="17.399999999999999">
      <c r="A127" s="555">
        <v>2</v>
      </c>
      <c r="B127" s="666">
        <f t="shared" si="29"/>
        <v>86</v>
      </c>
      <c r="C127" s="666">
        <f t="shared" si="29"/>
        <v>71</v>
      </c>
      <c r="D127" s="666">
        <f t="shared" si="29"/>
        <v>89</v>
      </c>
      <c r="E127" s="666">
        <f t="shared" si="29"/>
        <v>77</v>
      </c>
      <c r="F127" s="666">
        <f t="shared" si="29"/>
        <v>88</v>
      </c>
      <c r="G127" s="666">
        <f t="shared" si="29"/>
        <v>90</v>
      </c>
      <c r="H127" s="666">
        <f t="shared" si="29"/>
        <v>92</v>
      </c>
      <c r="I127" s="666">
        <f t="shared" si="29"/>
        <v>74</v>
      </c>
      <c r="J127" s="710">
        <f>S127-(SUM(B127:I127))</f>
        <v>84</v>
      </c>
      <c r="K127" s="710"/>
      <c r="L127" s="345"/>
      <c r="M127" s="345"/>
      <c r="N127" s="345"/>
      <c r="O127" s="345"/>
      <c r="P127" s="345"/>
      <c r="Q127" s="345"/>
      <c r="R127" s="345"/>
      <c r="S127" s="667">
        <f t="shared" si="28"/>
        <v>751</v>
      </c>
    </row>
    <row r="128" spans="1:19" ht="17.399999999999999">
      <c r="A128" s="555">
        <v>3</v>
      </c>
      <c r="B128" s="666">
        <f t="shared" si="29"/>
        <v>105</v>
      </c>
      <c r="C128" s="666">
        <f t="shared" si="29"/>
        <v>74</v>
      </c>
      <c r="D128" s="666">
        <f t="shared" si="29"/>
        <v>97</v>
      </c>
      <c r="E128" s="666">
        <f t="shared" si="29"/>
        <v>95</v>
      </c>
      <c r="F128" s="666">
        <f t="shared" si="29"/>
        <v>105</v>
      </c>
      <c r="G128" s="666">
        <f t="shared" si="29"/>
        <v>82</v>
      </c>
      <c r="H128" s="666">
        <f t="shared" si="29"/>
        <v>99</v>
      </c>
      <c r="I128" s="666">
        <f t="shared" si="29"/>
        <v>70</v>
      </c>
      <c r="J128" s="710">
        <f>S128-(SUM(B128:I128))</f>
        <v>99</v>
      </c>
      <c r="K128" s="710"/>
      <c r="L128" s="345"/>
      <c r="M128" s="345"/>
      <c r="N128" s="345"/>
      <c r="O128" s="345"/>
      <c r="P128" s="345"/>
      <c r="Q128" s="345"/>
      <c r="R128" s="345"/>
      <c r="S128" s="667">
        <f t="shared" si="28"/>
        <v>826</v>
      </c>
    </row>
    <row r="129" spans="1:19" ht="17.399999999999999">
      <c r="A129" s="555">
        <v>4</v>
      </c>
      <c r="B129" s="666">
        <f t="shared" si="29"/>
        <v>102</v>
      </c>
      <c r="C129" s="666">
        <f t="shared" si="29"/>
        <v>83</v>
      </c>
      <c r="D129" s="666">
        <f t="shared" si="29"/>
        <v>97</v>
      </c>
      <c r="E129" s="666">
        <f t="shared" si="29"/>
        <v>86</v>
      </c>
      <c r="F129" s="666">
        <f t="shared" si="29"/>
        <v>112</v>
      </c>
      <c r="G129" s="666">
        <f t="shared" si="29"/>
        <v>105</v>
      </c>
      <c r="H129" s="666">
        <f t="shared" si="29"/>
        <v>123</v>
      </c>
      <c r="I129" s="666">
        <f t="shared" si="29"/>
        <v>79</v>
      </c>
      <c r="J129" s="710">
        <f>S129-(SUM(B129:I129))</f>
        <v>112</v>
      </c>
      <c r="K129" s="710"/>
      <c r="L129" s="345"/>
      <c r="M129" s="345"/>
      <c r="N129" s="345"/>
      <c r="O129" s="345"/>
      <c r="P129" s="345"/>
      <c r="Q129" s="345"/>
      <c r="R129" s="345"/>
      <c r="S129" s="667">
        <f t="shared" si="28"/>
        <v>899</v>
      </c>
    </row>
    <row r="130" spans="1:19" ht="17.399999999999999">
      <c r="A130" s="555">
        <v>5</v>
      </c>
      <c r="B130" s="666">
        <f t="shared" si="29"/>
        <v>135</v>
      </c>
      <c r="C130" s="666">
        <f t="shared" si="29"/>
        <v>81</v>
      </c>
      <c r="D130" s="666">
        <f t="shared" si="29"/>
        <v>82</v>
      </c>
      <c r="E130" s="666">
        <f t="shared" si="29"/>
        <v>106</v>
      </c>
      <c r="F130" s="666">
        <f t="shared" si="29"/>
        <v>108</v>
      </c>
      <c r="G130" s="666">
        <f t="shared" si="29"/>
        <v>91</v>
      </c>
      <c r="H130" s="666">
        <f t="shared" si="29"/>
        <v>99</v>
      </c>
      <c r="I130" s="666">
        <f t="shared" si="29"/>
        <v>96</v>
      </c>
      <c r="J130" s="710">
        <f>S130-(SUM(B130:I130))</f>
        <v>96</v>
      </c>
      <c r="K130" s="710"/>
      <c r="L130" s="345"/>
      <c r="M130" s="345"/>
      <c r="O130" s="345"/>
      <c r="P130" s="345"/>
      <c r="Q130" s="345"/>
      <c r="R130" s="345"/>
      <c r="S130" s="667">
        <f t="shared" si="28"/>
        <v>894</v>
      </c>
    </row>
    <row r="131" spans="1:19" ht="17.399999999999999">
      <c r="A131" s="555">
        <v>6</v>
      </c>
      <c r="B131" s="345"/>
      <c r="C131" s="345"/>
      <c r="D131" s="345"/>
      <c r="E131" s="345"/>
      <c r="F131" s="345"/>
      <c r="G131" s="345"/>
      <c r="H131" s="345"/>
      <c r="I131" s="345"/>
      <c r="J131" s="345"/>
      <c r="K131" s="666">
        <f>ROUND(((ENRHIST!B1013)/$S15)*($S131),0)-1</f>
        <v>210</v>
      </c>
      <c r="L131" s="666">
        <f>ROUND(((ENRHIST!C1013)/$S15)*($S131),0)</f>
        <v>261</v>
      </c>
      <c r="M131" s="666">
        <f>ROUND(((ENRHIST!D1013)/$S15)*($S131),0)</f>
        <v>257</v>
      </c>
      <c r="N131" s="666">
        <f>ROUND(((ENRHIST!E1013)/$S15)*($S131),0)</f>
        <v>239</v>
      </c>
      <c r="O131" s="345"/>
      <c r="P131" s="345"/>
      <c r="Q131" s="345"/>
      <c r="R131" s="667">
        <f>S131-SUM(K131:Q131)</f>
        <v>0</v>
      </c>
      <c r="S131" s="667">
        <f t="shared" si="28"/>
        <v>967</v>
      </c>
    </row>
    <row r="132" spans="1:19" ht="17.399999999999999">
      <c r="A132" s="555">
        <v>7</v>
      </c>
      <c r="B132" s="345"/>
      <c r="C132" s="345"/>
      <c r="D132" s="345"/>
      <c r="E132" s="345"/>
      <c r="F132" s="345"/>
      <c r="G132" s="345"/>
      <c r="H132" s="345"/>
      <c r="I132" s="345"/>
      <c r="J132" s="345"/>
      <c r="K132" s="666">
        <f>ROUND((K16/$S16)*($S132),0)</f>
        <v>178</v>
      </c>
      <c r="L132" s="666">
        <f t="shared" ref="L132:N132" si="30">ROUND((L16/$S16)*($S132),0)</f>
        <v>249</v>
      </c>
      <c r="M132" s="666">
        <f t="shared" si="30"/>
        <v>235</v>
      </c>
      <c r="N132" s="666">
        <f t="shared" si="30"/>
        <v>301</v>
      </c>
      <c r="O132" s="345"/>
      <c r="P132" s="345"/>
      <c r="Q132" s="345"/>
      <c r="R132" s="667">
        <f>S132-SUM(K132:Q132)</f>
        <v>0</v>
      </c>
      <c r="S132" s="667">
        <f t="shared" si="28"/>
        <v>963</v>
      </c>
    </row>
    <row r="133" spans="1:19" ht="17.399999999999999">
      <c r="A133" s="555">
        <v>8</v>
      </c>
      <c r="B133" s="345"/>
      <c r="C133" s="345"/>
      <c r="D133" s="345"/>
      <c r="E133" s="345"/>
      <c r="F133" s="345"/>
      <c r="G133" s="345"/>
      <c r="H133" s="345"/>
      <c r="I133" s="345"/>
      <c r="J133" s="345"/>
      <c r="K133" s="666">
        <f>ROUND((K17/$S17)*($S133),0)</f>
        <v>194</v>
      </c>
      <c r="L133" s="666">
        <f t="shared" ref="L133:N133" si="31">ROUND((L17/$S17)*($S133),0)</f>
        <v>237</v>
      </c>
      <c r="M133" s="666">
        <f t="shared" si="31"/>
        <v>270</v>
      </c>
      <c r="N133" s="666">
        <f t="shared" si="31"/>
        <v>297</v>
      </c>
      <c r="O133" s="345"/>
      <c r="P133" s="345"/>
      <c r="Q133" s="345"/>
      <c r="R133" s="667">
        <f>S133-SUM(K133:Q133)</f>
        <v>0</v>
      </c>
      <c r="S133" s="667">
        <f t="shared" si="28"/>
        <v>998</v>
      </c>
    </row>
    <row r="134" spans="1:19" ht="17.399999999999999">
      <c r="A134" s="555">
        <v>9</v>
      </c>
      <c r="B134" s="345"/>
      <c r="C134" s="345"/>
      <c r="D134" s="345"/>
      <c r="E134" s="345"/>
      <c r="F134" s="345"/>
      <c r="G134" s="345"/>
      <c r="H134" s="345"/>
      <c r="I134" s="345"/>
      <c r="J134" s="345"/>
      <c r="K134" s="345"/>
      <c r="L134" s="345"/>
      <c r="M134" s="345"/>
      <c r="N134" s="345"/>
      <c r="O134" s="345">
        <f>ROUND((ENRHIST!B1176/$S18)*($S134),0)</f>
        <v>253</v>
      </c>
      <c r="P134" s="345">
        <f>ROUND((ENRHIST!C1176/$S18)*($S134),0)</f>
        <v>401</v>
      </c>
      <c r="Q134" s="345">
        <f>ROUND((ENRHIST!D1176/$S18)*($S134),0)</f>
        <v>305</v>
      </c>
      <c r="R134" s="667">
        <f>S134-SUM(O134:Q134)</f>
        <v>13</v>
      </c>
      <c r="S134" s="667">
        <f t="shared" si="28"/>
        <v>972</v>
      </c>
    </row>
    <row r="135" spans="1:19" ht="17.399999999999999">
      <c r="A135" s="555">
        <v>10</v>
      </c>
      <c r="B135" s="345"/>
      <c r="C135" s="345"/>
      <c r="D135" s="345"/>
      <c r="E135" s="345"/>
      <c r="F135" s="345"/>
      <c r="G135" s="345"/>
      <c r="H135" s="345"/>
      <c r="I135" s="345"/>
      <c r="J135" s="345"/>
      <c r="K135" s="345"/>
      <c r="L135" s="345"/>
      <c r="M135" s="345"/>
      <c r="N135" s="345"/>
      <c r="O135" s="345">
        <f>ROUND((O19/$S19)*($S135),0)</f>
        <v>230</v>
      </c>
      <c r="P135" s="345">
        <f t="shared" ref="P135:Q135" si="32">ROUND((P19/$S19)*($S135),0)</f>
        <v>396</v>
      </c>
      <c r="Q135" s="345">
        <f t="shared" si="32"/>
        <v>356</v>
      </c>
      <c r="R135" s="667">
        <f>S135-SUM(O135:Q135)</f>
        <v>15</v>
      </c>
      <c r="S135" s="667">
        <f t="shared" si="28"/>
        <v>997</v>
      </c>
    </row>
    <row r="136" spans="1:19" ht="17.399999999999999">
      <c r="A136" s="555">
        <v>11</v>
      </c>
      <c r="B136" s="345"/>
      <c r="C136" s="345"/>
      <c r="D136" s="345"/>
      <c r="E136" s="345"/>
      <c r="F136" s="345"/>
      <c r="G136" s="345"/>
      <c r="H136" s="345"/>
      <c r="I136" s="345"/>
      <c r="J136" s="345"/>
      <c r="K136" s="345"/>
      <c r="L136" s="345"/>
      <c r="M136" s="345"/>
      <c r="N136" s="345"/>
      <c r="O136" s="345">
        <f>ROUND((O20/$S20)*($S136),0)</f>
        <v>228</v>
      </c>
      <c r="P136" s="345">
        <f t="shared" ref="P136:Q136" si="33">ROUND((P20/$S20)*($S136),0)</f>
        <v>341</v>
      </c>
      <c r="Q136" s="345">
        <f t="shared" si="33"/>
        <v>345</v>
      </c>
      <c r="R136" s="667">
        <f>S136-SUM(O136:Q136)</f>
        <v>14</v>
      </c>
      <c r="S136" s="667">
        <f t="shared" si="28"/>
        <v>928</v>
      </c>
    </row>
    <row r="137" spans="1:19" ht="17.399999999999999">
      <c r="A137" s="555">
        <v>12</v>
      </c>
      <c r="B137" s="345"/>
      <c r="C137" s="345"/>
      <c r="D137" s="345"/>
      <c r="E137" s="345"/>
      <c r="F137" s="345"/>
      <c r="G137" s="345"/>
      <c r="H137" s="345"/>
      <c r="I137" s="345"/>
      <c r="J137" s="345"/>
      <c r="K137" s="345"/>
      <c r="L137" s="345"/>
      <c r="M137" s="345"/>
      <c r="N137" s="345"/>
      <c r="O137" s="345">
        <f>ROUND((O21/$S21)*($S137),0)</f>
        <v>237</v>
      </c>
      <c r="P137" s="345">
        <f t="shared" ref="P137:Q137" si="34">ROUND((P21/$S21)*($S137),0)</f>
        <v>379</v>
      </c>
      <c r="Q137" s="345">
        <f t="shared" si="34"/>
        <v>273</v>
      </c>
      <c r="R137" s="667">
        <f>S137-SUM(O137:Q137)</f>
        <v>12</v>
      </c>
      <c r="S137" s="667">
        <f t="shared" si="28"/>
        <v>901</v>
      </c>
    </row>
    <row r="138" spans="1:19" ht="17.399999999999999">
      <c r="A138" s="555" t="s">
        <v>386</v>
      </c>
      <c r="B138" s="666">
        <f t="shared" ref="B138:Q138" si="35">ROUND((B23/$S$23)*$S$138,0)</f>
        <v>0</v>
      </c>
      <c r="C138" s="666">
        <f t="shared" si="35"/>
        <v>0</v>
      </c>
      <c r="D138" s="666">
        <f t="shared" si="35"/>
        <v>0</v>
      </c>
      <c r="E138" s="666">
        <f t="shared" si="35"/>
        <v>0</v>
      </c>
      <c r="F138" s="666">
        <f t="shared" si="35"/>
        <v>0</v>
      </c>
      <c r="G138" s="666">
        <f t="shared" si="35"/>
        <v>0</v>
      </c>
      <c r="H138" s="666">
        <f t="shared" si="35"/>
        <v>0</v>
      </c>
      <c r="I138" s="666">
        <f t="shared" si="35"/>
        <v>0</v>
      </c>
      <c r="J138" s="666">
        <f t="shared" si="35"/>
        <v>0</v>
      </c>
      <c r="K138" s="666">
        <f t="shared" si="35"/>
        <v>0</v>
      </c>
      <c r="L138" s="345">
        <f t="shared" si="35"/>
        <v>0</v>
      </c>
      <c r="M138" s="345">
        <f t="shared" si="35"/>
        <v>0</v>
      </c>
      <c r="N138" s="345">
        <f t="shared" si="35"/>
        <v>0</v>
      </c>
      <c r="O138" s="345">
        <f t="shared" si="35"/>
        <v>6</v>
      </c>
      <c r="P138" s="345">
        <f t="shared" si="35"/>
        <v>9</v>
      </c>
      <c r="Q138" s="345">
        <f t="shared" si="35"/>
        <v>7</v>
      </c>
      <c r="R138" s="345"/>
      <c r="S138" s="667">
        <f t="shared" si="28"/>
        <v>22</v>
      </c>
    </row>
    <row r="139" spans="1:19" ht="17.399999999999999">
      <c r="A139" s="556"/>
      <c r="B139" s="557"/>
      <c r="C139" s="544"/>
      <c r="D139" s="544"/>
      <c r="E139" s="544"/>
      <c r="F139" s="544"/>
      <c r="G139" s="544"/>
      <c r="H139" s="544"/>
      <c r="I139" s="544"/>
      <c r="J139" s="544"/>
      <c r="K139" s="544"/>
      <c r="L139" s="557"/>
      <c r="M139" s="557"/>
      <c r="N139" s="557"/>
      <c r="O139" s="557"/>
      <c r="P139" s="557"/>
      <c r="Q139" s="557"/>
      <c r="R139" s="557"/>
      <c r="S139" s="558"/>
    </row>
    <row r="140" spans="1:19" ht="17.399999999999999">
      <c r="A140" s="708" t="s">
        <v>51</v>
      </c>
      <c r="B140" s="680">
        <f t="shared" ref="B140:Q140" si="36">SUM(B125:B138)</f>
        <v>619</v>
      </c>
      <c r="C140" s="680">
        <f t="shared" si="36"/>
        <v>449</v>
      </c>
      <c r="D140" s="680">
        <f t="shared" si="36"/>
        <v>545</v>
      </c>
      <c r="E140" s="680">
        <f t="shared" si="36"/>
        <v>525</v>
      </c>
      <c r="F140" s="680">
        <f t="shared" si="36"/>
        <v>609</v>
      </c>
      <c r="G140" s="680">
        <f t="shared" si="36"/>
        <v>543</v>
      </c>
      <c r="H140" s="680">
        <f t="shared" si="36"/>
        <v>597</v>
      </c>
      <c r="I140" s="680">
        <f t="shared" si="36"/>
        <v>470</v>
      </c>
      <c r="J140" s="680">
        <f t="shared" si="36"/>
        <v>598</v>
      </c>
      <c r="K140" s="559">
        <f t="shared" si="36"/>
        <v>582</v>
      </c>
      <c r="L140" s="559">
        <f t="shared" si="36"/>
        <v>747</v>
      </c>
      <c r="M140" s="559">
        <f t="shared" si="36"/>
        <v>762</v>
      </c>
      <c r="N140" s="559">
        <f t="shared" si="36"/>
        <v>837</v>
      </c>
      <c r="O140" s="559">
        <f t="shared" si="36"/>
        <v>954</v>
      </c>
      <c r="P140" s="559">
        <f t="shared" si="36"/>
        <v>1526</v>
      </c>
      <c r="Q140" s="559">
        <f t="shared" si="36"/>
        <v>1286</v>
      </c>
      <c r="R140" s="559">
        <f>SUM(R125:R138)</f>
        <v>54</v>
      </c>
      <c r="S140" s="561">
        <f>D103</f>
        <v>11704</v>
      </c>
    </row>
    <row r="141" spans="1:19" ht="17.399999999999999">
      <c r="A141" s="345"/>
      <c r="B141" s="345"/>
      <c r="C141" s="666"/>
      <c r="D141" s="666"/>
      <c r="E141" s="666"/>
      <c r="F141" s="666"/>
      <c r="G141" s="666"/>
      <c r="H141" s="666"/>
      <c r="I141" s="666"/>
      <c r="J141" s="666"/>
      <c r="K141" s="666"/>
      <c r="L141" s="345"/>
      <c r="M141" s="666"/>
      <c r="N141" s="345"/>
      <c r="O141" s="666"/>
      <c r="P141" s="666"/>
      <c r="Q141" s="666"/>
      <c r="R141" s="666"/>
      <c r="S141" s="345"/>
    </row>
    <row r="142" spans="1:19" ht="17.399999999999999">
      <c r="A142" s="344" t="s">
        <v>115</v>
      </c>
      <c r="B142" s="684">
        <f t="shared" ref="B142:J142" si="37">B33</f>
        <v>625</v>
      </c>
      <c r="C142" s="684">
        <f t="shared" si="37"/>
        <v>575</v>
      </c>
      <c r="D142" s="684">
        <f t="shared" si="37"/>
        <v>600</v>
      </c>
      <c r="E142" s="684">
        <f t="shared" si="37"/>
        <v>725</v>
      </c>
      <c r="F142" s="684">
        <f t="shared" si="37"/>
        <v>725</v>
      </c>
      <c r="G142" s="684">
        <f t="shared" si="37"/>
        <v>625</v>
      </c>
      <c r="H142" s="684">
        <f t="shared" si="37"/>
        <v>700</v>
      </c>
      <c r="I142" s="684">
        <f t="shared" si="37"/>
        <v>593</v>
      </c>
      <c r="J142" s="684">
        <f t="shared" si="37"/>
        <v>750</v>
      </c>
      <c r="K142" s="684">
        <f t="shared" ref="K142:Q142" si="38">K33</f>
        <v>667</v>
      </c>
      <c r="L142" s="684">
        <f t="shared" si="38"/>
        <v>864</v>
      </c>
      <c r="M142" s="684">
        <f t="shared" si="38"/>
        <v>779</v>
      </c>
      <c r="N142" s="684">
        <f t="shared" si="38"/>
        <v>756</v>
      </c>
      <c r="O142" s="684">
        <f t="shared" si="38"/>
        <v>1267</v>
      </c>
      <c r="P142" s="684">
        <f t="shared" si="38"/>
        <v>1495</v>
      </c>
      <c r="Q142" s="684">
        <f t="shared" si="38"/>
        <v>1019</v>
      </c>
      <c r="R142" s="684">
        <f>R33</f>
        <v>100</v>
      </c>
      <c r="S142" s="346">
        <f>SUM(B142:R142)</f>
        <v>12865</v>
      </c>
    </row>
    <row r="143" spans="1:19" ht="17.399999999999999">
      <c r="A143" s="345"/>
      <c r="B143" s="345"/>
      <c r="C143" s="666"/>
      <c r="D143" s="666"/>
      <c r="E143" s="666"/>
      <c r="F143" s="666"/>
      <c r="G143" s="666"/>
      <c r="H143" s="666"/>
      <c r="I143" s="666"/>
      <c r="J143" s="666"/>
      <c r="K143" s="666"/>
      <c r="L143" s="345"/>
      <c r="M143" s="345"/>
      <c r="N143" s="345"/>
      <c r="O143" s="345"/>
      <c r="P143" s="345"/>
      <c r="Q143" s="345"/>
      <c r="R143" s="345"/>
      <c r="S143" s="345"/>
    </row>
    <row r="144" spans="1:19" ht="17.399999999999999">
      <c r="A144" s="344" t="s">
        <v>244</v>
      </c>
      <c r="B144" s="669">
        <f t="shared" ref="B144:K144" si="39">B140/B142</f>
        <v>0.99039999999999995</v>
      </c>
      <c r="C144" s="669">
        <f t="shared" si="39"/>
        <v>0.78086956521739126</v>
      </c>
      <c r="D144" s="669">
        <f t="shared" si="39"/>
        <v>0.90833333333333333</v>
      </c>
      <c r="E144" s="669">
        <f t="shared" si="39"/>
        <v>0.72413793103448276</v>
      </c>
      <c r="F144" s="669">
        <f t="shared" si="39"/>
        <v>0.84</v>
      </c>
      <c r="G144" s="669">
        <f t="shared" si="39"/>
        <v>0.86880000000000002</v>
      </c>
      <c r="H144" s="669">
        <f t="shared" si="39"/>
        <v>0.85285714285714287</v>
      </c>
      <c r="I144" s="669">
        <f t="shared" si="39"/>
        <v>0.79258010118043842</v>
      </c>
      <c r="J144" s="669">
        <f t="shared" si="39"/>
        <v>0.79733333333333334</v>
      </c>
      <c r="K144" s="669">
        <f t="shared" si="39"/>
        <v>0.87256371814092959</v>
      </c>
      <c r="L144" s="668">
        <f t="shared" ref="L144:S144" si="40">L140/L142</f>
        <v>0.86458333333333337</v>
      </c>
      <c r="M144" s="668">
        <f t="shared" si="40"/>
        <v>0.97817715019255458</v>
      </c>
      <c r="N144" s="669">
        <f t="shared" si="40"/>
        <v>1.1071428571428572</v>
      </c>
      <c r="O144" s="668">
        <f t="shared" si="40"/>
        <v>0.75295974743488558</v>
      </c>
      <c r="P144" s="668">
        <f t="shared" si="40"/>
        <v>1.0207357859531772</v>
      </c>
      <c r="Q144" s="668">
        <f t="shared" si="40"/>
        <v>1.2620215897939155</v>
      </c>
      <c r="R144" s="668">
        <f t="shared" si="40"/>
        <v>0.54</v>
      </c>
      <c r="S144" s="668">
        <f t="shared" si="40"/>
        <v>0.90975514963078119</v>
      </c>
    </row>
    <row r="145" spans="1:19" ht="17.399999999999999">
      <c r="A145" s="345"/>
      <c r="B145" s="345"/>
      <c r="C145" s="666"/>
      <c r="D145" s="666"/>
      <c r="E145" s="666"/>
      <c r="F145" s="666"/>
      <c r="G145" s="666"/>
      <c r="H145" s="666"/>
      <c r="I145" s="345"/>
      <c r="J145" s="345"/>
      <c r="K145" s="345"/>
      <c r="L145" s="345"/>
      <c r="M145" s="345"/>
      <c r="N145" s="345"/>
      <c r="O145" s="345"/>
      <c r="P145" s="345"/>
      <c r="Q145" s="345"/>
      <c r="R145" s="345"/>
      <c r="S145" s="345"/>
    </row>
    <row r="146" spans="1:19" ht="17.399999999999999">
      <c r="A146" s="686"/>
      <c r="B146" s="668"/>
      <c r="C146" s="668"/>
      <c r="D146" s="668"/>
      <c r="E146" s="668"/>
      <c r="F146" s="668"/>
      <c r="G146" s="668"/>
      <c r="H146" s="668"/>
      <c r="I146" s="668"/>
      <c r="J146" s="668"/>
      <c r="K146" s="668"/>
      <c r="L146" s="668"/>
      <c r="M146" s="668"/>
      <c r="N146" s="668"/>
      <c r="O146" s="668"/>
      <c r="P146" s="668"/>
      <c r="Q146" s="668"/>
      <c r="R146" s="668"/>
      <c r="S146" s="668"/>
    </row>
    <row r="147" spans="1:19" ht="17.399999999999999">
      <c r="A147" s="345"/>
      <c r="B147" s="345"/>
      <c r="C147" s="666"/>
      <c r="D147" s="666"/>
      <c r="E147" s="666"/>
      <c r="F147" s="666"/>
      <c r="G147" s="666"/>
      <c r="H147" s="666"/>
      <c r="I147" s="345"/>
      <c r="J147" s="345"/>
      <c r="K147" s="345"/>
      <c r="L147" s="345"/>
      <c r="M147" s="345"/>
      <c r="N147" s="345"/>
      <c r="O147" s="345"/>
      <c r="P147" s="345"/>
      <c r="Q147" s="345"/>
      <c r="R147" s="345"/>
    </row>
    <row r="148" spans="1:19" ht="17.399999999999999">
      <c r="C148" s="121" t="s">
        <v>227</v>
      </c>
      <c r="D148" s="67"/>
      <c r="E148" s="67"/>
      <c r="F148" s="67"/>
      <c r="G148" s="67"/>
      <c r="H148" s="67"/>
      <c r="L148" s="67"/>
      <c r="M148" s="67" t="str">
        <f>E83</f>
        <v>2027-28</v>
      </c>
    </row>
    <row r="149" spans="1:19" ht="17.399999999999999">
      <c r="C149" s="121" t="s">
        <v>240</v>
      </c>
      <c r="D149" s="67"/>
      <c r="E149" s="67"/>
      <c r="F149" s="67"/>
      <c r="G149" s="67"/>
      <c r="H149" s="67"/>
      <c r="I149" s="67"/>
      <c r="J149" s="67"/>
      <c r="K149" s="67"/>
    </row>
    <row r="150" spans="1:19" ht="17.399999999999999">
      <c r="C150" s="67"/>
      <c r="D150" s="67" t="str">
        <f>A41</f>
        <v xml:space="preserve">    FIVE YEAR AVERAGE PERCENTAGE OF SURVIVAL</v>
      </c>
      <c r="E150" s="67"/>
      <c r="F150" s="67"/>
      <c r="G150" s="67"/>
      <c r="H150" s="67"/>
      <c r="I150" s="67"/>
      <c r="J150" s="67"/>
      <c r="K150" s="67"/>
    </row>
    <row r="152" spans="1:19" ht="17.399999999999999">
      <c r="A152" s="543" t="s">
        <v>24</v>
      </c>
      <c r="B152" s="813" t="s">
        <v>25</v>
      </c>
      <c r="C152" s="813"/>
      <c r="D152" s="813"/>
      <c r="E152" s="813"/>
      <c r="F152" s="813"/>
      <c r="G152" s="813"/>
      <c r="H152" s="813"/>
      <c r="I152" s="813"/>
      <c r="J152" s="813"/>
      <c r="K152" s="813" t="s">
        <v>241</v>
      </c>
      <c r="L152" s="813"/>
      <c r="M152" s="813"/>
      <c r="N152" s="813"/>
      <c r="O152" s="813" t="s">
        <v>242</v>
      </c>
      <c r="P152" s="813"/>
      <c r="Q152" s="813"/>
      <c r="R152" s="595"/>
      <c r="S152" s="546" t="s">
        <v>243</v>
      </c>
    </row>
    <row r="153" spans="1:19" s="82" customFormat="1" ht="17.399999999999999">
      <c r="A153" s="596"/>
      <c r="B153" s="550" t="s">
        <v>289</v>
      </c>
      <c r="C153" s="550" t="s">
        <v>357</v>
      </c>
      <c r="D153" s="550" t="s">
        <v>358</v>
      </c>
      <c r="E153" s="550" t="s">
        <v>359</v>
      </c>
      <c r="F153" s="550" t="s">
        <v>360</v>
      </c>
      <c r="G153" s="550" t="s">
        <v>370</v>
      </c>
      <c r="H153" s="550" t="s">
        <v>356</v>
      </c>
      <c r="I153" s="550" t="s">
        <v>361</v>
      </c>
      <c r="J153" s="550" t="s">
        <v>406</v>
      </c>
      <c r="K153" s="550" t="s">
        <v>363</v>
      </c>
      <c r="L153" s="550" t="s">
        <v>36</v>
      </c>
      <c r="M153" s="550" t="s">
        <v>86</v>
      </c>
      <c r="N153" s="550" t="s">
        <v>99</v>
      </c>
      <c r="O153" s="550" t="s">
        <v>346</v>
      </c>
      <c r="P153" s="550" t="s">
        <v>90</v>
      </c>
      <c r="Q153" s="550" t="s">
        <v>103</v>
      </c>
      <c r="R153" s="550" t="s">
        <v>343</v>
      </c>
      <c r="S153" s="597"/>
    </row>
    <row r="154" spans="1:19" ht="17.399999999999999">
      <c r="A154" s="345"/>
      <c r="B154" s="345"/>
      <c r="C154" s="345"/>
      <c r="D154" s="345"/>
      <c r="E154" s="345"/>
      <c r="F154" s="345"/>
      <c r="G154" s="345"/>
      <c r="H154" s="345"/>
      <c r="I154" s="345"/>
      <c r="J154" s="345"/>
      <c r="K154" s="345"/>
      <c r="L154" s="345"/>
      <c r="M154" s="345"/>
      <c r="N154" s="345"/>
      <c r="O154" s="345"/>
      <c r="P154" s="345"/>
      <c r="Q154" s="345"/>
      <c r="R154" s="345"/>
      <c r="S154" s="345"/>
    </row>
    <row r="155" spans="1:19" ht="17.399999999999999">
      <c r="A155" s="555" t="s">
        <v>391</v>
      </c>
      <c r="B155" s="666">
        <f t="shared" ref="B155:J155" si="41">ROUND(B140/(SUM($B$140:$J$140))*($S$155),0)</f>
        <v>102</v>
      </c>
      <c r="C155" s="666">
        <f t="shared" si="41"/>
        <v>74</v>
      </c>
      <c r="D155" s="666">
        <f t="shared" si="41"/>
        <v>90</v>
      </c>
      <c r="E155" s="666">
        <f t="shared" si="41"/>
        <v>87</v>
      </c>
      <c r="F155" s="666">
        <f t="shared" si="41"/>
        <v>101</v>
      </c>
      <c r="G155" s="666">
        <f t="shared" si="41"/>
        <v>90</v>
      </c>
      <c r="H155" s="666">
        <f t="shared" si="41"/>
        <v>99</v>
      </c>
      <c r="I155" s="666">
        <f t="shared" si="41"/>
        <v>78</v>
      </c>
      <c r="J155" s="666">
        <f t="shared" si="41"/>
        <v>99</v>
      </c>
      <c r="K155" s="710"/>
      <c r="L155" s="345"/>
      <c r="M155" s="345"/>
      <c r="N155" s="345"/>
      <c r="O155" s="345"/>
      <c r="P155" s="345"/>
      <c r="Q155" s="345"/>
      <c r="R155" s="345"/>
      <c r="S155" s="345">
        <f t="shared" ref="S155:S168" si="42">E87</f>
        <v>820</v>
      </c>
    </row>
    <row r="156" spans="1:19" ht="17.399999999999999">
      <c r="A156" s="555">
        <v>1</v>
      </c>
      <c r="B156" s="666">
        <f t="shared" ref="B156:I160" si="43">ROUND((B125/$S125)*($S156),0)</f>
        <v>108</v>
      </c>
      <c r="C156" s="666">
        <f t="shared" si="43"/>
        <v>79</v>
      </c>
      <c r="D156" s="666">
        <f t="shared" si="43"/>
        <v>95</v>
      </c>
      <c r="E156" s="666">
        <f t="shared" si="43"/>
        <v>93</v>
      </c>
      <c r="F156" s="666">
        <f t="shared" si="43"/>
        <v>107</v>
      </c>
      <c r="G156" s="666">
        <f t="shared" si="43"/>
        <v>97</v>
      </c>
      <c r="H156" s="666">
        <f t="shared" si="43"/>
        <v>106</v>
      </c>
      <c r="I156" s="666">
        <f t="shared" si="43"/>
        <v>78</v>
      </c>
      <c r="J156" s="710">
        <f>S156-(SUM(B156:I156))</f>
        <v>104</v>
      </c>
      <c r="K156" s="710"/>
      <c r="L156" s="345"/>
      <c r="M156" s="345"/>
      <c r="N156" s="345"/>
      <c r="O156" s="345"/>
      <c r="P156" s="345"/>
      <c r="Q156" s="345"/>
      <c r="R156" s="345"/>
      <c r="S156" s="667">
        <f t="shared" si="42"/>
        <v>867</v>
      </c>
    </row>
    <row r="157" spans="1:19" ht="17.399999999999999">
      <c r="A157" s="555">
        <v>2</v>
      </c>
      <c r="B157" s="666">
        <f t="shared" si="43"/>
        <v>89</v>
      </c>
      <c r="C157" s="666">
        <f t="shared" si="43"/>
        <v>65</v>
      </c>
      <c r="D157" s="666">
        <f t="shared" si="43"/>
        <v>91</v>
      </c>
      <c r="E157" s="666">
        <f t="shared" si="43"/>
        <v>74</v>
      </c>
      <c r="F157" s="666">
        <f t="shared" si="43"/>
        <v>95</v>
      </c>
      <c r="G157" s="666">
        <f t="shared" si="43"/>
        <v>84</v>
      </c>
      <c r="H157" s="666">
        <f t="shared" si="43"/>
        <v>84</v>
      </c>
      <c r="I157" s="666">
        <f t="shared" si="43"/>
        <v>78</v>
      </c>
      <c r="J157" s="710">
        <f>S157-(SUM(B157:I157))</f>
        <v>108</v>
      </c>
      <c r="K157" s="710"/>
      <c r="L157" s="345"/>
      <c r="M157" s="345"/>
      <c r="N157" s="345"/>
      <c r="O157" s="345"/>
      <c r="P157" s="345"/>
      <c r="Q157" s="345"/>
      <c r="R157" s="345"/>
      <c r="S157" s="667">
        <f t="shared" si="42"/>
        <v>768</v>
      </c>
    </row>
    <row r="158" spans="1:19" ht="17.399999999999999">
      <c r="A158" s="555">
        <v>3</v>
      </c>
      <c r="B158" s="666">
        <f t="shared" si="43"/>
        <v>88</v>
      </c>
      <c r="C158" s="666">
        <f t="shared" si="43"/>
        <v>73</v>
      </c>
      <c r="D158" s="666">
        <f t="shared" si="43"/>
        <v>91</v>
      </c>
      <c r="E158" s="666">
        <f t="shared" si="43"/>
        <v>79</v>
      </c>
      <c r="F158" s="666">
        <f t="shared" si="43"/>
        <v>90</v>
      </c>
      <c r="G158" s="666">
        <f t="shared" si="43"/>
        <v>92</v>
      </c>
      <c r="H158" s="666">
        <f t="shared" si="43"/>
        <v>94</v>
      </c>
      <c r="I158" s="666">
        <f t="shared" si="43"/>
        <v>76</v>
      </c>
      <c r="J158" s="710">
        <f>S158-(SUM(B158:I158))</f>
        <v>86</v>
      </c>
      <c r="K158" s="710"/>
      <c r="L158" s="345"/>
      <c r="M158" s="345"/>
      <c r="N158" s="345"/>
      <c r="O158" s="345"/>
      <c r="P158" s="345"/>
      <c r="Q158" s="345"/>
      <c r="R158" s="345"/>
      <c r="S158" s="667">
        <f t="shared" si="42"/>
        <v>769</v>
      </c>
    </row>
    <row r="159" spans="1:19" ht="17.399999999999999">
      <c r="A159" s="555">
        <v>4</v>
      </c>
      <c r="B159" s="666">
        <f t="shared" si="43"/>
        <v>108</v>
      </c>
      <c r="C159" s="666">
        <f t="shared" si="43"/>
        <v>76</v>
      </c>
      <c r="D159" s="666">
        <f t="shared" si="43"/>
        <v>100</v>
      </c>
      <c r="E159" s="666">
        <f t="shared" si="43"/>
        <v>98</v>
      </c>
      <c r="F159" s="666">
        <f t="shared" si="43"/>
        <v>108</v>
      </c>
      <c r="G159" s="666">
        <f t="shared" si="43"/>
        <v>84</v>
      </c>
      <c r="H159" s="666">
        <f t="shared" si="43"/>
        <v>102</v>
      </c>
      <c r="I159" s="666">
        <f t="shared" si="43"/>
        <v>72</v>
      </c>
      <c r="J159" s="710">
        <f>S159-(SUM(B159:I159))</f>
        <v>100</v>
      </c>
      <c r="K159" s="710"/>
      <c r="L159" s="345"/>
      <c r="M159" s="345"/>
      <c r="N159" s="345"/>
      <c r="O159" s="345"/>
      <c r="P159" s="345"/>
      <c r="Q159" s="345"/>
      <c r="R159" s="345"/>
      <c r="S159" s="667">
        <f t="shared" si="42"/>
        <v>848</v>
      </c>
    </row>
    <row r="160" spans="1:19" ht="17.399999999999999">
      <c r="A160" s="555">
        <v>5</v>
      </c>
      <c r="B160" s="666">
        <f t="shared" si="43"/>
        <v>104</v>
      </c>
      <c r="C160" s="666">
        <f t="shared" si="43"/>
        <v>85</v>
      </c>
      <c r="D160" s="666">
        <f t="shared" si="43"/>
        <v>99</v>
      </c>
      <c r="E160" s="666">
        <f t="shared" si="43"/>
        <v>88</v>
      </c>
      <c r="F160" s="666">
        <f t="shared" si="43"/>
        <v>114</v>
      </c>
      <c r="G160" s="666">
        <f t="shared" si="43"/>
        <v>107</v>
      </c>
      <c r="H160" s="666">
        <f t="shared" si="43"/>
        <v>126</v>
      </c>
      <c r="I160" s="666">
        <f t="shared" si="43"/>
        <v>81</v>
      </c>
      <c r="J160" s="710">
        <f>S160-(SUM(B160:I160))</f>
        <v>115</v>
      </c>
      <c r="K160" s="710"/>
      <c r="L160" s="345"/>
      <c r="M160" s="345"/>
      <c r="O160" s="345"/>
      <c r="P160" s="345"/>
      <c r="Q160" s="345"/>
      <c r="R160" s="345"/>
      <c r="S160" s="667">
        <f t="shared" si="42"/>
        <v>919</v>
      </c>
    </row>
    <row r="161" spans="1:19" ht="17.399999999999999">
      <c r="A161" s="555">
        <v>6</v>
      </c>
      <c r="B161" s="345"/>
      <c r="C161" s="345"/>
      <c r="D161" s="345"/>
      <c r="E161" s="345"/>
      <c r="F161" s="345"/>
      <c r="G161" s="345"/>
      <c r="H161" s="345"/>
      <c r="I161" s="345"/>
      <c r="J161" s="345"/>
      <c r="K161" s="346">
        <f>ROUND((ENRHIST!F1013)/(S130)*(S161),0)</f>
        <v>202</v>
      </c>
      <c r="L161" s="346">
        <f>ROUND((ENRHIST!G1013)/(S130)*(S161),0)</f>
        <v>252</v>
      </c>
      <c r="M161" s="346">
        <f>ROUND((ENRHIST!H1013)/(S130)*(S161),0)</f>
        <v>246</v>
      </c>
      <c r="N161" s="670">
        <f>ROUND((ENRHIST!I1013)/(S130)*(S161),0)+5</f>
        <v>234</v>
      </c>
      <c r="O161" s="345"/>
      <c r="P161" s="345"/>
      <c r="Q161" s="345"/>
      <c r="R161" s="767">
        <f t="shared" ref="R161:R167" si="44">S161-SUM(K161:Q161)</f>
        <v>3</v>
      </c>
      <c r="S161" s="667">
        <f t="shared" si="42"/>
        <v>937</v>
      </c>
    </row>
    <row r="162" spans="1:19" ht="17.399999999999999">
      <c r="A162" s="555">
        <v>7</v>
      </c>
      <c r="B162" s="345"/>
      <c r="C162" s="345"/>
      <c r="D162" s="345"/>
      <c r="E162" s="345"/>
      <c r="F162" s="345"/>
      <c r="G162" s="345"/>
      <c r="H162" s="345"/>
      <c r="I162" s="345"/>
      <c r="J162" s="345"/>
      <c r="K162" s="346">
        <f>ROUND((K131/$S131)*($S162),0)</f>
        <v>213</v>
      </c>
      <c r="L162" s="346">
        <f t="shared" ref="L162:N162" si="45">ROUND((L131/$S131)*($S162),0)</f>
        <v>264</v>
      </c>
      <c r="M162" s="346">
        <f t="shared" si="45"/>
        <v>260</v>
      </c>
      <c r="N162" s="346">
        <f t="shared" si="45"/>
        <v>242</v>
      </c>
      <c r="O162" s="345"/>
      <c r="P162" s="345"/>
      <c r="Q162" s="345"/>
      <c r="R162" s="767">
        <f t="shared" si="44"/>
        <v>0</v>
      </c>
      <c r="S162" s="667">
        <f t="shared" si="42"/>
        <v>979</v>
      </c>
    </row>
    <row r="163" spans="1:19" ht="17.399999999999999">
      <c r="A163" s="555">
        <v>8</v>
      </c>
      <c r="B163" s="345"/>
      <c r="C163" s="345"/>
      <c r="D163" s="345"/>
      <c r="E163" s="345"/>
      <c r="F163" s="345"/>
      <c r="G163" s="345"/>
      <c r="H163" s="345"/>
      <c r="I163" s="345"/>
      <c r="J163" s="345"/>
      <c r="K163" s="346">
        <f>ROUND((K132/$S132)*($S163),0)</f>
        <v>179</v>
      </c>
      <c r="L163" s="346">
        <f t="shared" ref="L163:N163" si="46">ROUND((L132/$S132)*($S163),0)</f>
        <v>250</v>
      </c>
      <c r="M163" s="346">
        <f t="shared" si="46"/>
        <v>236</v>
      </c>
      <c r="N163" s="346">
        <f t="shared" si="46"/>
        <v>302</v>
      </c>
      <c r="O163" s="345"/>
      <c r="P163" s="345"/>
      <c r="Q163" s="345"/>
      <c r="R163" s="767">
        <f t="shared" si="44"/>
        <v>-1</v>
      </c>
      <c r="S163" s="667">
        <f t="shared" si="42"/>
        <v>966</v>
      </c>
    </row>
    <row r="164" spans="1:19" ht="17.399999999999999">
      <c r="A164" s="555">
        <v>9</v>
      </c>
      <c r="B164" s="345"/>
      <c r="C164" s="345"/>
      <c r="D164" s="345"/>
      <c r="E164" s="345"/>
      <c r="F164" s="345"/>
      <c r="G164" s="345"/>
      <c r="H164" s="345"/>
      <c r="I164" s="345"/>
      <c r="J164" s="345"/>
      <c r="K164" s="345"/>
      <c r="L164" s="345"/>
      <c r="M164" s="345"/>
      <c r="N164" s="345"/>
      <c r="O164" s="346">
        <f>ROUND((ENRHIST!F1176/$S133)*($S164),0)</f>
        <v>273</v>
      </c>
      <c r="P164" s="346">
        <f>ROUND((ENRHIST!G1176/$S133)*($S164),0)</f>
        <v>417</v>
      </c>
      <c r="Q164" s="346">
        <f>ROUND((ENRHIST!H1176/$S133)*($S164),0)</f>
        <v>303</v>
      </c>
      <c r="R164" s="767">
        <f t="shared" si="44"/>
        <v>31</v>
      </c>
      <c r="S164" s="667">
        <f t="shared" si="42"/>
        <v>1024</v>
      </c>
    </row>
    <row r="165" spans="1:19" ht="17.399999999999999">
      <c r="A165" s="555">
        <v>10</v>
      </c>
      <c r="B165" s="345"/>
      <c r="C165" s="345"/>
      <c r="D165" s="345"/>
      <c r="E165" s="345"/>
      <c r="F165" s="345"/>
      <c r="G165" s="345"/>
      <c r="H165" s="345"/>
      <c r="I165" s="345"/>
      <c r="J165" s="345"/>
      <c r="K165" s="345"/>
      <c r="L165" s="345"/>
      <c r="M165" s="345"/>
      <c r="N165" s="345"/>
      <c r="O165" s="346">
        <f>ROUND((O134/$S134)*($S165),0)</f>
        <v>243</v>
      </c>
      <c r="P165" s="346">
        <f t="shared" ref="P165:Q165" si="47">ROUND((P134/$S134)*($S165),0)</f>
        <v>386</v>
      </c>
      <c r="Q165" s="346">
        <f t="shared" si="47"/>
        <v>293</v>
      </c>
      <c r="R165" s="767">
        <f t="shared" si="44"/>
        <v>13</v>
      </c>
      <c r="S165" s="667">
        <f t="shared" si="42"/>
        <v>935</v>
      </c>
    </row>
    <row r="166" spans="1:19" ht="17.399999999999999">
      <c r="A166" s="555">
        <v>11</v>
      </c>
      <c r="B166" s="345"/>
      <c r="C166" s="345"/>
      <c r="D166" s="345"/>
      <c r="E166" s="345"/>
      <c r="F166" s="345"/>
      <c r="G166" s="345"/>
      <c r="H166" s="345"/>
      <c r="I166" s="345"/>
      <c r="J166" s="345"/>
      <c r="K166" s="345"/>
      <c r="L166" s="345"/>
      <c r="M166" s="345"/>
      <c r="N166" s="345"/>
      <c r="O166" s="346">
        <f>ROUND((O135/$S135)*($S166),0)</f>
        <v>224</v>
      </c>
      <c r="P166" s="346">
        <f t="shared" ref="P166:Q166" si="48">ROUND((P135/$S135)*($S166),0)</f>
        <v>385</v>
      </c>
      <c r="Q166" s="346">
        <f t="shared" si="48"/>
        <v>346</v>
      </c>
      <c r="R166" s="767">
        <f t="shared" si="44"/>
        <v>15</v>
      </c>
      <c r="S166" s="667">
        <f t="shared" si="42"/>
        <v>970</v>
      </c>
    </row>
    <row r="167" spans="1:19" ht="17.399999999999999">
      <c r="A167" s="555">
        <v>12</v>
      </c>
      <c r="B167" s="345"/>
      <c r="C167" s="345"/>
      <c r="D167" s="345"/>
      <c r="E167" s="345"/>
      <c r="F167" s="345"/>
      <c r="G167" s="345"/>
      <c r="H167" s="345"/>
      <c r="I167" s="345"/>
      <c r="J167" s="345"/>
      <c r="K167" s="345"/>
      <c r="L167" s="345"/>
      <c r="M167" s="345"/>
      <c r="N167" s="345"/>
      <c r="O167" s="346">
        <f>ROUND((O136/$S136)*($S167),0)</f>
        <v>218</v>
      </c>
      <c r="P167" s="346">
        <f t="shared" ref="P167:Q167" si="49">ROUND((P136/$S136)*($S167),0)</f>
        <v>326</v>
      </c>
      <c r="Q167" s="346">
        <f t="shared" si="49"/>
        <v>330</v>
      </c>
      <c r="R167" s="767">
        <f t="shared" si="44"/>
        <v>14</v>
      </c>
      <c r="S167" s="667">
        <f t="shared" si="42"/>
        <v>888</v>
      </c>
    </row>
    <row r="168" spans="1:19" ht="17.399999999999999">
      <c r="A168" s="344" t="s">
        <v>50</v>
      </c>
      <c r="B168" s="666">
        <f t="shared" ref="B168:J168" si="50">ROUND((B23/$S$23)*$S$168,0)</f>
        <v>0</v>
      </c>
      <c r="C168" s="666">
        <f t="shared" si="50"/>
        <v>0</v>
      </c>
      <c r="D168" s="666">
        <f t="shared" si="50"/>
        <v>0</v>
      </c>
      <c r="E168" s="666">
        <f t="shared" si="50"/>
        <v>0</v>
      </c>
      <c r="F168" s="666">
        <f t="shared" si="50"/>
        <v>0</v>
      </c>
      <c r="G168" s="666">
        <f t="shared" si="50"/>
        <v>0</v>
      </c>
      <c r="H168" s="666">
        <f t="shared" si="50"/>
        <v>0</v>
      </c>
      <c r="I168" s="666">
        <f t="shared" si="50"/>
        <v>0</v>
      </c>
      <c r="J168" s="666">
        <f t="shared" si="50"/>
        <v>0</v>
      </c>
      <c r="K168" s="345">
        <f>ROUND((J23/$S$23)*$S$168,0)</f>
        <v>0</v>
      </c>
      <c r="L168" s="345">
        <f>ROUND((K23/$S$23)*$S$168,0)</f>
        <v>0</v>
      </c>
      <c r="M168" s="345">
        <f>ROUND((L23/$S$23)*$S$168,0)</f>
        <v>0</v>
      </c>
      <c r="N168" s="345">
        <f>ROUND((M23/$S$23)*$S$168,0)</f>
        <v>0</v>
      </c>
      <c r="O168" s="345">
        <f>ROUND((O23/$S$23)*$S$168,0)</f>
        <v>6</v>
      </c>
      <c r="P168" s="345">
        <f>ROUND((P23/$S$23)*$S$168,0)</f>
        <v>9</v>
      </c>
      <c r="Q168" s="345">
        <f>ROUND((Q23/$S$23)*$S$168,0)</f>
        <v>7</v>
      </c>
      <c r="R168" s="345"/>
      <c r="S168" s="345">
        <f t="shared" si="42"/>
        <v>22</v>
      </c>
    </row>
    <row r="169" spans="1:19" ht="17.399999999999999">
      <c r="A169" s="556"/>
      <c r="B169" s="557"/>
      <c r="C169" s="544"/>
      <c r="D169" s="544"/>
      <c r="E169" s="544"/>
      <c r="F169" s="544"/>
      <c r="G169" s="544"/>
      <c r="H169" s="544"/>
      <c r="I169" s="544"/>
      <c r="J169" s="544"/>
      <c r="K169" s="544"/>
      <c r="L169" s="557"/>
      <c r="M169" s="557"/>
      <c r="N169" s="557"/>
      <c r="O169" s="557"/>
      <c r="P169" s="557"/>
      <c r="Q169" s="557"/>
      <c r="R169" s="557"/>
      <c r="S169" s="558"/>
    </row>
    <row r="170" spans="1:19" ht="17.399999999999999">
      <c r="A170" s="708" t="s">
        <v>51</v>
      </c>
      <c r="B170" s="680">
        <f t="shared" ref="B170:Q170" si="51">SUM(B155:B168)</f>
        <v>599</v>
      </c>
      <c r="C170" s="680">
        <f t="shared" si="51"/>
        <v>452</v>
      </c>
      <c r="D170" s="680">
        <f t="shared" si="51"/>
        <v>566</v>
      </c>
      <c r="E170" s="680">
        <f t="shared" si="51"/>
        <v>519</v>
      </c>
      <c r="F170" s="680">
        <f t="shared" si="51"/>
        <v>615</v>
      </c>
      <c r="G170" s="680">
        <f t="shared" si="51"/>
        <v>554</v>
      </c>
      <c r="H170" s="680">
        <f t="shared" si="51"/>
        <v>611</v>
      </c>
      <c r="I170" s="680">
        <f t="shared" si="51"/>
        <v>463</v>
      </c>
      <c r="J170" s="680">
        <f t="shared" si="51"/>
        <v>612</v>
      </c>
      <c r="K170" s="559">
        <f t="shared" si="51"/>
        <v>594</v>
      </c>
      <c r="L170" s="559">
        <f t="shared" si="51"/>
        <v>766</v>
      </c>
      <c r="M170" s="559">
        <f t="shared" si="51"/>
        <v>742</v>
      </c>
      <c r="N170" s="559">
        <f t="shared" si="51"/>
        <v>778</v>
      </c>
      <c r="O170" s="559">
        <f t="shared" si="51"/>
        <v>964</v>
      </c>
      <c r="P170" s="559">
        <f t="shared" si="51"/>
        <v>1523</v>
      </c>
      <c r="Q170" s="559">
        <f t="shared" si="51"/>
        <v>1279</v>
      </c>
      <c r="R170" s="559">
        <f>SUM(R155:R168)</f>
        <v>75</v>
      </c>
      <c r="S170" s="561">
        <f>E103</f>
        <v>11712</v>
      </c>
    </row>
    <row r="171" spans="1:19" ht="17.399999999999999">
      <c r="A171" s="345"/>
      <c r="B171" s="345"/>
      <c r="C171" s="666"/>
      <c r="D171" s="666"/>
      <c r="E171" s="666"/>
      <c r="F171" s="666"/>
      <c r="G171" s="666"/>
      <c r="H171" s="666"/>
      <c r="I171" s="666"/>
      <c r="J171" s="666"/>
      <c r="K171" s="666"/>
      <c r="L171" s="345"/>
      <c r="M171" s="345"/>
      <c r="N171" s="345"/>
      <c r="O171" s="345"/>
      <c r="P171" s="345"/>
      <c r="Q171" s="345"/>
      <c r="R171" s="345"/>
      <c r="S171" s="345"/>
    </row>
    <row r="172" spans="1:19" ht="17.399999999999999">
      <c r="A172" s="711" t="str">
        <f t="shared" ref="A172:R172" si="52">A142</f>
        <v xml:space="preserve"> BLDG CAP.</v>
      </c>
      <c r="B172" s="684">
        <f t="shared" si="52"/>
        <v>625</v>
      </c>
      <c r="C172" s="684">
        <f t="shared" si="52"/>
        <v>575</v>
      </c>
      <c r="D172" s="684">
        <f t="shared" si="52"/>
        <v>600</v>
      </c>
      <c r="E172" s="684">
        <f t="shared" si="52"/>
        <v>725</v>
      </c>
      <c r="F172" s="684">
        <f t="shared" si="52"/>
        <v>725</v>
      </c>
      <c r="G172" s="684">
        <f t="shared" si="52"/>
        <v>625</v>
      </c>
      <c r="H172" s="684">
        <f t="shared" si="52"/>
        <v>700</v>
      </c>
      <c r="I172" s="684">
        <f t="shared" si="52"/>
        <v>593</v>
      </c>
      <c r="J172" s="684">
        <f t="shared" si="52"/>
        <v>750</v>
      </c>
      <c r="K172" s="684">
        <f t="shared" si="52"/>
        <v>667</v>
      </c>
      <c r="L172" s="684">
        <f>L142</f>
        <v>864</v>
      </c>
      <c r="M172" s="684">
        <f t="shared" si="52"/>
        <v>779</v>
      </c>
      <c r="N172" s="684">
        <f t="shared" si="52"/>
        <v>756</v>
      </c>
      <c r="O172" s="684">
        <f t="shared" si="52"/>
        <v>1267</v>
      </c>
      <c r="P172" s="684">
        <f t="shared" si="52"/>
        <v>1495</v>
      </c>
      <c r="Q172" s="684">
        <f t="shared" si="52"/>
        <v>1019</v>
      </c>
      <c r="R172" s="684">
        <f t="shared" si="52"/>
        <v>100</v>
      </c>
      <c r="S172" s="346">
        <f>SUM(B172:R172)</f>
        <v>12865</v>
      </c>
    </row>
    <row r="173" spans="1:19" ht="17.399999999999999">
      <c r="A173" s="345"/>
      <c r="B173" s="345"/>
      <c r="C173" s="666"/>
      <c r="D173" s="666"/>
      <c r="E173" s="666"/>
      <c r="F173" s="666"/>
      <c r="G173" s="666"/>
      <c r="H173" s="666"/>
      <c r="I173" s="666"/>
      <c r="J173" s="666"/>
      <c r="K173" s="666"/>
      <c r="L173" s="345"/>
      <c r="M173" s="345"/>
      <c r="N173" s="345"/>
      <c r="O173" s="345"/>
      <c r="P173" s="345"/>
      <c r="Q173" s="345"/>
      <c r="R173" s="345"/>
      <c r="S173" s="345"/>
    </row>
    <row r="174" spans="1:19" ht="17.399999999999999">
      <c r="A174" s="344" t="s">
        <v>244</v>
      </c>
      <c r="B174" s="669">
        <f t="shared" ref="B174:R174" si="53">B170/B172</f>
        <v>0.95840000000000003</v>
      </c>
      <c r="C174" s="669">
        <f t="shared" si="53"/>
        <v>0.7860869565217391</v>
      </c>
      <c r="D174" s="669">
        <f t="shared" si="53"/>
        <v>0.94333333333333336</v>
      </c>
      <c r="E174" s="669">
        <f t="shared" si="53"/>
        <v>0.7158620689655173</v>
      </c>
      <c r="F174" s="669">
        <f t="shared" si="53"/>
        <v>0.84827586206896555</v>
      </c>
      <c r="G174" s="669">
        <f t="shared" si="53"/>
        <v>0.88639999999999997</v>
      </c>
      <c r="H174" s="669">
        <f t="shared" si="53"/>
        <v>0.87285714285714289</v>
      </c>
      <c r="I174" s="669">
        <f t="shared" si="53"/>
        <v>0.7807757166947723</v>
      </c>
      <c r="J174" s="669">
        <f t="shared" si="53"/>
        <v>0.81599999999999995</v>
      </c>
      <c r="K174" s="669">
        <f t="shared" si="53"/>
        <v>0.89055472263868063</v>
      </c>
      <c r="L174" s="669">
        <f t="shared" si="53"/>
        <v>0.88657407407407407</v>
      </c>
      <c r="M174" s="669">
        <f t="shared" si="53"/>
        <v>0.95250320924261878</v>
      </c>
      <c r="N174" s="669">
        <f t="shared" si="53"/>
        <v>1.0291005291005291</v>
      </c>
      <c r="O174" s="669">
        <f t="shared" si="53"/>
        <v>0.76085240726124703</v>
      </c>
      <c r="P174" s="669">
        <f t="shared" si="53"/>
        <v>1.0187290969899665</v>
      </c>
      <c r="Q174" s="669">
        <f t="shared" si="53"/>
        <v>1.255152109911678</v>
      </c>
      <c r="R174" s="669">
        <f t="shared" si="53"/>
        <v>0.75</v>
      </c>
      <c r="S174" s="668">
        <f>S170/S172</f>
        <v>0.91037699183832099</v>
      </c>
    </row>
    <row r="175" spans="1:19" ht="17.399999999999999">
      <c r="A175" s="345"/>
      <c r="B175" s="345"/>
      <c r="C175" s="345"/>
      <c r="D175" s="666"/>
      <c r="E175" s="666"/>
      <c r="F175" s="666"/>
      <c r="G175" s="666"/>
      <c r="H175" s="666"/>
      <c r="I175" s="666"/>
      <c r="J175" s="666"/>
      <c r="K175" s="666"/>
      <c r="L175" s="345"/>
      <c r="M175" s="345"/>
      <c r="N175" s="345"/>
      <c r="O175" s="345"/>
      <c r="P175" s="345"/>
      <c r="Q175" s="345"/>
      <c r="R175" s="345"/>
      <c r="S175" s="345"/>
    </row>
    <row r="176" spans="1:19" ht="17.399999999999999">
      <c r="A176" s="686"/>
      <c r="B176" s="669"/>
      <c r="C176" s="669"/>
      <c r="D176" s="669"/>
      <c r="E176" s="669"/>
      <c r="F176" s="669"/>
      <c r="G176" s="669"/>
      <c r="H176" s="669"/>
      <c r="I176" s="669"/>
      <c r="J176" s="669"/>
      <c r="K176" s="669"/>
      <c r="L176" s="668"/>
      <c r="M176" s="668"/>
      <c r="N176" s="668"/>
      <c r="O176" s="668"/>
      <c r="P176" s="668"/>
      <c r="Q176" s="668"/>
      <c r="R176" s="668"/>
      <c r="S176" s="668"/>
    </row>
    <row r="177" spans="1:19">
      <c r="B177" s="82"/>
      <c r="C177" s="82"/>
      <c r="D177" s="82"/>
      <c r="E177" s="82"/>
      <c r="F177" s="82"/>
      <c r="G177" s="82"/>
      <c r="H177" s="82"/>
      <c r="I177" s="82"/>
      <c r="J177" s="82"/>
      <c r="K177" s="82"/>
    </row>
    <row r="178" spans="1:19" ht="17.399999999999999">
      <c r="C178" s="121" t="s">
        <v>227</v>
      </c>
      <c r="D178" s="67"/>
      <c r="E178" s="67"/>
      <c r="F178" s="67"/>
      <c r="G178" s="67"/>
      <c r="H178" s="67"/>
      <c r="L178" s="67"/>
      <c r="M178" s="67" t="str">
        <f>F83</f>
        <v>2028-29</v>
      </c>
    </row>
    <row r="179" spans="1:19" ht="17.399999999999999">
      <c r="C179" s="121" t="s">
        <v>240</v>
      </c>
      <c r="D179" s="67"/>
      <c r="E179" s="67"/>
      <c r="F179" s="67"/>
      <c r="G179" s="67"/>
      <c r="H179" s="67"/>
      <c r="I179" s="67"/>
      <c r="J179" s="67"/>
      <c r="K179" s="67"/>
    </row>
    <row r="180" spans="1:19" ht="17.399999999999999">
      <c r="C180" s="67"/>
      <c r="D180" s="67" t="str">
        <f>A41</f>
        <v xml:space="preserve">    FIVE YEAR AVERAGE PERCENTAGE OF SURVIVAL</v>
      </c>
      <c r="E180" s="67"/>
      <c r="F180" s="67"/>
      <c r="G180" s="67"/>
      <c r="H180" s="67"/>
      <c r="I180" s="67"/>
      <c r="J180" s="67"/>
      <c r="K180" s="67"/>
    </row>
    <row r="182" spans="1:19" ht="17.399999999999999">
      <c r="A182" s="543" t="s">
        <v>24</v>
      </c>
      <c r="B182" s="813" t="s">
        <v>25</v>
      </c>
      <c r="C182" s="813"/>
      <c r="D182" s="813"/>
      <c r="E182" s="813"/>
      <c r="F182" s="813"/>
      <c r="G182" s="813"/>
      <c r="H182" s="813"/>
      <c r="I182" s="813"/>
      <c r="J182" s="813"/>
      <c r="K182" s="813" t="s">
        <v>241</v>
      </c>
      <c r="L182" s="813"/>
      <c r="M182" s="813"/>
      <c r="N182" s="813"/>
      <c r="O182" s="813" t="s">
        <v>242</v>
      </c>
      <c r="P182" s="813"/>
      <c r="Q182" s="813"/>
      <c r="R182" s="595"/>
      <c r="S182" s="546" t="s">
        <v>243</v>
      </c>
    </row>
    <row r="183" spans="1:19" s="82" customFormat="1" ht="17.399999999999999">
      <c r="A183" s="596"/>
      <c r="B183" s="550" t="s">
        <v>289</v>
      </c>
      <c r="C183" s="550" t="s">
        <v>357</v>
      </c>
      <c r="D183" s="550" t="s">
        <v>358</v>
      </c>
      <c r="E183" s="550" t="s">
        <v>359</v>
      </c>
      <c r="F183" s="550" t="s">
        <v>360</v>
      </c>
      <c r="G183" s="550" t="s">
        <v>370</v>
      </c>
      <c r="H183" s="550" t="s">
        <v>356</v>
      </c>
      <c r="I183" s="550" t="s">
        <v>361</v>
      </c>
      <c r="J183" s="550" t="s">
        <v>406</v>
      </c>
      <c r="K183" s="550" t="s">
        <v>363</v>
      </c>
      <c r="L183" s="550" t="s">
        <v>36</v>
      </c>
      <c r="M183" s="550" t="s">
        <v>86</v>
      </c>
      <c r="N183" s="550" t="s">
        <v>99</v>
      </c>
      <c r="O183" s="550" t="s">
        <v>346</v>
      </c>
      <c r="P183" s="550" t="s">
        <v>90</v>
      </c>
      <c r="Q183" s="550" t="s">
        <v>103</v>
      </c>
      <c r="R183" s="550" t="s">
        <v>343</v>
      </c>
      <c r="S183" s="597"/>
    </row>
    <row r="184" spans="1:19" ht="17.399999999999999">
      <c r="A184" s="345"/>
      <c r="B184" s="345"/>
      <c r="C184" s="345"/>
      <c r="D184" s="345"/>
      <c r="E184" s="345"/>
      <c r="F184" s="345"/>
      <c r="G184" s="345"/>
      <c r="H184" s="345"/>
      <c r="I184" s="345"/>
      <c r="J184" s="345"/>
      <c r="K184" s="345"/>
      <c r="L184" s="345"/>
      <c r="M184" s="345"/>
      <c r="N184" s="345"/>
      <c r="O184" s="345"/>
      <c r="P184" s="345"/>
      <c r="Q184" s="345"/>
      <c r="R184" s="345"/>
      <c r="S184" s="345"/>
    </row>
    <row r="185" spans="1:19" ht="17.399999999999999">
      <c r="A185" s="555" t="s">
        <v>391</v>
      </c>
      <c r="B185" s="666">
        <f>ROUND(B170/(SUM($B$170:$J$170))*($S$185),0)+1</f>
        <v>103</v>
      </c>
      <c r="C185" s="666">
        <f t="shared" ref="C185:J185" si="54">ROUND(C170/(SUM($B$170:$J$170))*($S$185),0)</f>
        <v>77</v>
      </c>
      <c r="D185" s="666">
        <f t="shared" si="54"/>
        <v>97</v>
      </c>
      <c r="E185" s="666">
        <f t="shared" si="54"/>
        <v>88</v>
      </c>
      <c r="F185" s="666">
        <f t="shared" si="54"/>
        <v>105</v>
      </c>
      <c r="G185" s="666">
        <f t="shared" si="54"/>
        <v>94</v>
      </c>
      <c r="H185" s="666">
        <f t="shared" si="54"/>
        <v>104</v>
      </c>
      <c r="I185" s="666">
        <f t="shared" si="54"/>
        <v>79</v>
      </c>
      <c r="J185" s="666">
        <f t="shared" si="54"/>
        <v>104</v>
      </c>
      <c r="K185" s="710"/>
      <c r="L185" s="345"/>
      <c r="M185" s="345"/>
      <c r="N185" s="345"/>
      <c r="O185" s="345"/>
      <c r="P185" s="345"/>
      <c r="Q185" s="345"/>
      <c r="R185" s="345"/>
      <c r="S185" s="345">
        <f t="shared" ref="S185:S198" si="55">F87</f>
        <v>851</v>
      </c>
    </row>
    <row r="186" spans="1:19" ht="17.399999999999999">
      <c r="A186" s="555">
        <v>1</v>
      </c>
      <c r="B186" s="666">
        <f t="shared" ref="B186:I190" si="56">ROUND((B155/$S155)*($S186),0)</f>
        <v>106</v>
      </c>
      <c r="C186" s="666">
        <f t="shared" si="56"/>
        <v>77</v>
      </c>
      <c r="D186" s="666">
        <f t="shared" si="56"/>
        <v>94</v>
      </c>
      <c r="E186" s="666">
        <f t="shared" si="56"/>
        <v>90</v>
      </c>
      <c r="F186" s="666">
        <f t="shared" si="56"/>
        <v>105</v>
      </c>
      <c r="G186" s="666">
        <f t="shared" si="56"/>
        <v>94</v>
      </c>
      <c r="H186" s="666">
        <f t="shared" si="56"/>
        <v>103</v>
      </c>
      <c r="I186" s="666">
        <f t="shared" si="56"/>
        <v>81</v>
      </c>
      <c r="J186" s="710">
        <f>S186-(SUM(B186:I186))</f>
        <v>102</v>
      </c>
      <c r="K186" s="710"/>
      <c r="L186" s="345"/>
      <c r="M186" s="345"/>
      <c r="N186" s="345"/>
      <c r="O186" s="345"/>
      <c r="P186" s="345"/>
      <c r="Q186" s="345"/>
      <c r="R186" s="345"/>
      <c r="S186" s="667">
        <f t="shared" si="55"/>
        <v>852</v>
      </c>
    </row>
    <row r="187" spans="1:19" ht="17.399999999999999">
      <c r="A187" s="555">
        <v>2</v>
      </c>
      <c r="B187" s="666">
        <f t="shared" si="56"/>
        <v>110</v>
      </c>
      <c r="C187" s="666">
        <f t="shared" si="56"/>
        <v>81</v>
      </c>
      <c r="D187" s="666">
        <f t="shared" si="56"/>
        <v>97</v>
      </c>
      <c r="E187" s="666">
        <f t="shared" si="56"/>
        <v>95</v>
      </c>
      <c r="F187" s="666">
        <f t="shared" si="56"/>
        <v>109</v>
      </c>
      <c r="G187" s="666">
        <f t="shared" si="56"/>
        <v>99</v>
      </c>
      <c r="H187" s="666">
        <f t="shared" si="56"/>
        <v>108</v>
      </c>
      <c r="I187" s="666">
        <f t="shared" si="56"/>
        <v>80</v>
      </c>
      <c r="J187" s="710">
        <f>S187-(SUM(B187:I187))</f>
        <v>107</v>
      </c>
      <c r="K187" s="710"/>
      <c r="L187" s="345"/>
      <c r="M187" s="345"/>
      <c r="N187" s="345"/>
      <c r="O187" s="345"/>
      <c r="P187" s="345"/>
      <c r="Q187" s="345"/>
      <c r="R187" s="345"/>
      <c r="S187" s="667">
        <f t="shared" si="55"/>
        <v>886</v>
      </c>
    </row>
    <row r="188" spans="1:19" ht="17.399999999999999">
      <c r="A188" s="555">
        <v>3</v>
      </c>
      <c r="B188" s="666">
        <f t="shared" si="56"/>
        <v>91</v>
      </c>
      <c r="C188" s="666">
        <f t="shared" si="56"/>
        <v>67</v>
      </c>
      <c r="D188" s="666">
        <f t="shared" si="56"/>
        <v>93</v>
      </c>
      <c r="E188" s="666">
        <f t="shared" si="56"/>
        <v>76</v>
      </c>
      <c r="F188" s="666">
        <f t="shared" si="56"/>
        <v>97</v>
      </c>
      <c r="G188" s="666">
        <f t="shared" si="56"/>
        <v>86</v>
      </c>
      <c r="H188" s="666">
        <f t="shared" si="56"/>
        <v>86</v>
      </c>
      <c r="I188" s="666">
        <f t="shared" si="56"/>
        <v>80</v>
      </c>
      <c r="J188" s="710">
        <f>S188-(SUM(B188:I188))</f>
        <v>110</v>
      </c>
      <c r="K188" s="710"/>
      <c r="L188" s="345"/>
      <c r="M188" s="345"/>
      <c r="N188" s="345"/>
      <c r="O188" s="345"/>
      <c r="P188" s="345"/>
      <c r="Q188" s="345"/>
      <c r="R188" s="345"/>
      <c r="S188" s="667">
        <f t="shared" si="55"/>
        <v>786</v>
      </c>
    </row>
    <row r="189" spans="1:19" ht="17.399999999999999">
      <c r="A189" s="555">
        <v>4</v>
      </c>
      <c r="B189" s="666">
        <f t="shared" si="56"/>
        <v>90</v>
      </c>
      <c r="C189" s="666">
        <f t="shared" si="56"/>
        <v>75</v>
      </c>
      <c r="D189" s="666">
        <f t="shared" si="56"/>
        <v>93</v>
      </c>
      <c r="E189" s="666">
        <f t="shared" si="56"/>
        <v>81</v>
      </c>
      <c r="F189" s="666">
        <f t="shared" si="56"/>
        <v>92</v>
      </c>
      <c r="G189" s="666">
        <f t="shared" si="56"/>
        <v>95</v>
      </c>
      <c r="H189" s="666">
        <f t="shared" si="56"/>
        <v>97</v>
      </c>
      <c r="I189" s="666">
        <f t="shared" si="56"/>
        <v>78</v>
      </c>
      <c r="J189" s="710">
        <f>S189-(SUM(B189:I189))</f>
        <v>89</v>
      </c>
      <c r="K189" s="710"/>
      <c r="L189" s="345"/>
      <c r="M189" s="345"/>
      <c r="N189" s="345"/>
      <c r="O189" s="345"/>
      <c r="P189" s="345"/>
      <c r="Q189" s="345"/>
      <c r="R189" s="345"/>
      <c r="S189" s="667">
        <f t="shared" si="55"/>
        <v>790</v>
      </c>
    </row>
    <row r="190" spans="1:19" ht="17.399999999999999">
      <c r="A190" s="555">
        <v>5</v>
      </c>
      <c r="B190" s="666">
        <f t="shared" si="56"/>
        <v>110</v>
      </c>
      <c r="C190" s="666">
        <f t="shared" si="56"/>
        <v>78</v>
      </c>
      <c r="D190" s="666">
        <f t="shared" si="56"/>
        <v>102</v>
      </c>
      <c r="E190" s="666">
        <f t="shared" si="56"/>
        <v>100</v>
      </c>
      <c r="F190" s="666">
        <f t="shared" si="56"/>
        <v>110</v>
      </c>
      <c r="G190" s="666">
        <f t="shared" si="56"/>
        <v>86</v>
      </c>
      <c r="H190" s="666">
        <f t="shared" si="56"/>
        <v>104</v>
      </c>
      <c r="I190" s="666">
        <f t="shared" si="56"/>
        <v>74</v>
      </c>
      <c r="J190" s="710">
        <f>S190-(SUM(B190:I190))</f>
        <v>103</v>
      </c>
      <c r="K190" s="710"/>
      <c r="L190" s="345"/>
      <c r="M190" s="345"/>
      <c r="O190" s="345"/>
      <c r="P190" s="345"/>
      <c r="Q190" s="345"/>
      <c r="R190" s="345"/>
      <c r="S190" s="667">
        <f t="shared" si="55"/>
        <v>867</v>
      </c>
    </row>
    <row r="191" spans="1:19" ht="17.399999999999999">
      <c r="A191" s="555">
        <v>6</v>
      </c>
      <c r="B191" s="345"/>
      <c r="C191" s="345"/>
      <c r="D191" s="345"/>
      <c r="E191" s="345"/>
      <c r="F191" s="345"/>
      <c r="G191" s="345"/>
      <c r="H191" s="345"/>
      <c r="I191" s="345"/>
      <c r="J191" s="345"/>
      <c r="K191" s="346">
        <f>ROUND((ENRHIST!J1013)/($S160)*($S191),0)</f>
        <v>209</v>
      </c>
      <c r="L191" s="346">
        <f>ROUND((ENRHIST!K1013)/($S160)*($S191),0)</f>
        <v>262</v>
      </c>
      <c r="M191" s="346">
        <f>ROUND((ENRHIST!L1013)/($S160)*($S191),0)</f>
        <v>251</v>
      </c>
      <c r="N191" s="346">
        <f>ROUND((ENRHIST!M1013)/($S160)*($S191),0)</f>
        <v>237</v>
      </c>
      <c r="O191" s="345"/>
      <c r="P191" s="345"/>
      <c r="Q191" s="345"/>
      <c r="R191" s="767">
        <f t="shared" ref="R191:R197" si="57">S191-SUM(K191:Q191)</f>
        <v>4</v>
      </c>
      <c r="S191" s="667">
        <f t="shared" si="55"/>
        <v>963</v>
      </c>
    </row>
    <row r="192" spans="1:19" ht="17.399999999999999">
      <c r="A192" s="555">
        <v>7</v>
      </c>
      <c r="B192" s="345"/>
      <c r="C192" s="345"/>
      <c r="D192" s="345"/>
      <c r="E192" s="345"/>
      <c r="F192" s="345"/>
      <c r="G192" s="345"/>
      <c r="H192" s="345"/>
      <c r="I192" s="345"/>
      <c r="J192" s="345"/>
      <c r="K192" s="346">
        <f>ROUND((K161/$S161)*($S192),0)</f>
        <v>204</v>
      </c>
      <c r="L192" s="346">
        <f t="shared" ref="L192:N192" si="58">ROUND((L161/$S161)*($S192),0)</f>
        <v>255</v>
      </c>
      <c r="M192" s="346">
        <f t="shared" si="58"/>
        <v>249</v>
      </c>
      <c r="N192" s="346">
        <f t="shared" si="58"/>
        <v>237</v>
      </c>
      <c r="O192" s="345"/>
      <c r="P192" s="345"/>
      <c r="Q192" s="345"/>
      <c r="R192" s="767">
        <f t="shared" si="57"/>
        <v>3</v>
      </c>
      <c r="S192" s="667">
        <f t="shared" si="55"/>
        <v>948</v>
      </c>
    </row>
    <row r="193" spans="1:19" ht="17.399999999999999">
      <c r="A193" s="555">
        <v>8</v>
      </c>
      <c r="B193" s="345"/>
      <c r="C193" s="345"/>
      <c r="D193" s="345"/>
      <c r="E193" s="345"/>
      <c r="F193" s="345"/>
      <c r="G193" s="345"/>
      <c r="H193" s="345"/>
      <c r="I193" s="345"/>
      <c r="J193" s="345"/>
      <c r="K193" s="346">
        <f>ROUND((K162/$S162)*($S193),0)</f>
        <v>214</v>
      </c>
      <c r="L193" s="346">
        <f t="shared" ref="L193:N193" si="59">ROUND((L162/$S162)*($S193),0)</f>
        <v>265</v>
      </c>
      <c r="M193" s="346">
        <f t="shared" si="59"/>
        <v>261</v>
      </c>
      <c r="N193" s="346">
        <f t="shared" si="59"/>
        <v>243</v>
      </c>
      <c r="O193" s="345"/>
      <c r="P193" s="345"/>
      <c r="Q193" s="345"/>
      <c r="R193" s="767">
        <f t="shared" si="57"/>
        <v>-1</v>
      </c>
      <c r="S193" s="667">
        <f t="shared" si="55"/>
        <v>982</v>
      </c>
    </row>
    <row r="194" spans="1:19" ht="17.399999999999999">
      <c r="A194" s="555">
        <v>9</v>
      </c>
      <c r="B194" s="345"/>
      <c r="C194" s="345"/>
      <c r="D194" s="345"/>
      <c r="E194" s="345"/>
      <c r="F194" s="345"/>
      <c r="G194" s="345"/>
      <c r="H194" s="345"/>
      <c r="I194" s="345"/>
      <c r="J194" s="345"/>
      <c r="K194" s="345"/>
      <c r="L194" s="345"/>
      <c r="M194" s="345"/>
      <c r="N194" s="345"/>
      <c r="O194" s="346">
        <f>ROUND((ENRHIST!J1176/$S163)*($S194),0)</f>
        <v>272</v>
      </c>
      <c r="P194" s="346">
        <f>ROUND((ENRHIST!K1176/$S163)*($S194),0)</f>
        <v>403</v>
      </c>
      <c r="Q194" s="346">
        <f>ROUND((ENRHIST!L1176/$S163)*($S194),0)</f>
        <v>285</v>
      </c>
      <c r="R194" s="767">
        <f t="shared" si="57"/>
        <v>31</v>
      </c>
      <c r="S194" s="667">
        <f t="shared" si="55"/>
        <v>991</v>
      </c>
    </row>
    <row r="195" spans="1:19" ht="17.399999999999999">
      <c r="A195" s="555">
        <v>10</v>
      </c>
      <c r="B195" s="345"/>
      <c r="C195" s="345"/>
      <c r="D195" s="345"/>
      <c r="E195" s="345"/>
      <c r="F195" s="345"/>
      <c r="G195" s="345"/>
      <c r="H195" s="345"/>
      <c r="I195" s="345"/>
      <c r="J195" s="345"/>
      <c r="K195" s="345"/>
      <c r="L195" s="345"/>
      <c r="M195" s="345"/>
      <c r="N195" s="345"/>
      <c r="O195" s="346">
        <f>ROUND((O164/$S164)*($S195),0)</f>
        <v>263</v>
      </c>
      <c r="P195" s="346">
        <f t="shared" ref="P195:Q195" si="60">ROUND((P164/$S164)*($S195),0)</f>
        <v>401</v>
      </c>
      <c r="Q195" s="346">
        <f t="shared" si="60"/>
        <v>291</v>
      </c>
      <c r="R195" s="767">
        <f t="shared" si="57"/>
        <v>30</v>
      </c>
      <c r="S195" s="667">
        <f t="shared" si="55"/>
        <v>985</v>
      </c>
    </row>
    <row r="196" spans="1:19" ht="17.399999999999999">
      <c r="A196" s="555">
        <v>11</v>
      </c>
      <c r="B196" s="345"/>
      <c r="C196" s="345"/>
      <c r="D196" s="345"/>
      <c r="E196" s="345"/>
      <c r="F196" s="345"/>
      <c r="G196" s="345"/>
      <c r="H196" s="345"/>
      <c r="I196" s="345"/>
      <c r="J196" s="345"/>
      <c r="K196" s="345"/>
      <c r="L196" s="345"/>
      <c r="M196" s="345"/>
      <c r="N196" s="345"/>
      <c r="O196" s="346">
        <f>ROUND((O165/$S165)*($S196),0)</f>
        <v>237</v>
      </c>
      <c r="P196" s="346">
        <f t="shared" ref="P196:Q196" si="61">ROUND((P165/$S165)*($S196),0)</f>
        <v>376</v>
      </c>
      <c r="Q196" s="346">
        <f t="shared" si="61"/>
        <v>285</v>
      </c>
      <c r="R196" s="767">
        <f t="shared" si="57"/>
        <v>12</v>
      </c>
      <c r="S196" s="667">
        <f t="shared" si="55"/>
        <v>910</v>
      </c>
    </row>
    <row r="197" spans="1:19" ht="17.399999999999999">
      <c r="A197" s="555">
        <v>12</v>
      </c>
      <c r="B197" s="345"/>
      <c r="C197" s="345"/>
      <c r="D197" s="345"/>
      <c r="E197" s="345"/>
      <c r="F197" s="345"/>
      <c r="G197" s="345"/>
      <c r="H197" s="345"/>
      <c r="I197" s="345"/>
      <c r="J197" s="345"/>
      <c r="K197" s="345"/>
      <c r="L197" s="345"/>
      <c r="M197" s="345"/>
      <c r="N197" s="345"/>
      <c r="O197" s="346">
        <f>ROUND((O166/$S166)*($S197),0)</f>
        <v>214</v>
      </c>
      <c r="P197" s="346">
        <f t="shared" ref="P197:Q197" si="62">ROUND((P166/$S166)*($S197),0)</f>
        <v>368</v>
      </c>
      <c r="Q197" s="346">
        <f t="shared" si="62"/>
        <v>331</v>
      </c>
      <c r="R197" s="767">
        <f t="shared" si="57"/>
        <v>15</v>
      </c>
      <c r="S197" s="667">
        <f t="shared" si="55"/>
        <v>928</v>
      </c>
    </row>
    <row r="198" spans="1:19" ht="17.399999999999999">
      <c r="A198" s="344" t="s">
        <v>50</v>
      </c>
      <c r="B198" s="666">
        <f t="shared" ref="B198:J198" si="63">ROUND((B23/$S$23)*$S$198,0)</f>
        <v>0</v>
      </c>
      <c r="C198" s="666">
        <f t="shared" si="63"/>
        <v>0</v>
      </c>
      <c r="D198" s="666">
        <f t="shared" si="63"/>
        <v>0</v>
      </c>
      <c r="E198" s="666">
        <f t="shared" si="63"/>
        <v>0</v>
      </c>
      <c r="F198" s="666">
        <f t="shared" si="63"/>
        <v>0</v>
      </c>
      <c r="G198" s="666">
        <f t="shared" si="63"/>
        <v>0</v>
      </c>
      <c r="H198" s="666">
        <f t="shared" si="63"/>
        <v>0</v>
      </c>
      <c r="I198" s="666">
        <f t="shared" si="63"/>
        <v>0</v>
      </c>
      <c r="J198" s="666">
        <f t="shared" si="63"/>
        <v>0</v>
      </c>
      <c r="K198" s="666">
        <f>ROUND((J23/$S$23)*$S$198,0)</f>
        <v>0</v>
      </c>
      <c r="L198" s="666">
        <f>ROUND((K23/$S$23)*$S$198,0)</f>
        <v>0</v>
      </c>
      <c r="M198" s="666">
        <f>ROUND((L23/$S$23)*$S$198,0)</f>
        <v>0</v>
      </c>
      <c r="N198" s="666">
        <f>ROUND((M23/$S$23)*$S$198,0)</f>
        <v>0</v>
      </c>
      <c r="O198" s="666">
        <f>ROUND((O23/$S$23)*$S$198,0)</f>
        <v>6</v>
      </c>
      <c r="P198" s="666">
        <f>ROUND((P23/$S$23)*$S$198,0)</f>
        <v>9</v>
      </c>
      <c r="Q198" s="666">
        <f>ROUND((Q23/$S$23)*$S$198,0)</f>
        <v>7</v>
      </c>
      <c r="R198" s="345"/>
      <c r="S198" s="345">
        <f t="shared" si="55"/>
        <v>22</v>
      </c>
    </row>
    <row r="199" spans="1:19" ht="17.399999999999999">
      <c r="A199" s="556"/>
      <c r="B199" s="557"/>
      <c r="C199" s="544"/>
      <c r="D199" s="544"/>
      <c r="E199" s="544"/>
      <c r="F199" s="544"/>
      <c r="G199" s="544"/>
      <c r="H199" s="544"/>
      <c r="I199" s="544"/>
      <c r="J199" s="544"/>
      <c r="K199" s="544"/>
      <c r="L199" s="557"/>
      <c r="M199" s="557"/>
      <c r="N199" s="557"/>
      <c r="O199" s="557"/>
      <c r="P199" s="557"/>
      <c r="Q199" s="557"/>
      <c r="R199" s="557"/>
      <c r="S199" s="558"/>
    </row>
    <row r="200" spans="1:19" ht="17.399999999999999">
      <c r="A200" s="708" t="s">
        <v>51</v>
      </c>
      <c r="B200" s="680">
        <f>SUM(B185:B197)</f>
        <v>610</v>
      </c>
      <c r="C200" s="680">
        <f t="shared" ref="C200:N200" si="64">SUM(C185:C197)</f>
        <v>455</v>
      </c>
      <c r="D200" s="680">
        <f t="shared" si="64"/>
        <v>576</v>
      </c>
      <c r="E200" s="680">
        <f t="shared" si="64"/>
        <v>530</v>
      </c>
      <c r="F200" s="680">
        <f t="shared" si="64"/>
        <v>618</v>
      </c>
      <c r="G200" s="680">
        <f t="shared" si="64"/>
        <v>554</v>
      </c>
      <c r="H200" s="680">
        <f t="shared" si="64"/>
        <v>602</v>
      </c>
      <c r="I200" s="680">
        <f t="shared" si="64"/>
        <v>472</v>
      </c>
      <c r="J200" s="680">
        <f t="shared" si="64"/>
        <v>615</v>
      </c>
      <c r="K200" s="680">
        <f t="shared" si="64"/>
        <v>627</v>
      </c>
      <c r="L200" s="680">
        <f t="shared" si="64"/>
        <v>782</v>
      </c>
      <c r="M200" s="680">
        <f t="shared" si="64"/>
        <v>761</v>
      </c>
      <c r="N200" s="680">
        <f t="shared" si="64"/>
        <v>717</v>
      </c>
      <c r="O200" s="680">
        <f>SUM(O185:O198)</f>
        <v>992</v>
      </c>
      <c r="P200" s="680">
        <f>SUM(P185:P198)</f>
        <v>1557</v>
      </c>
      <c r="Q200" s="680">
        <f>SUM(Q185:Q198)</f>
        <v>1199</v>
      </c>
      <c r="R200" s="560">
        <f>SUM(R185:R198)</f>
        <v>94</v>
      </c>
      <c r="S200" s="561">
        <f>F103</f>
        <v>11761</v>
      </c>
    </row>
    <row r="201" spans="1:19" ht="17.399999999999999">
      <c r="A201" s="345"/>
      <c r="B201" s="345"/>
      <c r="C201" s="666"/>
      <c r="D201" s="666"/>
      <c r="E201" s="666"/>
      <c r="F201" s="666"/>
      <c r="G201" s="666"/>
      <c r="H201" s="666"/>
      <c r="I201" s="666"/>
      <c r="J201" s="666"/>
      <c r="K201" s="666"/>
      <c r="L201" s="345"/>
      <c r="M201" s="345"/>
      <c r="N201" s="345"/>
      <c r="O201" s="345"/>
      <c r="P201" s="345"/>
      <c r="Q201" s="345"/>
      <c r="R201" s="345"/>
      <c r="S201" s="345"/>
    </row>
    <row r="202" spans="1:19" ht="17.399999999999999">
      <c r="A202" s="344" t="s">
        <v>115</v>
      </c>
      <c r="B202" s="684">
        <f t="shared" ref="B202:R202" si="65">B172</f>
        <v>625</v>
      </c>
      <c r="C202" s="684">
        <f t="shared" si="65"/>
        <v>575</v>
      </c>
      <c r="D202" s="684">
        <f t="shared" si="65"/>
        <v>600</v>
      </c>
      <c r="E202" s="684">
        <f t="shared" si="65"/>
        <v>725</v>
      </c>
      <c r="F202" s="684">
        <f t="shared" si="65"/>
        <v>725</v>
      </c>
      <c r="G202" s="684">
        <f t="shared" si="65"/>
        <v>625</v>
      </c>
      <c r="H202" s="684">
        <f t="shared" si="65"/>
        <v>700</v>
      </c>
      <c r="I202" s="684">
        <f t="shared" si="65"/>
        <v>593</v>
      </c>
      <c r="J202" s="684">
        <f t="shared" si="65"/>
        <v>750</v>
      </c>
      <c r="K202" s="684">
        <f t="shared" si="65"/>
        <v>667</v>
      </c>
      <c r="L202" s="684">
        <f t="shared" si="65"/>
        <v>864</v>
      </c>
      <c r="M202" s="684">
        <f t="shared" si="65"/>
        <v>779</v>
      </c>
      <c r="N202" s="684">
        <f t="shared" si="65"/>
        <v>756</v>
      </c>
      <c r="O202" s="684">
        <f t="shared" si="65"/>
        <v>1267</v>
      </c>
      <c r="P202" s="684">
        <f t="shared" si="65"/>
        <v>1495</v>
      </c>
      <c r="Q202" s="684">
        <f t="shared" si="65"/>
        <v>1019</v>
      </c>
      <c r="R202" s="684">
        <f t="shared" si="65"/>
        <v>100</v>
      </c>
      <c r="S202" s="346">
        <f>SUM(B202:R202)</f>
        <v>12865</v>
      </c>
    </row>
    <row r="203" spans="1:19" ht="17.399999999999999">
      <c r="A203" s="345"/>
      <c r="B203" s="345"/>
      <c r="C203" s="666"/>
      <c r="D203" s="666"/>
      <c r="E203" s="666"/>
      <c r="F203" s="666"/>
      <c r="G203" s="666"/>
      <c r="H203" s="666"/>
      <c r="I203" s="666"/>
      <c r="J203" s="666"/>
      <c r="K203" s="666"/>
      <c r="L203" s="345"/>
      <c r="M203" s="345"/>
      <c r="N203" s="345"/>
      <c r="O203" s="345"/>
      <c r="P203" s="345"/>
      <c r="Q203" s="345"/>
      <c r="R203" s="345"/>
      <c r="S203" s="345"/>
    </row>
    <row r="204" spans="1:19" ht="17.399999999999999">
      <c r="A204" s="344" t="s">
        <v>244</v>
      </c>
      <c r="B204" s="669">
        <f t="shared" ref="B204:R204" si="66">B200/B202</f>
        <v>0.97599999999999998</v>
      </c>
      <c r="C204" s="669">
        <f t="shared" si="66"/>
        <v>0.79130434782608694</v>
      </c>
      <c r="D204" s="669">
        <f t="shared" si="66"/>
        <v>0.96</v>
      </c>
      <c r="E204" s="669">
        <f t="shared" si="66"/>
        <v>0.73103448275862071</v>
      </c>
      <c r="F204" s="669">
        <f t="shared" si="66"/>
        <v>0.85241379310344823</v>
      </c>
      <c r="G204" s="669">
        <f t="shared" si="66"/>
        <v>0.88639999999999997</v>
      </c>
      <c r="H204" s="669">
        <f t="shared" si="66"/>
        <v>0.86</v>
      </c>
      <c r="I204" s="669">
        <f t="shared" si="66"/>
        <v>0.79595278246205736</v>
      </c>
      <c r="J204" s="669">
        <f t="shared" si="66"/>
        <v>0.82</v>
      </c>
      <c r="K204" s="669">
        <f t="shared" si="66"/>
        <v>0.94002998500749624</v>
      </c>
      <c r="L204" s="669">
        <f t="shared" si="66"/>
        <v>0.90509259259259256</v>
      </c>
      <c r="M204" s="669">
        <f t="shared" si="66"/>
        <v>0.97689345314505782</v>
      </c>
      <c r="N204" s="669">
        <f t="shared" si="66"/>
        <v>0.94841269841269837</v>
      </c>
      <c r="O204" s="669">
        <f t="shared" si="66"/>
        <v>0.78295185477505924</v>
      </c>
      <c r="P204" s="669">
        <f t="shared" si="66"/>
        <v>1.0414715719063545</v>
      </c>
      <c r="Q204" s="669">
        <f t="shared" si="66"/>
        <v>1.1766437684003925</v>
      </c>
      <c r="R204" s="669">
        <f t="shared" si="66"/>
        <v>0.94</v>
      </c>
      <c r="S204" s="668">
        <f>S200/S202</f>
        <v>0.91418577535950252</v>
      </c>
    </row>
    <row r="205" spans="1:19" ht="17.399999999999999">
      <c r="A205" s="344"/>
      <c r="B205" s="669"/>
      <c r="C205" s="669"/>
      <c r="D205" s="669"/>
      <c r="E205" s="669"/>
      <c r="F205" s="669"/>
      <c r="G205" s="669"/>
      <c r="H205" s="669"/>
      <c r="I205" s="668"/>
      <c r="J205" s="668"/>
      <c r="K205" s="668"/>
      <c r="L205" s="668"/>
      <c r="M205" s="668"/>
      <c r="N205" s="668"/>
      <c r="O205" s="668"/>
      <c r="P205" s="668"/>
      <c r="Q205" s="668"/>
      <c r="R205" s="668"/>
      <c r="S205" s="668"/>
    </row>
    <row r="206" spans="1:19" ht="17.399999999999999">
      <c r="A206" s="686"/>
      <c r="B206" s="669"/>
      <c r="C206" s="669"/>
      <c r="D206" s="669"/>
      <c r="E206" s="669"/>
      <c r="F206" s="669"/>
      <c r="G206" s="669"/>
      <c r="H206" s="669"/>
      <c r="I206" s="668"/>
      <c r="J206" s="668"/>
      <c r="K206" s="668"/>
      <c r="L206" s="668"/>
      <c r="M206" s="668"/>
      <c r="N206" s="668"/>
      <c r="O206" s="668"/>
      <c r="P206" s="668"/>
      <c r="Q206" s="668"/>
      <c r="R206" s="668"/>
      <c r="S206" s="668"/>
    </row>
    <row r="207" spans="1:19">
      <c r="B207" s="82"/>
      <c r="C207" s="82"/>
      <c r="D207" s="82"/>
      <c r="E207" s="82"/>
      <c r="F207" s="82"/>
      <c r="G207" s="82"/>
      <c r="H207" s="82"/>
    </row>
    <row r="208" spans="1:19" ht="17.399999999999999">
      <c r="A208" s="819" t="s">
        <v>203</v>
      </c>
      <c r="B208" s="819"/>
      <c r="C208" s="819"/>
      <c r="D208" s="819"/>
      <c r="E208" s="819"/>
      <c r="F208" s="819"/>
      <c r="G208" s="819"/>
      <c r="H208" s="819"/>
      <c r="I208" s="819"/>
      <c r="J208" s="819"/>
      <c r="K208" s="819"/>
      <c r="L208" s="819"/>
      <c r="M208" s="819"/>
    </row>
    <row r="209" spans="1:13" ht="17.399999999999999">
      <c r="A209" s="819" t="str">
        <f>A41</f>
        <v xml:space="preserve">    FIVE YEAR AVERAGE PERCENTAGE OF SURVIVAL</v>
      </c>
      <c r="B209" s="819"/>
      <c r="C209" s="819"/>
      <c r="D209" s="819"/>
      <c r="E209" s="819"/>
      <c r="F209" s="819"/>
      <c r="G209" s="819"/>
      <c r="H209" s="819"/>
      <c r="I209" s="819"/>
      <c r="J209" s="819"/>
      <c r="K209" s="819"/>
      <c r="L209" s="819"/>
      <c r="M209" s="819"/>
    </row>
    <row r="210" spans="1:13" ht="17.399999999999999">
      <c r="A210" s="819" t="s">
        <v>245</v>
      </c>
      <c r="B210" s="819"/>
      <c r="C210" s="819"/>
      <c r="D210" s="819"/>
      <c r="E210" s="819"/>
      <c r="F210" s="819"/>
      <c r="G210" s="819"/>
      <c r="H210" s="819"/>
      <c r="I210" s="819"/>
      <c r="J210" s="819"/>
      <c r="K210" s="819"/>
      <c r="L210" s="819"/>
      <c r="M210" s="819"/>
    </row>
    <row r="212" spans="1:13">
      <c r="A212" s="706" t="s">
        <v>119</v>
      </c>
      <c r="B212" s="687"/>
      <c r="C212" s="687" t="s">
        <v>332</v>
      </c>
      <c r="D212" s="706" t="s">
        <v>121</v>
      </c>
      <c r="E212" s="706" t="s">
        <v>247</v>
      </c>
      <c r="F212" s="706" t="s">
        <v>248</v>
      </c>
      <c r="G212" s="706" t="s">
        <v>249</v>
      </c>
      <c r="H212" s="706" t="s">
        <v>250</v>
      </c>
      <c r="I212" s="706" t="s">
        <v>251</v>
      </c>
      <c r="J212" s="706" t="s">
        <v>252</v>
      </c>
      <c r="K212" s="706" t="s">
        <v>253</v>
      </c>
      <c r="L212" s="706" t="s">
        <v>254</v>
      </c>
      <c r="M212" s="706" t="s">
        <v>255</v>
      </c>
    </row>
    <row r="213" spans="1:13">
      <c r="A213" s="89"/>
      <c r="B213" s="89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</row>
    <row r="214" spans="1:13" ht="17.399999999999999">
      <c r="A214" s="543"/>
      <c r="B214" s="557" t="str">
        <f>B83</f>
        <v>5 YEAR AVE.</v>
      </c>
      <c r="C214" s="688" t="str">
        <f>C83</f>
        <v>2025-26</v>
      </c>
      <c r="D214" s="557" t="str">
        <f t="shared" ref="D214:M214" si="67">D83</f>
        <v>2026-27</v>
      </c>
      <c r="E214" s="557" t="str">
        <f t="shared" si="67"/>
        <v>2027-28</v>
      </c>
      <c r="F214" s="557" t="str">
        <f t="shared" si="67"/>
        <v>2028-29</v>
      </c>
      <c r="G214" s="557" t="str">
        <f t="shared" si="67"/>
        <v>2029-30</v>
      </c>
      <c r="H214" s="557" t="str">
        <f t="shared" si="67"/>
        <v>2030-31</v>
      </c>
      <c r="I214" s="557" t="str">
        <f t="shared" si="67"/>
        <v>2031-32</v>
      </c>
      <c r="J214" s="557" t="str">
        <f t="shared" si="67"/>
        <v>2032-33</v>
      </c>
      <c r="K214" s="557" t="str">
        <f t="shared" si="67"/>
        <v>2033-34</v>
      </c>
      <c r="L214" s="557" t="str">
        <f t="shared" si="67"/>
        <v>2034-35</v>
      </c>
      <c r="M214" s="558" t="str">
        <f t="shared" si="67"/>
        <v>2035-36</v>
      </c>
    </row>
    <row r="215" spans="1:13" ht="17.399999999999999">
      <c r="A215" s="689" t="s">
        <v>24</v>
      </c>
      <c r="B215" s="121" t="s">
        <v>110</v>
      </c>
      <c r="C215" s="712" t="s">
        <v>345</v>
      </c>
      <c r="D215" s="67"/>
      <c r="E215" s="67"/>
      <c r="F215" s="67"/>
      <c r="G215" s="67"/>
      <c r="H215" s="67"/>
      <c r="I215" s="67"/>
      <c r="J215" s="67"/>
      <c r="K215" s="67"/>
      <c r="L215" s="67"/>
      <c r="M215" s="690"/>
    </row>
    <row r="216" spans="1:13" ht="17.399999999999999">
      <c r="A216" s="547"/>
      <c r="B216" s="678" t="str">
        <f>B85</f>
        <v>SURVIVAL</v>
      </c>
      <c r="C216" s="691" t="str">
        <f>C85</f>
        <v>ENROLLED</v>
      </c>
      <c r="D216" s="678"/>
      <c r="E216" s="678"/>
      <c r="F216" s="678"/>
      <c r="G216" s="678"/>
      <c r="H216" s="678"/>
      <c r="I216" s="678"/>
      <c r="J216" s="678"/>
      <c r="K216" s="678"/>
      <c r="L216" s="678"/>
      <c r="M216" s="552"/>
    </row>
    <row r="217" spans="1:13" ht="17.399999999999999">
      <c r="A217" s="345"/>
      <c r="B217" s="345"/>
      <c r="C217" s="345"/>
      <c r="D217" s="345"/>
      <c r="E217" s="345"/>
      <c r="F217" s="345"/>
      <c r="G217" s="345"/>
      <c r="H217" s="345"/>
      <c r="I217" s="345"/>
      <c r="J217" s="345"/>
      <c r="K217" s="345"/>
      <c r="L217" s="345"/>
      <c r="M217" s="345"/>
    </row>
    <row r="218" spans="1:13" ht="17.399999999999999">
      <c r="A218" s="344" t="s">
        <v>402</v>
      </c>
      <c r="B218" s="345"/>
      <c r="C218" s="684">
        <f>SUM(B10:J15)</f>
        <v>4938</v>
      </c>
      <c r="D218" s="684">
        <f t="shared" ref="D218:M218" si="68">SUM(D87:D92)</f>
        <v>4956</v>
      </c>
      <c r="E218" s="684">
        <f t="shared" si="68"/>
        <v>4991</v>
      </c>
      <c r="F218" s="684">
        <f t="shared" si="68"/>
        <v>5032</v>
      </c>
      <c r="G218" s="684">
        <f t="shared" si="68"/>
        <v>5111</v>
      </c>
      <c r="H218" s="684">
        <f t="shared" si="68"/>
        <v>5257</v>
      </c>
      <c r="I218" s="684">
        <f t="shared" si="68"/>
        <v>5411</v>
      </c>
      <c r="J218" s="684">
        <f t="shared" si="68"/>
        <v>5452</v>
      </c>
      <c r="K218" s="684">
        <f t="shared" si="68"/>
        <v>5519</v>
      </c>
      <c r="L218" s="684">
        <f t="shared" si="68"/>
        <v>5569</v>
      </c>
      <c r="M218" s="684">
        <f t="shared" si="68"/>
        <v>5653</v>
      </c>
    </row>
    <row r="219" spans="1:13" ht="17.399999999999999">
      <c r="A219" s="345"/>
      <c r="B219" s="345"/>
      <c r="C219" s="666"/>
      <c r="D219" s="666"/>
      <c r="E219" s="666"/>
      <c r="F219" s="666"/>
      <c r="G219" s="666"/>
      <c r="H219" s="666"/>
      <c r="I219" s="666"/>
      <c r="J219" s="666"/>
      <c r="K219" s="666"/>
      <c r="L219" s="666"/>
      <c r="M219" s="666"/>
    </row>
    <row r="220" spans="1:13" ht="17.399999999999999">
      <c r="A220" s="344" t="s">
        <v>257</v>
      </c>
      <c r="B220" s="345"/>
      <c r="C220" s="684">
        <f>ENPRJ3!C389</f>
        <v>5918</v>
      </c>
      <c r="D220" s="684">
        <f>ENPRJ3!D389</f>
        <v>5918</v>
      </c>
      <c r="E220" s="684">
        <f>ENPRJ3!E389</f>
        <v>5918</v>
      </c>
      <c r="F220" s="684">
        <f>ENPRJ3!F389</f>
        <v>5918</v>
      </c>
      <c r="G220" s="684">
        <f>ENPRJ3!G389</f>
        <v>5918</v>
      </c>
      <c r="H220" s="684">
        <f>ENPRJ3!H389</f>
        <v>5918</v>
      </c>
      <c r="I220" s="684">
        <f>ENPRJ3!I389</f>
        <v>5918</v>
      </c>
      <c r="J220" s="684">
        <f>ENPRJ3!J389</f>
        <v>5918</v>
      </c>
      <c r="K220" s="684">
        <f>ENPRJ3!K389</f>
        <v>5918</v>
      </c>
      <c r="L220" s="684">
        <f>ENPRJ3!L389</f>
        <v>5918</v>
      </c>
      <c r="M220" s="684">
        <f>ENPRJ3!M389</f>
        <v>5918</v>
      </c>
    </row>
    <row r="221" spans="1:13" ht="17.399999999999999">
      <c r="A221" s="344" t="s">
        <v>258</v>
      </c>
      <c r="B221" s="345"/>
      <c r="C221" s="684">
        <f>ENPRJ3!C390</f>
        <v>9</v>
      </c>
      <c r="D221" s="684">
        <f>ENPRJ3!D390</f>
        <v>9</v>
      </c>
      <c r="E221" s="684">
        <f>ENPRJ3!E390</f>
        <v>9</v>
      </c>
      <c r="F221" s="684">
        <f>ENPRJ3!F390</f>
        <v>9</v>
      </c>
      <c r="G221" s="684">
        <f>ENPRJ3!G390</f>
        <v>9</v>
      </c>
      <c r="H221" s="684">
        <f>ENPRJ3!H390</f>
        <v>9</v>
      </c>
      <c r="I221" s="684">
        <f>ENPRJ3!I390</f>
        <v>9</v>
      </c>
      <c r="J221" s="684">
        <f>ENPRJ3!J390</f>
        <v>9</v>
      </c>
      <c r="K221" s="684">
        <f>ENPRJ3!K390</f>
        <v>9</v>
      </c>
      <c r="L221" s="684">
        <f>ENPRJ3!L390</f>
        <v>9</v>
      </c>
      <c r="M221" s="684">
        <f>ENPRJ3!M390</f>
        <v>9</v>
      </c>
    </row>
    <row r="222" spans="1:13" ht="17.399999999999999">
      <c r="A222" s="344" t="s">
        <v>259</v>
      </c>
      <c r="B222" s="345"/>
      <c r="C222" s="684">
        <f t="shared" ref="C222:M222" si="69">C218/C221</f>
        <v>548.66666666666663</v>
      </c>
      <c r="D222" s="684">
        <f t="shared" si="69"/>
        <v>550.66666666666663</v>
      </c>
      <c r="E222" s="684">
        <f t="shared" si="69"/>
        <v>554.55555555555554</v>
      </c>
      <c r="F222" s="684">
        <f t="shared" si="69"/>
        <v>559.11111111111109</v>
      </c>
      <c r="G222" s="684">
        <f t="shared" si="69"/>
        <v>567.88888888888891</v>
      </c>
      <c r="H222" s="684">
        <f t="shared" si="69"/>
        <v>584.11111111111109</v>
      </c>
      <c r="I222" s="684">
        <f t="shared" si="69"/>
        <v>601.22222222222217</v>
      </c>
      <c r="J222" s="684">
        <f t="shared" si="69"/>
        <v>605.77777777777783</v>
      </c>
      <c r="K222" s="684">
        <f t="shared" si="69"/>
        <v>613.22222222222217</v>
      </c>
      <c r="L222" s="684">
        <f t="shared" si="69"/>
        <v>618.77777777777783</v>
      </c>
      <c r="M222" s="684">
        <f t="shared" si="69"/>
        <v>628.11111111111109</v>
      </c>
    </row>
    <row r="223" spans="1:13" ht="17.399999999999999">
      <c r="A223" s="344" t="s">
        <v>116</v>
      </c>
      <c r="B223" s="345"/>
      <c r="C223" s="669">
        <f t="shared" ref="C223:H223" si="70">C218/C220</f>
        <v>0.83440351470091245</v>
      </c>
      <c r="D223" s="669">
        <f t="shared" si="70"/>
        <v>0.8374450827982427</v>
      </c>
      <c r="E223" s="669">
        <f t="shared" si="70"/>
        <v>0.84335924298749576</v>
      </c>
      <c r="F223" s="669">
        <f t="shared" si="70"/>
        <v>0.85028725920919235</v>
      </c>
      <c r="G223" s="669">
        <f t="shared" si="70"/>
        <v>0.86363636363636365</v>
      </c>
      <c r="H223" s="669">
        <f t="shared" si="70"/>
        <v>0.88830686042581952</v>
      </c>
      <c r="I223" s="669">
        <f>I218/I220</f>
        <v>0.91432916525853325</v>
      </c>
      <c r="J223" s="669">
        <f>J218/J220</f>
        <v>0.92125718148022984</v>
      </c>
      <c r="K223" s="669">
        <f>K218/K220</f>
        <v>0.93257857384251441</v>
      </c>
      <c r="L223" s="669">
        <f>L218/L220</f>
        <v>0.94102737411287596</v>
      </c>
      <c r="M223" s="669">
        <f>M218/M220</f>
        <v>0.95522135856708346</v>
      </c>
    </row>
    <row r="224" spans="1:13" ht="17.399999999999999">
      <c r="A224" s="344"/>
      <c r="B224" s="345"/>
      <c r="C224" s="669"/>
      <c r="D224" s="669"/>
      <c r="E224" s="669"/>
      <c r="F224" s="669"/>
      <c r="G224" s="669"/>
      <c r="H224" s="669"/>
      <c r="I224" s="669"/>
      <c r="J224" s="669"/>
      <c r="K224" s="669"/>
      <c r="L224" s="669"/>
      <c r="M224" s="669"/>
    </row>
    <row r="225" spans="1:13" ht="18" thickBot="1">
      <c r="A225" s="686"/>
      <c r="B225" s="345"/>
      <c r="C225" s="669"/>
      <c r="D225" s="669"/>
      <c r="E225" s="669"/>
      <c r="F225" s="669"/>
      <c r="G225" s="669"/>
      <c r="H225" s="669"/>
      <c r="I225" s="669"/>
      <c r="J225" s="669"/>
      <c r="K225" s="669"/>
      <c r="L225" s="669"/>
      <c r="M225" s="669"/>
    </row>
    <row r="226" spans="1:13" ht="18" thickTop="1">
      <c r="A226" s="713"/>
      <c r="B226" s="713"/>
      <c r="C226" s="713"/>
      <c r="D226" s="713"/>
      <c r="E226" s="713"/>
      <c r="F226" s="713"/>
      <c r="G226" s="713"/>
      <c r="H226" s="713"/>
      <c r="I226" s="713"/>
      <c r="J226" s="713"/>
      <c r="K226" s="713"/>
      <c r="L226" s="713"/>
      <c r="M226" s="713"/>
    </row>
    <row r="227" spans="1:13" ht="17.399999999999999">
      <c r="A227" s="344" t="s">
        <v>260</v>
      </c>
      <c r="B227" s="345"/>
      <c r="C227" s="684">
        <f t="shared" ref="C227:H227" si="71">SUM(C93:C95)</f>
        <v>2895</v>
      </c>
      <c r="D227" s="684">
        <f t="shared" si="71"/>
        <v>2928</v>
      </c>
      <c r="E227" s="684">
        <f t="shared" si="71"/>
        <v>2882</v>
      </c>
      <c r="F227" s="684">
        <f t="shared" si="71"/>
        <v>2893</v>
      </c>
      <c r="G227" s="684">
        <f t="shared" si="71"/>
        <v>2835</v>
      </c>
      <c r="H227" s="684">
        <f t="shared" si="71"/>
        <v>2745</v>
      </c>
      <c r="I227" s="684">
        <f>SUM(I93:I95)</f>
        <v>2645</v>
      </c>
      <c r="J227" s="684">
        <f>SUM(J93:J95)</f>
        <v>2733</v>
      </c>
      <c r="K227" s="684">
        <f>SUM(K93:K95)</f>
        <v>2870</v>
      </c>
      <c r="L227" s="684">
        <f>SUM(L93:L95)</f>
        <v>3025</v>
      </c>
      <c r="M227" s="684">
        <f>SUM(M93:M95)</f>
        <v>3024</v>
      </c>
    </row>
    <row r="228" spans="1:13" ht="17.399999999999999">
      <c r="A228" s="345"/>
      <c r="B228" s="345"/>
      <c r="C228" s="666"/>
      <c r="D228" s="666"/>
      <c r="E228" s="666"/>
      <c r="F228" s="666"/>
      <c r="G228" s="666"/>
      <c r="H228" s="666"/>
      <c r="I228" s="666"/>
      <c r="J228" s="666"/>
      <c r="K228" s="666"/>
      <c r="L228" s="666"/>
      <c r="M228" s="666"/>
    </row>
    <row r="229" spans="1:13" ht="17.399999999999999">
      <c r="A229" s="344" t="s">
        <v>261</v>
      </c>
      <c r="B229" s="345"/>
      <c r="C229" s="684">
        <f>ENPRJ3!C398</f>
        <v>3066</v>
      </c>
      <c r="D229" s="684">
        <f>ENPRJ3!D398</f>
        <v>3066</v>
      </c>
      <c r="E229" s="684">
        <f>ENPRJ3!E398</f>
        <v>3066</v>
      </c>
      <c r="F229" s="684">
        <f>ENPRJ3!F398</f>
        <v>3066</v>
      </c>
      <c r="G229" s="684">
        <f>ENPRJ3!G398</f>
        <v>3066</v>
      </c>
      <c r="H229" s="684">
        <f>ENPRJ3!H398</f>
        <v>3066</v>
      </c>
      <c r="I229" s="684">
        <f>ENPRJ3!I398</f>
        <v>3066</v>
      </c>
      <c r="J229" s="684">
        <f>ENPRJ3!J398</f>
        <v>3066</v>
      </c>
      <c r="K229" s="684">
        <f>ENPRJ3!K398</f>
        <v>3066</v>
      </c>
      <c r="L229" s="684">
        <f>ENPRJ3!L398</f>
        <v>3066</v>
      </c>
      <c r="M229" s="684">
        <f>ENPRJ3!M398</f>
        <v>3066</v>
      </c>
    </row>
    <row r="230" spans="1:13" ht="17.399999999999999">
      <c r="A230" s="344" t="s">
        <v>258</v>
      </c>
      <c r="B230" s="345"/>
      <c r="C230" s="684">
        <f>ENPRJ3!C399</f>
        <v>4</v>
      </c>
      <c r="D230" s="684">
        <f>ENPRJ3!D399</f>
        <v>4</v>
      </c>
      <c r="E230" s="684">
        <f>ENPRJ3!E399</f>
        <v>4</v>
      </c>
      <c r="F230" s="684">
        <f>ENPRJ3!F399</f>
        <v>4</v>
      </c>
      <c r="G230" s="684">
        <f>ENPRJ3!G399</f>
        <v>4</v>
      </c>
      <c r="H230" s="684">
        <f>ENPRJ3!H399</f>
        <v>4</v>
      </c>
      <c r="I230" s="684">
        <f>ENPRJ3!I399</f>
        <v>4</v>
      </c>
      <c r="J230" s="684">
        <f>ENPRJ3!J399</f>
        <v>4</v>
      </c>
      <c r="K230" s="684">
        <f>ENPRJ3!K399</f>
        <v>4</v>
      </c>
      <c r="L230" s="684">
        <f>ENPRJ3!L399</f>
        <v>4</v>
      </c>
      <c r="M230" s="684">
        <f>ENPRJ3!M399</f>
        <v>4</v>
      </c>
    </row>
    <row r="231" spans="1:13" ht="17.399999999999999">
      <c r="A231" s="344" t="s">
        <v>259</v>
      </c>
      <c r="B231" s="345"/>
      <c r="C231" s="684">
        <f t="shared" ref="C231:M231" si="72">C227/C230</f>
        <v>723.75</v>
      </c>
      <c r="D231" s="684">
        <f t="shared" si="72"/>
        <v>732</v>
      </c>
      <c r="E231" s="684">
        <f t="shared" si="72"/>
        <v>720.5</v>
      </c>
      <c r="F231" s="684">
        <f t="shared" si="72"/>
        <v>723.25</v>
      </c>
      <c r="G231" s="684">
        <f t="shared" si="72"/>
        <v>708.75</v>
      </c>
      <c r="H231" s="684">
        <f t="shared" si="72"/>
        <v>686.25</v>
      </c>
      <c r="I231" s="684">
        <f t="shared" si="72"/>
        <v>661.25</v>
      </c>
      <c r="J231" s="684">
        <f t="shared" si="72"/>
        <v>683.25</v>
      </c>
      <c r="K231" s="684">
        <f t="shared" si="72"/>
        <v>717.5</v>
      </c>
      <c r="L231" s="684">
        <f t="shared" si="72"/>
        <v>756.25</v>
      </c>
      <c r="M231" s="684">
        <f t="shared" si="72"/>
        <v>756</v>
      </c>
    </row>
    <row r="232" spans="1:13" ht="18" thickBot="1">
      <c r="A232" s="344" t="s">
        <v>116</v>
      </c>
      <c r="B232" s="345"/>
      <c r="C232" s="669">
        <f t="shared" ref="C232:H232" si="73">C227/C229</f>
        <v>0.94422700587084152</v>
      </c>
      <c r="D232" s="669">
        <f t="shared" si="73"/>
        <v>0.95499021526418781</v>
      </c>
      <c r="E232" s="669">
        <f t="shared" si="73"/>
        <v>0.93998695368558383</v>
      </c>
      <c r="F232" s="669">
        <f t="shared" si="73"/>
        <v>0.94357469015003259</v>
      </c>
      <c r="G232" s="669">
        <f t="shared" si="73"/>
        <v>0.92465753424657537</v>
      </c>
      <c r="H232" s="669">
        <f t="shared" si="73"/>
        <v>0.8953033268101761</v>
      </c>
      <c r="I232" s="669">
        <f>I227/I229</f>
        <v>0.86268754076973253</v>
      </c>
      <c r="J232" s="669">
        <f>J227/J229</f>
        <v>0.89138943248532287</v>
      </c>
      <c r="K232" s="669">
        <f>K227/K229</f>
        <v>0.9360730593607306</v>
      </c>
      <c r="L232" s="669">
        <f>L227/L229</f>
        <v>0.98662752772341811</v>
      </c>
      <c r="M232" s="669">
        <f>M227/M229</f>
        <v>0.98630136986301364</v>
      </c>
    </row>
    <row r="233" spans="1:13" ht="18" thickTop="1">
      <c r="A233" s="713"/>
      <c r="B233" s="713"/>
      <c r="C233" s="713"/>
      <c r="D233" s="713"/>
      <c r="E233" s="713"/>
      <c r="F233" s="713"/>
      <c r="G233" s="713"/>
      <c r="H233" s="713"/>
      <c r="I233" s="713"/>
      <c r="J233" s="713"/>
      <c r="K233" s="713"/>
      <c r="L233" s="713"/>
      <c r="M233" s="713"/>
    </row>
    <row r="234" spans="1:13" ht="17.399999999999999">
      <c r="A234" s="344" t="s">
        <v>262</v>
      </c>
      <c r="B234" s="345"/>
      <c r="C234" s="684">
        <f t="shared" ref="C234:H234" si="74">SUM(C96:C99)</f>
        <v>3927</v>
      </c>
      <c r="D234" s="684">
        <f t="shared" si="74"/>
        <v>3798</v>
      </c>
      <c r="E234" s="684">
        <f t="shared" si="74"/>
        <v>3817</v>
      </c>
      <c r="F234" s="684">
        <f t="shared" si="74"/>
        <v>3814</v>
      </c>
      <c r="G234" s="684">
        <f t="shared" si="74"/>
        <v>3790</v>
      </c>
      <c r="H234" s="684">
        <f t="shared" si="74"/>
        <v>3789</v>
      </c>
      <c r="I234" s="684">
        <f>SUM(I96:I99)</f>
        <v>3772</v>
      </c>
      <c r="J234" s="684">
        <f>SUM(J96:J99)</f>
        <v>3728</v>
      </c>
      <c r="K234" s="684">
        <f>SUM(K96:K99)</f>
        <v>3606</v>
      </c>
      <c r="L234" s="684">
        <f>SUM(L96:L99)</f>
        <v>3535</v>
      </c>
      <c r="M234" s="684">
        <f>SUM(M96:M99)</f>
        <v>3580</v>
      </c>
    </row>
    <row r="235" spans="1:13" ht="17.399999999999999">
      <c r="A235" s="345"/>
      <c r="B235" s="345"/>
      <c r="C235" s="666"/>
      <c r="D235" s="666"/>
      <c r="E235" s="666"/>
      <c r="F235" s="666"/>
      <c r="G235" s="666"/>
      <c r="H235" s="666"/>
      <c r="I235" s="666"/>
      <c r="J235" s="666"/>
      <c r="K235" s="666"/>
      <c r="L235" s="666"/>
      <c r="M235" s="666"/>
    </row>
    <row r="236" spans="1:13" ht="17.399999999999999">
      <c r="A236" s="344" t="s">
        <v>263</v>
      </c>
      <c r="B236" s="345"/>
      <c r="C236" s="684">
        <f>ENPRJ3!C405</f>
        <v>3769</v>
      </c>
      <c r="D236" s="684">
        <f>ENPRJ3!D405</f>
        <v>3769</v>
      </c>
      <c r="E236" s="684">
        <f>ENPRJ3!E405</f>
        <v>3769</v>
      </c>
      <c r="F236" s="684">
        <f>ENPRJ3!F405</f>
        <v>3769</v>
      </c>
      <c r="G236" s="684">
        <f>ENPRJ3!G405</f>
        <v>3769</v>
      </c>
      <c r="H236" s="684">
        <f>ENPRJ3!H405</f>
        <v>3769</v>
      </c>
      <c r="I236" s="684">
        <f>ENPRJ3!I405</f>
        <v>3769</v>
      </c>
      <c r="J236" s="684">
        <f>ENPRJ3!J405</f>
        <v>3769</v>
      </c>
      <c r="K236" s="684">
        <f>ENPRJ3!K405</f>
        <v>3769</v>
      </c>
      <c r="L236" s="684">
        <f>ENPRJ3!L405</f>
        <v>3769</v>
      </c>
      <c r="M236" s="684">
        <f>ENPRJ3!M405</f>
        <v>3769</v>
      </c>
    </row>
    <row r="237" spans="1:13" ht="17.399999999999999">
      <c r="A237" s="344" t="s">
        <v>264</v>
      </c>
      <c r="B237" s="345"/>
      <c r="C237" s="684">
        <v>3</v>
      </c>
      <c r="D237" s="684">
        <v>3</v>
      </c>
      <c r="E237" s="684">
        <v>3</v>
      </c>
      <c r="F237" s="684">
        <v>3</v>
      </c>
      <c r="G237" s="684">
        <v>3</v>
      </c>
      <c r="H237" s="684">
        <v>3</v>
      </c>
      <c r="I237" s="684">
        <v>3</v>
      </c>
      <c r="J237" s="684">
        <v>3</v>
      </c>
      <c r="K237" s="684">
        <v>3</v>
      </c>
      <c r="L237" s="684">
        <v>3</v>
      </c>
      <c r="M237" s="684">
        <v>3</v>
      </c>
    </row>
    <row r="238" spans="1:13" ht="17.399999999999999">
      <c r="A238" s="344" t="s">
        <v>259</v>
      </c>
      <c r="B238" s="345"/>
      <c r="C238" s="684">
        <f t="shared" ref="C238:M238" si="75">C234/C237</f>
        <v>1309</v>
      </c>
      <c r="D238" s="684">
        <f t="shared" si="75"/>
        <v>1266</v>
      </c>
      <c r="E238" s="684">
        <f t="shared" si="75"/>
        <v>1272.3333333333333</v>
      </c>
      <c r="F238" s="684">
        <f t="shared" si="75"/>
        <v>1271.3333333333333</v>
      </c>
      <c r="G238" s="684">
        <f t="shared" si="75"/>
        <v>1263.3333333333333</v>
      </c>
      <c r="H238" s="684">
        <f t="shared" si="75"/>
        <v>1263</v>
      </c>
      <c r="I238" s="684">
        <f t="shared" si="75"/>
        <v>1257.3333333333333</v>
      </c>
      <c r="J238" s="684">
        <f t="shared" si="75"/>
        <v>1242.6666666666667</v>
      </c>
      <c r="K238" s="684">
        <f t="shared" si="75"/>
        <v>1202</v>
      </c>
      <c r="L238" s="684">
        <f t="shared" si="75"/>
        <v>1178.3333333333333</v>
      </c>
      <c r="M238" s="684">
        <f t="shared" si="75"/>
        <v>1193.3333333333333</v>
      </c>
    </row>
    <row r="239" spans="1:13" ht="18" thickBot="1">
      <c r="A239" s="344" t="s">
        <v>116</v>
      </c>
      <c r="B239" s="345"/>
      <c r="C239" s="669">
        <f t="shared" ref="C239:H239" si="76">C234/C236</f>
        <v>1.0419209339347306</v>
      </c>
      <c r="D239" s="669">
        <f t="shared" si="76"/>
        <v>1.0076943486335899</v>
      </c>
      <c r="E239" s="669">
        <f t="shared" si="76"/>
        <v>1.0127354736004246</v>
      </c>
      <c r="F239" s="669">
        <f t="shared" si="76"/>
        <v>1.011939506500398</v>
      </c>
      <c r="G239" s="669">
        <f t="shared" si="76"/>
        <v>1.0055717697001858</v>
      </c>
      <c r="H239" s="669">
        <f t="shared" si="76"/>
        <v>1.0053064473335103</v>
      </c>
      <c r="I239" s="669">
        <f>I234/I236</f>
        <v>1.0007959671000266</v>
      </c>
      <c r="J239" s="669">
        <f>J234/J236</f>
        <v>0.98912178296630404</v>
      </c>
      <c r="K239" s="669">
        <f>K234/K236</f>
        <v>0.9567524542318917</v>
      </c>
      <c r="L239" s="669">
        <f>L234/L236</f>
        <v>0.93791456619793045</v>
      </c>
      <c r="M239" s="669">
        <f>M234/M236</f>
        <v>0.94985407269832844</v>
      </c>
    </row>
    <row r="240" spans="1:13" ht="18" thickTop="1">
      <c r="A240" s="713"/>
      <c r="B240" s="713"/>
      <c r="C240" s="713"/>
      <c r="D240" s="713"/>
      <c r="E240" s="713"/>
      <c r="F240" s="713"/>
      <c r="G240" s="713"/>
      <c r="H240" s="713"/>
      <c r="I240" s="713"/>
      <c r="J240" s="713"/>
      <c r="K240" s="713"/>
      <c r="L240" s="713"/>
      <c r="M240" s="713"/>
    </row>
    <row r="241" spans="1:13" ht="17.399999999999999">
      <c r="A241" s="344" t="s">
        <v>265</v>
      </c>
      <c r="B241" s="345"/>
      <c r="C241" s="684">
        <f t="shared" ref="C241:M241" si="77">C103</f>
        <v>11782</v>
      </c>
      <c r="D241" s="684">
        <f t="shared" si="77"/>
        <v>11704</v>
      </c>
      <c r="E241" s="684">
        <f t="shared" si="77"/>
        <v>11712</v>
      </c>
      <c r="F241" s="684">
        <f t="shared" si="77"/>
        <v>11761</v>
      </c>
      <c r="G241" s="684">
        <f t="shared" si="77"/>
        <v>11758</v>
      </c>
      <c r="H241" s="684">
        <f t="shared" si="77"/>
        <v>11813</v>
      </c>
      <c r="I241" s="684">
        <f t="shared" si="77"/>
        <v>11850</v>
      </c>
      <c r="J241" s="684">
        <f t="shared" si="77"/>
        <v>11935</v>
      </c>
      <c r="K241" s="684">
        <f t="shared" si="77"/>
        <v>12017</v>
      </c>
      <c r="L241" s="684">
        <f t="shared" si="77"/>
        <v>12151</v>
      </c>
      <c r="M241" s="684">
        <f t="shared" si="77"/>
        <v>12279</v>
      </c>
    </row>
    <row r="242" spans="1:13" ht="17.399999999999999">
      <c r="A242" s="345"/>
      <c r="B242" s="345"/>
      <c r="C242" s="666"/>
      <c r="D242" s="666"/>
      <c r="E242" s="666"/>
      <c r="F242" s="666"/>
      <c r="G242" s="666"/>
      <c r="H242" s="666"/>
      <c r="I242" s="666"/>
      <c r="J242" s="666"/>
      <c r="K242" s="666"/>
      <c r="L242" s="666"/>
      <c r="M242" s="666"/>
    </row>
    <row r="243" spans="1:13" ht="17.399999999999999">
      <c r="A243" s="344" t="s">
        <v>266</v>
      </c>
      <c r="B243" s="345"/>
      <c r="C243" s="684">
        <f t="shared" ref="C243:M243" si="78">C236+C229+C220+100</f>
        <v>12853</v>
      </c>
      <c r="D243" s="684">
        <f t="shared" si="78"/>
        <v>12853</v>
      </c>
      <c r="E243" s="684">
        <f t="shared" si="78"/>
        <v>12853</v>
      </c>
      <c r="F243" s="684">
        <f t="shared" si="78"/>
        <v>12853</v>
      </c>
      <c r="G243" s="684">
        <f t="shared" si="78"/>
        <v>12853</v>
      </c>
      <c r="H243" s="684">
        <f t="shared" si="78"/>
        <v>12853</v>
      </c>
      <c r="I243" s="684">
        <f t="shared" si="78"/>
        <v>12853</v>
      </c>
      <c r="J243" s="684">
        <f t="shared" si="78"/>
        <v>12853</v>
      </c>
      <c r="K243" s="684">
        <f t="shared" si="78"/>
        <v>12853</v>
      </c>
      <c r="L243" s="684">
        <f t="shared" si="78"/>
        <v>12853</v>
      </c>
      <c r="M243" s="684">
        <f t="shared" si="78"/>
        <v>12853</v>
      </c>
    </row>
    <row r="244" spans="1:13" ht="17.399999999999999">
      <c r="A244" s="345"/>
      <c r="B244" s="345"/>
      <c r="C244" s="666"/>
      <c r="D244" s="666"/>
      <c r="E244" s="666"/>
      <c r="F244" s="666"/>
      <c r="G244" s="666"/>
      <c r="H244" s="666"/>
      <c r="I244" s="666"/>
      <c r="J244" s="666"/>
      <c r="K244" s="666"/>
      <c r="L244" s="666"/>
      <c r="M244" s="666"/>
    </row>
    <row r="245" spans="1:13" ht="17.399999999999999">
      <c r="A245" s="344" t="s">
        <v>116</v>
      </c>
      <c r="B245" s="345"/>
      <c r="C245" s="669">
        <f t="shared" ref="C245:H245" si="79">C241/C243</f>
        <v>0.91667315023729867</v>
      </c>
      <c r="D245" s="669">
        <f t="shared" si="79"/>
        <v>0.91060452812572945</v>
      </c>
      <c r="E245" s="669">
        <f t="shared" si="79"/>
        <v>0.91122695090640315</v>
      </c>
      <c r="F245" s="669">
        <f t="shared" si="79"/>
        <v>0.91503929043803001</v>
      </c>
      <c r="G245" s="669">
        <f t="shared" si="79"/>
        <v>0.91480588189527734</v>
      </c>
      <c r="H245" s="669">
        <f t="shared" si="79"/>
        <v>0.91908503851240952</v>
      </c>
      <c r="I245" s="669">
        <f>I241/I243</f>
        <v>0.92196374387302571</v>
      </c>
      <c r="J245" s="669">
        <f>J241/J243</f>
        <v>0.92857698591768456</v>
      </c>
      <c r="K245" s="669">
        <f>K241/K243</f>
        <v>0.93495681941959075</v>
      </c>
      <c r="L245" s="669">
        <f>L241/L243</f>
        <v>0.94538240099587645</v>
      </c>
      <c r="M245" s="669">
        <f>M241/M243</f>
        <v>0.95534116548665682</v>
      </c>
    </row>
    <row r="246" spans="1:13" ht="17.399999999999999">
      <c r="A246" s="345"/>
      <c r="B246" s="345"/>
      <c r="C246" s="666"/>
      <c r="D246" s="666"/>
      <c r="E246" s="666"/>
      <c r="F246" s="666"/>
      <c r="G246" s="666"/>
      <c r="H246" s="666"/>
      <c r="I246" s="666"/>
      <c r="J246" s="666"/>
      <c r="K246" s="666"/>
      <c r="L246" s="666"/>
      <c r="M246" s="666"/>
    </row>
    <row r="249" spans="1:13" ht="17.399999999999999">
      <c r="A249" s="28"/>
      <c r="B249" s="28"/>
      <c r="C249" s="28"/>
      <c r="D249" s="28"/>
      <c r="E249" s="28"/>
      <c r="F249" s="28"/>
      <c r="G249" s="28"/>
      <c r="H249" s="28"/>
      <c r="I249" s="345"/>
      <c r="J249" s="345"/>
      <c r="K249" s="345"/>
      <c r="L249" s="345"/>
      <c r="M249" s="345"/>
    </row>
    <row r="250" spans="1:13" ht="17.399999999999999">
      <c r="A250" s="28"/>
      <c r="B250" s="28"/>
      <c r="C250" s="28"/>
      <c r="D250" s="28"/>
      <c r="E250" s="28"/>
      <c r="F250" s="28"/>
      <c r="G250" s="28"/>
      <c r="H250" s="28"/>
      <c r="I250" s="345"/>
      <c r="J250" s="345"/>
      <c r="K250" s="345"/>
      <c r="L250" s="345"/>
      <c r="M250" s="345"/>
    </row>
    <row r="251" spans="1:13" ht="17.399999999999999">
      <c r="A251" s="28"/>
      <c r="B251" s="28"/>
      <c r="C251" s="777"/>
      <c r="D251" s="28"/>
      <c r="E251" s="777"/>
      <c r="F251" s="28"/>
      <c r="G251" s="777"/>
      <c r="H251" s="28"/>
      <c r="I251" s="345"/>
      <c r="J251" s="345"/>
      <c r="K251" s="345"/>
      <c r="L251" s="345"/>
      <c r="M251" s="345"/>
    </row>
    <row r="252" spans="1:13" ht="17.399999999999999">
      <c r="A252" s="28"/>
      <c r="B252" s="28"/>
      <c r="C252" s="777"/>
      <c r="D252" s="28"/>
      <c r="E252" s="777"/>
      <c r="F252" s="28"/>
      <c r="G252" s="777"/>
      <c r="H252" s="28"/>
      <c r="I252" s="345"/>
      <c r="J252" s="345"/>
      <c r="K252" s="345"/>
      <c r="L252" s="345"/>
      <c r="M252" s="345"/>
    </row>
    <row r="253" spans="1:13" ht="17.399999999999999">
      <c r="A253" s="28"/>
      <c r="B253" s="28"/>
      <c r="C253" s="777"/>
      <c r="D253" s="28"/>
      <c r="E253" s="777"/>
      <c r="F253" s="28"/>
      <c r="G253" s="777"/>
      <c r="H253" s="28"/>
      <c r="I253" s="345"/>
      <c r="J253" s="345"/>
      <c r="K253" s="345"/>
      <c r="L253" s="345"/>
      <c r="M253" s="345"/>
    </row>
    <row r="254" spans="1:13" ht="17.399999999999999">
      <c r="A254" s="28"/>
      <c r="B254" s="28"/>
      <c r="C254" s="777"/>
      <c r="D254" s="28"/>
      <c r="E254" s="777"/>
      <c r="F254" s="28"/>
      <c r="G254" s="777"/>
      <c r="H254" s="28"/>
      <c r="I254" s="346"/>
      <c r="J254" s="346"/>
      <c r="K254" s="346"/>
      <c r="L254" s="346"/>
      <c r="M254" s="346"/>
    </row>
    <row r="255" spans="1:13" ht="17.399999999999999">
      <c r="A255" s="28"/>
      <c r="B255" s="28"/>
      <c r="C255" s="777"/>
      <c r="D255" s="28"/>
      <c r="E255" s="777"/>
      <c r="F255" s="28"/>
      <c r="G255" s="777"/>
      <c r="H255" s="28"/>
      <c r="I255" s="345"/>
      <c r="J255" s="345"/>
      <c r="K255" s="345"/>
      <c r="L255" s="345"/>
      <c r="M255" s="345"/>
    </row>
    <row r="256" spans="1:13" ht="17.399999999999999">
      <c r="A256" s="28"/>
      <c r="B256" s="28"/>
      <c r="C256" s="777"/>
      <c r="D256" s="28"/>
      <c r="E256" s="777"/>
      <c r="F256" s="28"/>
      <c r="G256" s="777"/>
      <c r="H256" s="28"/>
      <c r="I256" s="345"/>
      <c r="J256" s="345"/>
      <c r="K256" s="345"/>
      <c r="L256" s="345"/>
      <c r="M256" s="345"/>
    </row>
    <row r="257" spans="1:13" ht="17.399999999999999">
      <c r="A257" s="28"/>
      <c r="B257" s="28"/>
      <c r="C257" s="777"/>
      <c r="D257" s="28"/>
      <c r="E257" s="777"/>
      <c r="F257" s="28"/>
      <c r="G257" s="777"/>
      <c r="H257" s="28"/>
      <c r="I257" s="345"/>
      <c r="J257" s="345"/>
      <c r="K257" s="345"/>
      <c r="L257" s="345"/>
      <c r="M257" s="345"/>
    </row>
    <row r="258" spans="1:13" ht="17.399999999999999">
      <c r="A258" s="345"/>
      <c r="B258" s="345"/>
      <c r="C258" s="667"/>
      <c r="D258" s="667"/>
      <c r="E258" s="667"/>
      <c r="F258" s="667"/>
      <c r="G258" s="667"/>
      <c r="H258" s="667"/>
      <c r="I258" s="667"/>
      <c r="J258" s="667"/>
      <c r="K258" s="667"/>
      <c r="L258" s="667"/>
      <c r="M258" s="667"/>
    </row>
    <row r="259" spans="1:13" ht="17.399999999999999">
      <c r="A259" s="345"/>
      <c r="B259" s="345"/>
      <c r="C259" s="714"/>
      <c r="D259" s="714"/>
      <c r="E259" s="714"/>
      <c r="F259" s="714"/>
      <c r="G259" s="714"/>
      <c r="H259" s="714"/>
      <c r="I259" s="714"/>
      <c r="J259" s="714"/>
      <c r="K259" s="714"/>
      <c r="L259" s="714"/>
      <c r="M259" s="714"/>
    </row>
    <row r="262" spans="1:13" ht="17.399999999999999">
      <c r="A262" s="345"/>
      <c r="B262" s="345"/>
      <c r="C262" s="345"/>
      <c r="D262" s="345"/>
      <c r="E262" s="345"/>
      <c r="F262" s="345"/>
      <c r="G262" s="345"/>
      <c r="H262" s="345"/>
      <c r="I262" s="345"/>
      <c r="J262" s="345"/>
      <c r="K262" s="345"/>
      <c r="L262" s="345"/>
      <c r="M262" s="345"/>
    </row>
    <row r="263" spans="1:13" ht="17.399999999999999">
      <c r="A263" s="345"/>
      <c r="B263" s="345"/>
      <c r="C263" s="345"/>
      <c r="D263" s="345"/>
      <c r="E263" s="345"/>
      <c r="F263" s="345"/>
      <c r="G263" s="345"/>
      <c r="H263" s="345"/>
      <c r="I263" s="345"/>
      <c r="J263" s="345"/>
      <c r="K263" s="345"/>
      <c r="L263" s="345"/>
      <c r="M263" s="345"/>
    </row>
    <row r="264" spans="1:13" ht="17.399999999999999">
      <c r="A264" s="345"/>
      <c r="B264" s="345"/>
      <c r="C264" s="345"/>
      <c r="D264" s="345"/>
      <c r="E264" s="345"/>
      <c r="F264" s="345"/>
      <c r="G264" s="345"/>
      <c r="H264" s="345"/>
      <c r="I264" s="345"/>
      <c r="J264" s="345"/>
      <c r="K264" s="345"/>
      <c r="L264" s="345"/>
      <c r="M264" s="345"/>
    </row>
    <row r="265" spans="1:13" ht="17.399999999999999">
      <c r="A265" s="345"/>
      <c r="B265" s="345"/>
      <c r="C265" s="345"/>
      <c r="D265" s="345"/>
      <c r="E265" s="345"/>
      <c r="F265" s="345"/>
      <c r="G265" s="345"/>
      <c r="H265" s="345"/>
      <c r="I265" s="345"/>
      <c r="J265" s="345"/>
      <c r="K265" s="345"/>
      <c r="L265" s="345"/>
      <c r="M265" s="345"/>
    </row>
    <row r="266" spans="1:13" ht="17.399999999999999">
      <c r="A266" s="345"/>
      <c r="B266" s="345"/>
      <c r="C266" s="345"/>
      <c r="D266" s="345"/>
      <c r="E266" s="345"/>
      <c r="F266" s="345"/>
      <c r="G266" s="345"/>
      <c r="H266" s="345"/>
      <c r="I266" s="345"/>
      <c r="J266" s="345"/>
      <c r="K266" s="345"/>
      <c r="L266" s="345"/>
      <c r="M266" s="345"/>
    </row>
    <row r="267" spans="1:13" ht="17.399999999999999">
      <c r="A267" s="345"/>
      <c r="B267" s="345"/>
      <c r="C267" s="346"/>
      <c r="D267" s="346"/>
      <c r="E267" s="346"/>
      <c r="F267" s="346"/>
      <c r="G267" s="346"/>
      <c r="H267" s="346"/>
      <c r="I267" s="346"/>
      <c r="J267" s="346"/>
      <c r="K267" s="346"/>
      <c r="L267" s="346"/>
      <c r="M267" s="346"/>
    </row>
    <row r="268" spans="1:13" ht="17.399999999999999">
      <c r="A268" s="345"/>
      <c r="B268" s="345"/>
      <c r="C268" s="345"/>
      <c r="D268" s="345"/>
      <c r="E268" s="345"/>
      <c r="F268" s="345"/>
      <c r="G268" s="345"/>
      <c r="H268" s="345"/>
      <c r="I268" s="345"/>
      <c r="J268" s="345"/>
      <c r="K268" s="345"/>
      <c r="L268" s="345"/>
      <c r="M268" s="345"/>
    </row>
    <row r="269" spans="1:13" ht="17.399999999999999">
      <c r="A269" s="345"/>
      <c r="B269" s="345"/>
      <c r="C269" s="345"/>
      <c r="D269" s="345"/>
      <c r="E269" s="345"/>
      <c r="F269" s="345"/>
      <c r="G269" s="345"/>
      <c r="H269" s="345"/>
      <c r="I269" s="345"/>
      <c r="J269" s="345"/>
      <c r="K269" s="345"/>
      <c r="L269" s="345"/>
      <c r="M269" s="345"/>
    </row>
    <row r="270" spans="1:13" ht="17.399999999999999">
      <c r="A270" s="345"/>
      <c r="B270" s="345"/>
      <c r="C270" s="345"/>
      <c r="D270" s="345"/>
      <c r="E270" s="345"/>
      <c r="F270" s="345"/>
      <c r="G270" s="345"/>
      <c r="H270" s="345"/>
      <c r="I270" s="345"/>
      <c r="J270" s="345"/>
      <c r="K270" s="345"/>
      <c r="L270" s="345"/>
      <c r="M270" s="345"/>
    </row>
    <row r="271" spans="1:13" ht="17.399999999999999">
      <c r="A271" s="345"/>
      <c r="B271" s="345"/>
      <c r="C271" s="667"/>
      <c r="D271" s="667"/>
      <c r="E271" s="667"/>
      <c r="F271" s="667"/>
      <c r="G271" s="667"/>
      <c r="H271" s="667"/>
      <c r="I271" s="667"/>
      <c r="J271" s="667"/>
      <c r="K271" s="667"/>
      <c r="L271" s="667"/>
      <c r="M271" s="667"/>
    </row>
    <row r="272" spans="1:13" ht="17.399999999999999">
      <c r="A272" s="345"/>
      <c r="B272" s="345"/>
      <c r="C272" s="714"/>
      <c r="D272" s="714"/>
      <c r="E272" s="714"/>
      <c r="F272" s="714"/>
      <c r="G272" s="714"/>
      <c r="H272" s="714"/>
      <c r="I272" s="714"/>
      <c r="J272" s="714"/>
      <c r="K272" s="714"/>
      <c r="L272" s="714"/>
      <c r="M272" s="714"/>
    </row>
    <row r="275" spans="1:13" ht="17.399999999999999">
      <c r="A275" s="345"/>
      <c r="B275" s="345"/>
      <c r="C275" s="669"/>
      <c r="D275" s="345"/>
      <c r="E275" s="345"/>
      <c r="F275" s="345"/>
      <c r="G275" s="345"/>
      <c r="H275" s="345"/>
      <c r="I275" s="345"/>
      <c r="J275" s="345"/>
      <c r="K275" s="345"/>
      <c r="L275" s="345"/>
      <c r="M275" s="345"/>
    </row>
    <row r="276" spans="1:13" ht="17.399999999999999">
      <c r="A276" s="345"/>
      <c r="B276" s="345"/>
      <c r="C276" s="345"/>
      <c r="D276" s="345"/>
      <c r="E276" s="345"/>
      <c r="F276" s="345"/>
      <c r="G276" s="345"/>
      <c r="H276" s="345"/>
      <c r="I276" s="345"/>
      <c r="J276" s="345"/>
      <c r="K276" s="345"/>
      <c r="L276" s="345"/>
      <c r="M276" s="345"/>
    </row>
    <row r="277" spans="1:13" ht="17.399999999999999">
      <c r="A277" s="345"/>
      <c r="B277" s="345"/>
      <c r="C277" s="345"/>
      <c r="D277" s="345"/>
      <c r="E277" s="345"/>
      <c r="F277" s="345"/>
      <c r="G277" s="345"/>
      <c r="H277" s="345"/>
      <c r="I277" s="345"/>
      <c r="J277" s="345"/>
      <c r="K277" s="345"/>
      <c r="L277" s="345"/>
      <c r="M277" s="345"/>
    </row>
    <row r="278" spans="1:13" ht="17.399999999999999">
      <c r="A278" s="345"/>
      <c r="B278" s="345"/>
      <c r="C278" s="345"/>
      <c r="D278" s="345"/>
      <c r="E278" s="345"/>
      <c r="F278" s="345"/>
      <c r="G278" s="345"/>
      <c r="H278" s="345"/>
      <c r="I278" s="345"/>
      <c r="J278" s="345"/>
      <c r="K278" s="345"/>
      <c r="L278" s="345"/>
      <c r="M278" s="345"/>
    </row>
    <row r="279" spans="1:13" ht="17.399999999999999">
      <c r="A279" s="345"/>
      <c r="B279" s="345"/>
      <c r="C279" s="345"/>
      <c r="D279" s="345"/>
      <c r="E279" s="345"/>
      <c r="F279" s="345"/>
      <c r="G279" s="345"/>
      <c r="H279" s="345"/>
      <c r="I279" s="345"/>
      <c r="J279" s="345"/>
      <c r="K279" s="345"/>
      <c r="L279" s="345"/>
      <c r="M279" s="345"/>
    </row>
    <row r="280" spans="1:13" ht="17.399999999999999">
      <c r="A280" s="345"/>
      <c r="B280" s="345"/>
      <c r="C280" s="346"/>
      <c r="D280" s="346"/>
      <c r="E280" s="346"/>
      <c r="F280" s="346"/>
      <c r="G280" s="346"/>
      <c r="H280" s="346"/>
      <c r="I280" s="346"/>
      <c r="J280" s="346"/>
      <c r="K280" s="346"/>
      <c r="L280" s="346"/>
      <c r="M280" s="346"/>
    </row>
    <row r="281" spans="1:13" ht="17.399999999999999">
      <c r="A281" s="345"/>
      <c r="B281" s="345"/>
      <c r="C281" s="345"/>
      <c r="D281" s="345"/>
      <c r="E281" s="345"/>
      <c r="F281" s="345"/>
      <c r="G281" s="345"/>
      <c r="H281" s="345"/>
      <c r="I281" s="345"/>
      <c r="J281" s="345"/>
      <c r="K281" s="345"/>
      <c r="L281" s="345"/>
      <c r="M281" s="345"/>
    </row>
    <row r="282" spans="1:13" ht="17.399999999999999">
      <c r="A282" s="345"/>
      <c r="B282" s="345"/>
      <c r="C282" s="345"/>
      <c r="D282" s="345"/>
      <c r="E282" s="345"/>
      <c r="F282" s="345"/>
      <c r="G282" s="345"/>
      <c r="H282" s="345"/>
      <c r="I282" s="345"/>
      <c r="J282" s="345"/>
      <c r="K282" s="345"/>
      <c r="L282" s="345"/>
      <c r="M282" s="345"/>
    </row>
    <row r="283" spans="1:13" ht="17.399999999999999">
      <c r="A283" s="345"/>
      <c r="B283" s="345"/>
      <c r="C283" s="345"/>
      <c r="D283" s="345"/>
      <c r="E283" s="345"/>
      <c r="F283" s="345"/>
      <c r="G283" s="345"/>
      <c r="H283" s="345"/>
      <c r="I283" s="345"/>
      <c r="J283" s="345"/>
      <c r="K283" s="345"/>
      <c r="L283" s="345"/>
      <c r="M283" s="345"/>
    </row>
    <row r="284" spans="1:13" ht="17.399999999999999">
      <c r="A284" s="345"/>
      <c r="B284" s="345"/>
      <c r="C284" s="667"/>
      <c r="D284" s="667"/>
      <c r="E284" s="667"/>
      <c r="F284" s="667"/>
      <c r="G284" s="667"/>
      <c r="H284" s="667"/>
      <c r="I284" s="667"/>
      <c r="J284" s="667"/>
      <c r="K284" s="667"/>
      <c r="L284" s="667"/>
      <c r="M284" s="667"/>
    </row>
    <row r="285" spans="1:13" ht="17.399999999999999">
      <c r="A285" s="345"/>
      <c r="B285" s="345"/>
      <c r="C285" s="714"/>
      <c r="D285" s="714"/>
      <c r="E285" s="714"/>
      <c r="F285" s="714"/>
      <c r="G285" s="714"/>
      <c r="H285" s="714"/>
      <c r="I285" s="714"/>
      <c r="J285" s="714"/>
      <c r="K285" s="714"/>
      <c r="L285" s="714"/>
      <c r="M285" s="714"/>
    </row>
    <row r="309" spans="1:19" ht="17.399999999999999">
      <c r="A309" s="344"/>
      <c r="B309" s="669"/>
      <c r="C309" s="669"/>
      <c r="D309" s="669"/>
      <c r="E309" s="669"/>
      <c r="F309" s="669"/>
      <c r="G309" s="669"/>
      <c r="H309" s="669"/>
      <c r="I309" s="668"/>
      <c r="J309" s="668"/>
      <c r="K309" s="668"/>
      <c r="L309" s="668"/>
      <c r="M309" s="668"/>
      <c r="N309" s="668"/>
      <c r="O309" s="668"/>
      <c r="P309" s="668"/>
      <c r="Q309" s="668"/>
      <c r="R309" s="668"/>
      <c r="S309" s="668"/>
    </row>
    <row r="310" spans="1:19" ht="17.399999999999999">
      <c r="A310" s="686"/>
      <c r="B310" s="669"/>
      <c r="C310" s="669"/>
      <c r="D310" s="669"/>
      <c r="E310" s="669"/>
      <c r="F310" s="669"/>
      <c r="G310" s="669"/>
      <c r="H310" s="669"/>
      <c r="I310" s="668"/>
      <c r="J310" s="668"/>
      <c r="K310" s="668"/>
      <c r="L310" s="668"/>
      <c r="M310" s="668"/>
      <c r="N310" s="668"/>
      <c r="O310" s="668"/>
      <c r="P310" s="668"/>
      <c r="Q310" s="668"/>
      <c r="R310" s="668"/>
      <c r="S310" s="668"/>
    </row>
    <row r="311" spans="1:19">
      <c r="B311" s="82"/>
      <c r="C311" s="82"/>
      <c r="D311" s="82"/>
      <c r="E311" s="82"/>
      <c r="F311" s="82"/>
      <c r="G311" s="82"/>
      <c r="H311" s="82"/>
    </row>
  </sheetData>
  <mergeCells count="19">
    <mergeCell ref="B152:J152"/>
    <mergeCell ref="A208:M208"/>
    <mergeCell ref="A209:M209"/>
    <mergeCell ref="A210:M210"/>
    <mergeCell ref="O152:Q152"/>
    <mergeCell ref="B182:J182"/>
    <mergeCell ref="O182:Q182"/>
    <mergeCell ref="K152:N152"/>
    <mergeCell ref="K182:N182"/>
    <mergeCell ref="K7:N7"/>
    <mergeCell ref="O7:Q7"/>
    <mergeCell ref="K122:N122"/>
    <mergeCell ref="A70:O71"/>
    <mergeCell ref="B7:J7"/>
    <mergeCell ref="A40:M40"/>
    <mergeCell ref="A41:M41"/>
    <mergeCell ref="A42:M42"/>
    <mergeCell ref="B122:J122"/>
    <mergeCell ref="O122:Q122"/>
  </mergeCells>
  <phoneticPr fontId="0" type="noConversion"/>
  <printOptions horizontalCentered="1" verticalCentered="1" gridLinesSet="0"/>
  <pageMargins left="0.01" right="0.01" top="0.5" bottom="0.55000000000000004" header="0.5" footer="0.5"/>
  <pageSetup scale="41" orientation="landscape" errors="blank" r:id="rId1"/>
  <headerFooter alignWithMargins="0">
    <oddFooter>&amp;LDPP - OCBE
&amp;F&amp;R
&amp;16&amp;A</oddFooter>
  </headerFooter>
  <rowBreaks count="7" manualBreakCount="7">
    <brk id="39" max="16383" man="1"/>
    <brk id="77" max="16383" man="1"/>
    <brk id="117" max="16383" man="1"/>
    <brk id="147" max="16383" man="1"/>
    <brk id="177" max="16383" man="1"/>
    <brk id="207" max="16383" man="1"/>
    <brk id="246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AH416"/>
  <sheetViews>
    <sheetView showGridLines="0" tabSelected="1" view="pageBreakPreview" topLeftCell="A78" zoomScaleNormal="50" zoomScaleSheetLayoutView="100" workbookViewId="0">
      <selection activeCell="H108" sqref="H108"/>
    </sheetView>
  </sheetViews>
  <sheetFormatPr defaultColWidth="9.6640625" defaultRowHeight="13.2"/>
  <cols>
    <col min="1" max="1" width="19.5546875" style="589" customWidth="1"/>
    <col min="2" max="2" width="20.6640625" style="589" customWidth="1"/>
    <col min="3" max="13" width="13.33203125" style="589" customWidth="1"/>
    <col min="14" max="14" width="12.6640625" style="589" customWidth="1"/>
    <col min="15" max="16" width="13.33203125" style="589" customWidth="1"/>
    <col min="17" max="17" width="16.33203125" style="589" customWidth="1"/>
    <col min="18" max="18" width="15.109375" style="589" customWidth="1"/>
    <col min="19" max="19" width="12.6640625" style="589" customWidth="1"/>
    <col min="20" max="20" width="12.109375" style="589" customWidth="1"/>
    <col min="21" max="21" width="11.88671875" style="589" bestFit="1" customWidth="1"/>
    <col min="22" max="22" width="18.88671875" style="589" customWidth="1"/>
    <col min="23" max="23" width="18.33203125" style="589" customWidth="1"/>
    <col min="24" max="16384" width="9.6640625" style="589"/>
  </cols>
  <sheetData>
    <row r="1" spans="1:22">
      <c r="A1" s="715"/>
      <c r="M1" s="716"/>
    </row>
    <row r="2" spans="1:22" ht="13.8">
      <c r="C2" s="715"/>
      <c r="D2" s="717" t="s">
        <v>108</v>
      </c>
      <c r="E2" s="591"/>
      <c r="F2" s="592"/>
      <c r="G2" s="592"/>
      <c r="H2" s="592"/>
      <c r="I2" s="592"/>
    </row>
    <row r="3" spans="1:22" ht="13.8">
      <c r="C3" s="591"/>
      <c r="D3" s="717" t="s">
        <v>417</v>
      </c>
      <c r="E3" s="591"/>
      <c r="F3" s="592"/>
      <c r="G3" s="592"/>
      <c r="H3" s="592"/>
      <c r="I3" s="592"/>
    </row>
    <row r="4" spans="1:22" ht="13.8">
      <c r="C4" s="592"/>
      <c r="D4" s="592"/>
      <c r="E4" s="592"/>
      <c r="F4" s="592"/>
      <c r="G4" s="592"/>
      <c r="H4" s="592"/>
      <c r="I4" s="592"/>
    </row>
    <row r="5" spans="1:22" ht="17.399999999999999">
      <c r="C5" s="590" t="s">
        <v>23</v>
      </c>
      <c r="D5" s="598"/>
      <c r="E5" s="598"/>
      <c r="F5" s="598"/>
      <c r="G5" s="598"/>
      <c r="H5" s="594"/>
      <c r="I5" s="594" t="str">
        <f>ENRHIST!K9</f>
        <v>2025-26</v>
      </c>
    </row>
    <row r="6" spans="1:22">
      <c r="A6" s="718"/>
      <c r="B6" s="718"/>
      <c r="C6" s="718"/>
      <c r="D6" s="718"/>
      <c r="E6" s="718"/>
      <c r="F6" s="718"/>
      <c r="G6" s="718"/>
      <c r="H6" s="718"/>
      <c r="I6" s="718"/>
      <c r="J6" s="718"/>
      <c r="K6" s="718"/>
      <c r="L6" s="718"/>
      <c r="M6" s="718"/>
      <c r="N6" s="718"/>
      <c r="O6" s="718"/>
      <c r="P6" s="718"/>
      <c r="Q6" s="718"/>
      <c r="R6" s="718"/>
    </row>
    <row r="7" spans="1:22" ht="17.399999999999999">
      <c r="A7" s="543" t="s">
        <v>24</v>
      </c>
      <c r="B7" s="817" t="s">
        <v>25</v>
      </c>
      <c r="C7" s="817"/>
      <c r="D7" s="817"/>
      <c r="E7" s="817"/>
      <c r="F7" s="817"/>
      <c r="G7" s="817"/>
      <c r="H7" s="817"/>
      <c r="I7" s="817"/>
      <c r="J7" s="817"/>
      <c r="K7" s="813" t="s">
        <v>63</v>
      </c>
      <c r="L7" s="813"/>
      <c r="M7" s="813"/>
      <c r="N7" s="813"/>
      <c r="O7" s="813" t="s">
        <v>364</v>
      </c>
      <c r="P7" s="813"/>
      <c r="Q7" s="813"/>
      <c r="R7" s="545"/>
      <c r="S7" s="546" t="s">
        <v>27</v>
      </c>
      <c r="T7" s="675" t="s">
        <v>367</v>
      </c>
      <c r="U7" s="544" t="s">
        <v>109</v>
      </c>
      <c r="V7" s="676" t="s">
        <v>29</v>
      </c>
    </row>
    <row r="8" spans="1:22" ht="17.399999999999999">
      <c r="A8" s="547"/>
      <c r="B8" s="548" t="s">
        <v>289</v>
      </c>
      <c r="C8" s="548" t="s">
        <v>357</v>
      </c>
      <c r="D8" s="548" t="s">
        <v>358</v>
      </c>
      <c r="E8" s="548" t="s">
        <v>359</v>
      </c>
      <c r="F8" s="548" t="s">
        <v>360</v>
      </c>
      <c r="G8" s="548" t="s">
        <v>370</v>
      </c>
      <c r="H8" s="548" t="s">
        <v>356</v>
      </c>
      <c r="I8" s="548" t="s">
        <v>361</v>
      </c>
      <c r="J8" s="548" t="s">
        <v>406</v>
      </c>
      <c r="K8" s="548" t="s">
        <v>363</v>
      </c>
      <c r="L8" s="549" t="s">
        <v>36</v>
      </c>
      <c r="M8" s="549" t="s">
        <v>86</v>
      </c>
      <c r="N8" s="549" t="s">
        <v>99</v>
      </c>
      <c r="O8" s="550" t="s">
        <v>346</v>
      </c>
      <c r="P8" s="550" t="s">
        <v>90</v>
      </c>
      <c r="Q8" s="550" t="s">
        <v>103</v>
      </c>
      <c r="R8" s="551" t="s">
        <v>343</v>
      </c>
      <c r="S8" s="552"/>
      <c r="T8" s="778" t="s">
        <v>368</v>
      </c>
      <c r="U8" s="678"/>
      <c r="V8" s="679" t="s">
        <v>111</v>
      </c>
    </row>
    <row r="9" spans="1:22" ht="17.399999999999999">
      <c r="A9" s="345"/>
      <c r="B9" s="345"/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345"/>
      <c r="T9" s="345"/>
      <c r="U9" s="345"/>
      <c r="V9" s="345"/>
    </row>
    <row r="10" spans="1:22" ht="17.399999999999999">
      <c r="A10" s="553" t="s">
        <v>391</v>
      </c>
      <c r="B10" s="28">
        <f>ENRHIST!B14</f>
        <v>84</v>
      </c>
      <c r="C10" s="28">
        <f>ENRHIST!C14</f>
        <v>62</v>
      </c>
      <c r="D10" s="28">
        <f>ENRHIST!D14</f>
        <v>86</v>
      </c>
      <c r="E10" s="28">
        <f>ENRHIST!E14</f>
        <v>69</v>
      </c>
      <c r="F10" s="28">
        <f>ENRHIST!F14</f>
        <v>89</v>
      </c>
      <c r="G10" s="28">
        <f>ENRHIST!G14</f>
        <v>79</v>
      </c>
      <c r="H10" s="28">
        <f>ENRHIST!H14</f>
        <v>79</v>
      </c>
      <c r="I10" s="28">
        <f>ENRHIST!I14</f>
        <v>73</v>
      </c>
      <c r="J10" s="28">
        <f>ENRHIST!J14</f>
        <v>102</v>
      </c>
      <c r="K10" s="28"/>
      <c r="L10" s="28"/>
      <c r="M10" s="28"/>
      <c r="N10" s="28"/>
      <c r="O10" s="28"/>
      <c r="P10" s="28"/>
      <c r="Q10" s="28"/>
      <c r="R10" s="28"/>
      <c r="S10" s="345">
        <f t="shared" ref="S10:S23" si="0">SUM(B10:R10)</f>
        <v>723</v>
      </c>
      <c r="T10" s="346">
        <f>ENRHIST!AA14</f>
        <v>845</v>
      </c>
      <c r="U10" s="666">
        <f>S10-T10</f>
        <v>-122</v>
      </c>
      <c r="V10" s="566">
        <f>T10/S10</f>
        <v>1.1687413554633472</v>
      </c>
    </row>
    <row r="11" spans="1:22" ht="17.399999999999999">
      <c r="A11" s="553">
        <v>1</v>
      </c>
      <c r="B11" s="28">
        <f>ENRHIST!B15</f>
        <v>84</v>
      </c>
      <c r="C11" s="28">
        <f>ENRHIST!C15</f>
        <v>69</v>
      </c>
      <c r="D11" s="28">
        <f>ENRHIST!D15</f>
        <v>87</v>
      </c>
      <c r="E11" s="28">
        <f>ENRHIST!E15</f>
        <v>75</v>
      </c>
      <c r="F11" s="28">
        <f>ENRHIST!F15</f>
        <v>86</v>
      </c>
      <c r="G11" s="28">
        <f>ENRHIST!G15</f>
        <v>88</v>
      </c>
      <c r="H11" s="28">
        <f>ENRHIST!H15</f>
        <v>90</v>
      </c>
      <c r="I11" s="28">
        <f>ENRHIST!I15</f>
        <v>72</v>
      </c>
      <c r="J11" s="28">
        <f>ENRHIST!J15</f>
        <v>84</v>
      </c>
      <c r="K11" s="28"/>
      <c r="L11" s="28"/>
      <c r="M11" s="28"/>
      <c r="N11" s="28"/>
      <c r="O11" s="28"/>
      <c r="P11" s="28"/>
      <c r="Q11" s="28"/>
      <c r="R11" s="28"/>
      <c r="S11" s="345">
        <f t="shared" si="0"/>
        <v>735</v>
      </c>
      <c r="T11" s="346">
        <f>ENRHIST!AA15</f>
        <v>776</v>
      </c>
      <c r="U11" s="666">
        <f t="shared" ref="U11:U23" si="1">S11-T11</f>
        <v>-41</v>
      </c>
      <c r="V11" s="566">
        <f t="shared" ref="V11:V23" si="2">T11/S11</f>
        <v>1.05578231292517</v>
      </c>
    </row>
    <row r="12" spans="1:22" ht="17.399999999999999">
      <c r="A12" s="553">
        <v>2</v>
      </c>
      <c r="B12" s="28">
        <f>ENRHIST!B16</f>
        <v>103</v>
      </c>
      <c r="C12" s="28">
        <f>ENRHIST!C16</f>
        <v>72</v>
      </c>
      <c r="D12" s="28">
        <f>ENRHIST!D16</f>
        <v>95</v>
      </c>
      <c r="E12" s="28">
        <f>ENRHIST!E16</f>
        <v>93</v>
      </c>
      <c r="F12" s="28">
        <f>ENRHIST!F16</f>
        <v>103</v>
      </c>
      <c r="G12" s="28">
        <f>ENRHIST!G16</f>
        <v>80</v>
      </c>
      <c r="H12" s="28">
        <f>ENRHIST!H16</f>
        <v>97</v>
      </c>
      <c r="I12" s="28">
        <f>ENRHIST!I16</f>
        <v>68</v>
      </c>
      <c r="J12" s="28">
        <f>ENRHIST!J16</f>
        <v>96</v>
      </c>
      <c r="K12" s="28"/>
      <c r="L12" s="28"/>
      <c r="M12" s="28"/>
      <c r="N12" s="28"/>
      <c r="O12" s="28"/>
      <c r="P12" s="28"/>
      <c r="Q12" s="28"/>
      <c r="R12" s="28"/>
      <c r="S12" s="345">
        <f t="shared" si="0"/>
        <v>807</v>
      </c>
      <c r="T12" s="346">
        <f>ENRHIST!AA16</f>
        <v>807</v>
      </c>
      <c r="U12" s="666">
        <f t="shared" si="1"/>
        <v>0</v>
      </c>
      <c r="V12" s="566">
        <f t="shared" si="2"/>
        <v>1</v>
      </c>
    </row>
    <row r="13" spans="1:22" ht="17.399999999999999">
      <c r="A13" s="553">
        <v>3</v>
      </c>
      <c r="B13" s="28">
        <f>ENRHIST!B17</f>
        <v>99</v>
      </c>
      <c r="C13" s="28">
        <f>ENRHIST!C17</f>
        <v>81</v>
      </c>
      <c r="D13" s="28">
        <f>ENRHIST!D17</f>
        <v>95</v>
      </c>
      <c r="E13" s="28">
        <f>ENRHIST!E17</f>
        <v>84</v>
      </c>
      <c r="F13" s="28">
        <f>ENRHIST!F17</f>
        <v>109</v>
      </c>
      <c r="G13" s="28">
        <f>ENRHIST!G17</f>
        <v>102</v>
      </c>
      <c r="H13" s="28">
        <f>ENRHIST!H17</f>
        <v>120</v>
      </c>
      <c r="I13" s="28">
        <f>ENRHIST!I17</f>
        <v>77</v>
      </c>
      <c r="J13" s="28">
        <f>ENRHIST!J17</f>
        <v>109</v>
      </c>
      <c r="K13" s="28"/>
      <c r="L13" s="28"/>
      <c r="M13" s="28"/>
      <c r="N13" s="28"/>
      <c r="O13" s="28"/>
      <c r="P13" s="28"/>
      <c r="Q13" s="28"/>
      <c r="R13" s="28"/>
      <c r="S13" s="345">
        <f t="shared" si="0"/>
        <v>876</v>
      </c>
      <c r="T13" s="346">
        <f>ENRHIST!AA17</f>
        <v>876</v>
      </c>
      <c r="U13" s="666">
        <f t="shared" si="1"/>
        <v>0</v>
      </c>
      <c r="V13" s="566">
        <f t="shared" si="2"/>
        <v>1</v>
      </c>
    </row>
    <row r="14" spans="1:22" ht="17.399999999999999">
      <c r="A14" s="555">
        <v>4</v>
      </c>
      <c r="B14" s="28">
        <f>ENRHIST!B18</f>
        <v>132</v>
      </c>
      <c r="C14" s="28">
        <f>ENRHIST!C18</f>
        <v>79</v>
      </c>
      <c r="D14" s="28">
        <f>ENRHIST!D18</f>
        <v>80</v>
      </c>
      <c r="E14" s="28">
        <f>ENRHIST!E18</f>
        <v>104</v>
      </c>
      <c r="F14" s="28">
        <f>ENRHIST!F18</f>
        <v>106</v>
      </c>
      <c r="G14" s="28">
        <f>ENRHIST!G18</f>
        <v>89</v>
      </c>
      <c r="H14" s="28">
        <f>ENRHIST!H18</f>
        <v>97</v>
      </c>
      <c r="I14" s="28">
        <f>ENRHIST!I18</f>
        <v>94</v>
      </c>
      <c r="J14" s="28">
        <f>ENRHIST!J18</f>
        <v>93</v>
      </c>
      <c r="K14" s="28"/>
      <c r="L14" s="28"/>
      <c r="M14" s="28"/>
      <c r="N14" s="28"/>
      <c r="O14" s="28"/>
      <c r="P14" s="28"/>
      <c r="Q14" s="28"/>
      <c r="R14" s="28"/>
      <c r="S14" s="345">
        <f t="shared" si="0"/>
        <v>874</v>
      </c>
      <c r="T14" s="346">
        <f>ENRHIST!AA18</f>
        <v>876</v>
      </c>
      <c r="U14" s="666">
        <f t="shared" si="1"/>
        <v>-2</v>
      </c>
      <c r="V14" s="566">
        <f t="shared" si="2"/>
        <v>1.0022883295194509</v>
      </c>
    </row>
    <row r="15" spans="1:22" ht="17.399999999999999">
      <c r="A15" s="555">
        <v>5</v>
      </c>
      <c r="B15" s="28">
        <f>ENRHIST!B19</f>
        <v>115</v>
      </c>
      <c r="C15" s="28">
        <f>ENRHIST!C19</f>
        <v>89</v>
      </c>
      <c r="D15" s="28">
        <f>ENRHIST!D19</f>
        <v>96</v>
      </c>
      <c r="E15" s="28">
        <f>ENRHIST!E19</f>
        <v>101</v>
      </c>
      <c r="F15" s="28">
        <f>ENRHIST!F19</f>
        <v>119</v>
      </c>
      <c r="G15" s="28">
        <f>ENRHIST!G19</f>
        <v>111</v>
      </c>
      <c r="H15" s="28">
        <f>ENRHIST!H19</f>
        <v>119</v>
      </c>
      <c r="I15" s="28">
        <f>ENRHIST!I19</f>
        <v>62</v>
      </c>
      <c r="J15" s="28">
        <f>ENRHIST!J19</f>
        <v>111</v>
      </c>
      <c r="K15" s="28"/>
      <c r="L15" s="28"/>
      <c r="M15" s="28"/>
      <c r="N15" s="28"/>
      <c r="O15" s="28"/>
      <c r="P15" s="28"/>
      <c r="Q15" s="28"/>
      <c r="R15" s="28"/>
      <c r="S15" s="345">
        <f t="shared" si="0"/>
        <v>923</v>
      </c>
      <c r="T15" s="346">
        <f>ENRHIST!AA19</f>
        <v>931</v>
      </c>
      <c r="U15" s="666">
        <f t="shared" si="1"/>
        <v>-8</v>
      </c>
      <c r="V15" s="566">
        <f t="shared" si="2"/>
        <v>1.0086673889490791</v>
      </c>
    </row>
    <row r="16" spans="1:22" ht="17.399999999999999">
      <c r="A16" s="555">
        <v>6</v>
      </c>
      <c r="B16" s="28"/>
      <c r="C16" s="28"/>
      <c r="D16" s="28"/>
      <c r="E16" s="28"/>
      <c r="F16" s="28"/>
      <c r="G16" s="28"/>
      <c r="H16" s="28"/>
      <c r="I16" s="28"/>
      <c r="J16" s="28"/>
      <c r="K16" s="28">
        <f>ENRHIST!K20</f>
        <v>176</v>
      </c>
      <c r="L16" s="28">
        <f>ENRHIST!L20</f>
        <v>246</v>
      </c>
      <c r="M16" s="28">
        <f>ENRHIST!M20</f>
        <v>232</v>
      </c>
      <c r="N16" s="28">
        <f>ENRHIST!N20</f>
        <v>297</v>
      </c>
      <c r="O16" s="28"/>
      <c r="P16" s="28"/>
      <c r="Q16" s="28"/>
      <c r="R16" s="28"/>
      <c r="S16" s="345">
        <f t="shared" si="0"/>
        <v>951</v>
      </c>
      <c r="T16" s="346">
        <f>ENRHIST!AA20</f>
        <v>945</v>
      </c>
      <c r="U16" s="666">
        <f t="shared" si="1"/>
        <v>6</v>
      </c>
      <c r="V16" s="566">
        <f t="shared" si="2"/>
        <v>0.99369085173501581</v>
      </c>
    </row>
    <row r="17" spans="1:23" ht="17.399999999999999">
      <c r="A17" s="555">
        <v>7</v>
      </c>
      <c r="B17" s="28"/>
      <c r="C17" s="28"/>
      <c r="D17" s="28"/>
      <c r="E17" s="28"/>
      <c r="F17" s="28"/>
      <c r="G17" s="28"/>
      <c r="H17" s="28"/>
      <c r="I17" s="28"/>
      <c r="J17" s="28"/>
      <c r="K17" s="28">
        <f>ENRHIST!K21</f>
        <v>193</v>
      </c>
      <c r="L17" s="28">
        <f>ENRHIST!L21</f>
        <v>236</v>
      </c>
      <c r="M17" s="28">
        <f>ENRHIST!M21</f>
        <v>269</v>
      </c>
      <c r="N17" s="28">
        <f>ENRHIST!N21</f>
        <v>296</v>
      </c>
      <c r="O17" s="28"/>
      <c r="P17" s="28"/>
      <c r="Q17" s="28"/>
      <c r="R17" s="28">
        <f>ENRHIST!R21</f>
        <v>1</v>
      </c>
      <c r="S17" s="345">
        <f t="shared" si="0"/>
        <v>995</v>
      </c>
      <c r="T17" s="346">
        <f>ENRHIST!AA21</f>
        <v>992</v>
      </c>
      <c r="U17" s="666">
        <f t="shared" si="1"/>
        <v>3</v>
      </c>
      <c r="V17" s="566">
        <f t="shared" si="2"/>
        <v>0.99698492462311561</v>
      </c>
    </row>
    <row r="18" spans="1:23" ht="17.399999999999999">
      <c r="A18" s="555">
        <v>8</v>
      </c>
      <c r="B18" s="28"/>
      <c r="C18" s="28"/>
      <c r="D18" s="28"/>
      <c r="E18" s="28"/>
      <c r="F18" s="28"/>
      <c r="G18" s="28"/>
      <c r="H18" s="28"/>
      <c r="I18" s="28"/>
      <c r="J18" s="28"/>
      <c r="K18" s="28">
        <f>ENRHIST!K22</f>
        <v>189</v>
      </c>
      <c r="L18" s="28">
        <f>ENRHIST!L22</f>
        <v>238</v>
      </c>
      <c r="M18" s="28">
        <f>ENRHIST!M22</f>
        <v>247</v>
      </c>
      <c r="N18" s="28">
        <f>ENRHIST!N22</f>
        <v>272</v>
      </c>
      <c r="O18" s="28"/>
      <c r="P18" s="28"/>
      <c r="Q18" s="28"/>
      <c r="R18" s="28">
        <f>ENRHIST!R22</f>
        <v>2</v>
      </c>
      <c r="S18" s="345">
        <f t="shared" si="0"/>
        <v>948</v>
      </c>
      <c r="T18" s="346">
        <f>ENRHIST!AA22</f>
        <v>947</v>
      </c>
      <c r="U18" s="666">
        <f t="shared" si="1"/>
        <v>1</v>
      </c>
      <c r="V18" s="566">
        <f t="shared" si="2"/>
        <v>0.99894514767932485</v>
      </c>
    </row>
    <row r="19" spans="1:23" ht="17.399999999999999">
      <c r="A19" s="555">
        <v>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>
        <f>ENRHIST!O23</f>
        <v>239</v>
      </c>
      <c r="P19" s="28">
        <f>ENRHIST!P23</f>
        <v>412</v>
      </c>
      <c r="Q19" s="28">
        <f>ENRHIST!Q23</f>
        <v>370</v>
      </c>
      <c r="R19" s="28">
        <f>ENRHIST!R23</f>
        <v>15</v>
      </c>
      <c r="S19" s="345">
        <f t="shared" si="0"/>
        <v>1036</v>
      </c>
      <c r="T19" s="346">
        <f>ENRHIST!AA23</f>
        <v>1048</v>
      </c>
      <c r="U19" s="666">
        <f t="shared" si="1"/>
        <v>-12</v>
      </c>
      <c r="V19" s="566">
        <f t="shared" si="2"/>
        <v>1.0115830115830116</v>
      </c>
    </row>
    <row r="20" spans="1:23" ht="17.399999999999999">
      <c r="A20" s="555">
        <v>10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>
        <f>ENRHIST!O24</f>
        <v>234</v>
      </c>
      <c r="P20" s="28">
        <f>ENRHIST!P24</f>
        <v>351</v>
      </c>
      <c r="Q20" s="28">
        <f>ENRHIST!Q24</f>
        <v>355</v>
      </c>
      <c r="R20" s="28">
        <f>ENRHIST!R24</f>
        <v>14</v>
      </c>
      <c r="S20" s="345">
        <f t="shared" si="0"/>
        <v>954</v>
      </c>
      <c r="T20" s="346">
        <f>ENRHIST!AA24</f>
        <v>976</v>
      </c>
      <c r="U20" s="666">
        <f t="shared" si="1"/>
        <v>-22</v>
      </c>
      <c r="V20" s="566">
        <f t="shared" si="2"/>
        <v>1.0230607966457024</v>
      </c>
    </row>
    <row r="21" spans="1:23" ht="17.399999999999999">
      <c r="A21" s="555">
        <v>11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>
        <f>ENRHIST!O25</f>
        <v>247</v>
      </c>
      <c r="P21" s="28">
        <f>ENRHIST!P25</f>
        <v>396</v>
      </c>
      <c r="Q21" s="28">
        <f>ENRHIST!Q25</f>
        <v>285</v>
      </c>
      <c r="R21" s="28">
        <f>ENRHIST!R25</f>
        <v>13</v>
      </c>
      <c r="S21" s="345">
        <f t="shared" si="0"/>
        <v>941</v>
      </c>
      <c r="T21" s="346">
        <f>ENRHIST!AA25</f>
        <v>929</v>
      </c>
      <c r="U21" s="666">
        <f t="shared" si="1"/>
        <v>12</v>
      </c>
      <c r="V21" s="566">
        <f t="shared" si="2"/>
        <v>0.98724760892667374</v>
      </c>
    </row>
    <row r="22" spans="1:23" ht="17.399999999999999">
      <c r="A22" s="555">
        <v>12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>
        <f>ENRHIST!O26</f>
        <v>227</v>
      </c>
      <c r="P22" s="28">
        <f>ENRHIST!P26</f>
        <v>400</v>
      </c>
      <c r="Q22" s="28">
        <f>ENRHIST!Q26</f>
        <v>358</v>
      </c>
      <c r="R22" s="28">
        <f>ENRHIST!R26</f>
        <v>11</v>
      </c>
      <c r="S22" s="345">
        <f t="shared" si="0"/>
        <v>996</v>
      </c>
      <c r="T22" s="346">
        <f>ENRHIST!AA26</f>
        <v>983</v>
      </c>
      <c r="U22" s="666">
        <f t="shared" si="1"/>
        <v>13</v>
      </c>
      <c r="V22" s="566">
        <f t="shared" si="2"/>
        <v>0.98694779116465858</v>
      </c>
    </row>
    <row r="23" spans="1:23" ht="17.399999999999999">
      <c r="A23" s="555" t="s">
        <v>386</v>
      </c>
      <c r="B23" s="28">
        <f>ENRHIST!B27</f>
        <v>0</v>
      </c>
      <c r="C23" s="28">
        <f>ENRHIST!C27</f>
        <v>0</v>
      </c>
      <c r="D23" s="28">
        <f>ENRHIST!D27</f>
        <v>0</v>
      </c>
      <c r="E23" s="28">
        <f>ENRHIST!E27</f>
        <v>0</v>
      </c>
      <c r="F23" s="28">
        <f>ENRHIST!F27</f>
        <v>0</v>
      </c>
      <c r="G23" s="28">
        <f>ENRHIST!G27</f>
        <v>0</v>
      </c>
      <c r="H23" s="28">
        <f>ENRHIST!H27</f>
        <v>0</v>
      </c>
      <c r="I23" s="28">
        <f>ENRHIST!I27</f>
        <v>0</v>
      </c>
      <c r="J23" s="28">
        <f>ENRHIST!J27</f>
        <v>0</v>
      </c>
      <c r="K23" s="28">
        <f>ENRHIST!K27</f>
        <v>0</v>
      </c>
      <c r="L23" s="28">
        <f>ENRHIST!L27</f>
        <v>0</v>
      </c>
      <c r="M23" s="28">
        <f>ENRHIST!M27</f>
        <v>0</v>
      </c>
      <c r="N23" s="28">
        <f>ENRHIST!N27</f>
        <v>0</v>
      </c>
      <c r="O23" s="28">
        <f>ENRHIST!O27</f>
        <v>6</v>
      </c>
      <c r="P23" s="28">
        <f>ENRHIST!P27</f>
        <v>9</v>
      </c>
      <c r="Q23" s="28">
        <f>ENRHIST!Q27</f>
        <v>7</v>
      </c>
      <c r="R23" s="28">
        <f>ENRHIST!R27</f>
        <v>0</v>
      </c>
      <c r="S23" s="345">
        <f t="shared" si="0"/>
        <v>22</v>
      </c>
      <c r="T23" s="346">
        <f>ENRHIST!AA27</f>
        <v>13</v>
      </c>
      <c r="U23" s="666">
        <f t="shared" si="1"/>
        <v>9</v>
      </c>
      <c r="V23" s="566">
        <f t="shared" si="2"/>
        <v>0.59090909090909094</v>
      </c>
    </row>
    <row r="24" spans="1:23" ht="17.399999999999999">
      <c r="A24" s="556"/>
      <c r="B24" s="544"/>
      <c r="C24" s="557"/>
      <c r="D24" s="557"/>
      <c r="E24" s="557"/>
      <c r="F24" s="557"/>
      <c r="G24" s="557"/>
      <c r="H24" s="557"/>
      <c r="I24" s="557"/>
      <c r="J24" s="557"/>
      <c r="K24" s="557"/>
      <c r="L24" s="557"/>
      <c r="M24" s="557"/>
      <c r="N24" s="557"/>
      <c r="O24" s="557"/>
      <c r="P24" s="557"/>
      <c r="Q24" s="557"/>
      <c r="R24" s="557"/>
      <c r="S24" s="558"/>
      <c r="T24" s="557"/>
      <c r="U24" s="544"/>
      <c r="V24" s="558"/>
    </row>
    <row r="25" spans="1:23" ht="17.399999999999999">
      <c r="A25" s="547" t="s">
        <v>51</v>
      </c>
      <c r="B25" s="559">
        <f>SUM(B10:B23)</f>
        <v>617</v>
      </c>
      <c r="C25" s="559">
        <f t="shared" ref="C25:S25" si="3">SUM(C10:C23)</f>
        <v>452</v>
      </c>
      <c r="D25" s="559">
        <f t="shared" si="3"/>
        <v>539</v>
      </c>
      <c r="E25" s="559">
        <f t="shared" si="3"/>
        <v>526</v>
      </c>
      <c r="F25" s="559">
        <f t="shared" si="3"/>
        <v>612</v>
      </c>
      <c r="G25" s="559">
        <f>SUM(G10:G23)</f>
        <v>549</v>
      </c>
      <c r="H25" s="559">
        <f t="shared" si="3"/>
        <v>602</v>
      </c>
      <c r="I25" s="559">
        <f t="shared" si="3"/>
        <v>446</v>
      </c>
      <c r="J25" s="559">
        <f>SUM(J10:J23)</f>
        <v>595</v>
      </c>
      <c r="K25" s="559">
        <f>SUM(K10:K23)</f>
        <v>558</v>
      </c>
      <c r="L25" s="560">
        <f t="shared" si="3"/>
        <v>720</v>
      </c>
      <c r="M25" s="560">
        <f t="shared" si="3"/>
        <v>748</v>
      </c>
      <c r="N25" s="560">
        <f t="shared" si="3"/>
        <v>865</v>
      </c>
      <c r="O25" s="560">
        <f t="shared" si="3"/>
        <v>953</v>
      </c>
      <c r="P25" s="560">
        <f t="shared" si="3"/>
        <v>1568</v>
      </c>
      <c r="Q25" s="560">
        <f t="shared" si="3"/>
        <v>1375</v>
      </c>
      <c r="R25" s="560">
        <f t="shared" si="3"/>
        <v>56</v>
      </c>
      <c r="S25" s="561">
        <f t="shared" si="3"/>
        <v>11781</v>
      </c>
      <c r="T25" s="560">
        <f>SUM(T10:T23)</f>
        <v>11944</v>
      </c>
      <c r="U25" s="680">
        <f>SUM(U10:U23)</f>
        <v>-163</v>
      </c>
      <c r="V25" s="681">
        <f>T25/S25</f>
        <v>1.0138358373652492</v>
      </c>
    </row>
    <row r="26" spans="1:23" ht="17.399999999999999">
      <c r="A26" s="345"/>
      <c r="B26" s="345"/>
      <c r="C26" s="345"/>
      <c r="D26" s="345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</row>
    <row r="27" spans="1:23" ht="17.399999999999999">
      <c r="A27" s="701" t="s">
        <v>112</v>
      </c>
      <c r="B27" s="554">
        <f>ENRHIST!B38</f>
        <v>642</v>
      </c>
      <c r="C27" s="554">
        <f>ENRHIST!C38</f>
        <v>469</v>
      </c>
      <c r="D27" s="554">
        <f>ENRHIST!D38</f>
        <v>532</v>
      </c>
      <c r="E27" s="554">
        <f>ENRHIST!E38</f>
        <v>551</v>
      </c>
      <c r="F27" s="554">
        <f>ENRHIST!F38</f>
        <v>636</v>
      </c>
      <c r="G27" s="554">
        <f>ENRHIST!G38</f>
        <v>573</v>
      </c>
      <c r="H27" s="554">
        <f>ENRHIST!H38</f>
        <v>638</v>
      </c>
      <c r="I27" s="554">
        <f>ENRHIST!I38</f>
        <v>467</v>
      </c>
      <c r="J27" s="554">
        <f>ENRHIST!J38</f>
        <v>603</v>
      </c>
      <c r="K27" s="554">
        <f>ENRHIST!K38</f>
        <v>586</v>
      </c>
      <c r="L27" s="554">
        <f>ENRHIST!L38</f>
        <v>730</v>
      </c>
      <c r="M27" s="554">
        <f>ENRHIST!M38</f>
        <v>765</v>
      </c>
      <c r="N27" s="554">
        <f>ENRHIST!N38</f>
        <v>803</v>
      </c>
      <c r="O27" s="554">
        <f>ENRHIST!O38</f>
        <v>973</v>
      </c>
      <c r="P27" s="554">
        <f>ENRHIST!P38</f>
        <v>1602</v>
      </c>
      <c r="Q27" s="554">
        <f>ENRHIST!Q38</f>
        <v>1327</v>
      </c>
      <c r="R27" s="554">
        <f>ENRHIST!R38</f>
        <v>47</v>
      </c>
      <c r="S27" s="682"/>
      <c r="T27" s="346">
        <f>SUM(B27:S27)</f>
        <v>11944</v>
      </c>
      <c r="U27" s="345"/>
      <c r="V27" s="345"/>
    </row>
    <row r="28" spans="1:23" ht="17.399999999999999">
      <c r="A28" s="345"/>
      <c r="B28" s="554"/>
      <c r="C28" s="554"/>
      <c r="D28" s="554"/>
      <c r="E28" s="554"/>
      <c r="F28" s="554"/>
      <c r="G28" s="554"/>
      <c r="H28" s="554"/>
      <c r="I28" s="554"/>
      <c r="J28" s="554"/>
      <c r="K28" s="554"/>
      <c r="L28" s="554"/>
      <c r="M28" s="554"/>
      <c r="N28" s="554"/>
      <c r="O28" s="554"/>
      <c r="P28" s="554"/>
      <c r="Q28" s="554"/>
      <c r="R28" s="554"/>
      <c r="S28" s="683"/>
      <c r="T28" s="683"/>
      <c r="U28" s="345"/>
      <c r="V28" s="345"/>
      <c r="W28" s="345"/>
    </row>
    <row r="29" spans="1:23" ht="17.399999999999999">
      <c r="A29" s="344" t="s">
        <v>113</v>
      </c>
      <c r="B29" s="670">
        <f t="shared" ref="B29:R29" si="4">B25-B27</f>
        <v>-25</v>
      </c>
      <c r="C29" s="670">
        <f t="shared" si="4"/>
        <v>-17</v>
      </c>
      <c r="D29" s="670">
        <f t="shared" si="4"/>
        <v>7</v>
      </c>
      <c r="E29" s="670">
        <f t="shared" si="4"/>
        <v>-25</v>
      </c>
      <c r="F29" s="670">
        <f t="shared" si="4"/>
        <v>-24</v>
      </c>
      <c r="G29" s="670">
        <f t="shared" si="4"/>
        <v>-24</v>
      </c>
      <c r="H29" s="670">
        <f t="shared" si="4"/>
        <v>-36</v>
      </c>
      <c r="I29" s="670">
        <f t="shared" si="4"/>
        <v>-21</v>
      </c>
      <c r="J29" s="670">
        <f t="shared" si="4"/>
        <v>-8</v>
      </c>
      <c r="K29" s="670">
        <f t="shared" si="4"/>
        <v>-28</v>
      </c>
      <c r="L29" s="670">
        <f t="shared" si="4"/>
        <v>-10</v>
      </c>
      <c r="M29" s="670">
        <f t="shared" si="4"/>
        <v>-17</v>
      </c>
      <c r="N29" s="670">
        <f t="shared" si="4"/>
        <v>62</v>
      </c>
      <c r="O29" s="670">
        <f t="shared" si="4"/>
        <v>-20</v>
      </c>
      <c r="P29" s="670">
        <f t="shared" si="4"/>
        <v>-34</v>
      </c>
      <c r="Q29" s="670">
        <f t="shared" si="4"/>
        <v>48</v>
      </c>
      <c r="R29" s="670">
        <f t="shared" si="4"/>
        <v>9</v>
      </c>
      <c r="S29" s="666"/>
      <c r="T29" s="666"/>
      <c r="U29" s="345"/>
      <c r="V29" s="345"/>
      <c r="W29" s="345"/>
    </row>
    <row r="30" spans="1:23" ht="17.399999999999999">
      <c r="A30" s="345"/>
      <c r="B30" s="554"/>
      <c r="C30" s="554"/>
      <c r="D30" s="554"/>
      <c r="E30" s="554"/>
      <c r="F30" s="554"/>
      <c r="G30" s="554"/>
      <c r="H30" s="554"/>
      <c r="I30" s="554"/>
      <c r="J30" s="554"/>
      <c r="K30" s="554"/>
      <c r="L30" s="554"/>
      <c r="M30" s="554"/>
      <c r="N30" s="554"/>
      <c r="O30" s="554"/>
      <c r="P30" s="554"/>
      <c r="Q30" s="554"/>
      <c r="R30" s="554"/>
      <c r="S30" s="666"/>
      <c r="T30" s="666"/>
      <c r="U30" s="345"/>
      <c r="V30" s="345"/>
      <c r="W30" s="345"/>
    </row>
    <row r="31" spans="1:23" ht="17.399999999999999">
      <c r="A31" s="344" t="s">
        <v>114</v>
      </c>
      <c r="B31" s="685">
        <f t="shared" ref="B31:R31" si="5">B27/B25</f>
        <v>1.0405186385737439</v>
      </c>
      <c r="C31" s="685">
        <f t="shared" si="5"/>
        <v>1.0376106194690264</v>
      </c>
      <c r="D31" s="685">
        <f t="shared" si="5"/>
        <v>0.98701298701298701</v>
      </c>
      <c r="E31" s="685">
        <f t="shared" si="5"/>
        <v>1.0475285171102662</v>
      </c>
      <c r="F31" s="685">
        <f t="shared" si="5"/>
        <v>1.0392156862745099</v>
      </c>
      <c r="G31" s="685">
        <f t="shared" si="5"/>
        <v>1.0437158469945356</v>
      </c>
      <c r="H31" s="685">
        <f t="shared" si="5"/>
        <v>1.0598006644518272</v>
      </c>
      <c r="I31" s="685">
        <f t="shared" si="5"/>
        <v>1.047085201793722</v>
      </c>
      <c r="J31" s="685">
        <f t="shared" si="5"/>
        <v>1.0134453781512605</v>
      </c>
      <c r="K31" s="685">
        <f t="shared" si="5"/>
        <v>1.0501792114695341</v>
      </c>
      <c r="L31" s="685">
        <f t="shared" si="5"/>
        <v>1.0138888888888888</v>
      </c>
      <c r="M31" s="685">
        <f t="shared" si="5"/>
        <v>1.0227272727272727</v>
      </c>
      <c r="N31" s="685">
        <f t="shared" si="5"/>
        <v>0.92832369942196535</v>
      </c>
      <c r="O31" s="685">
        <f t="shared" si="5"/>
        <v>1.0209863588667367</v>
      </c>
      <c r="P31" s="685">
        <f t="shared" si="5"/>
        <v>1.0216836734693877</v>
      </c>
      <c r="Q31" s="685">
        <f t="shared" si="5"/>
        <v>0.96509090909090911</v>
      </c>
      <c r="R31" s="685">
        <f t="shared" si="5"/>
        <v>0.8392857142857143</v>
      </c>
      <c r="S31" s="685">
        <f>T27/S25</f>
        <v>1.0138358373652492</v>
      </c>
      <c r="T31" s="685"/>
      <c r="U31" s="345"/>
      <c r="V31" s="345"/>
      <c r="W31" s="345"/>
    </row>
    <row r="32" spans="1:23" ht="17.399999999999999">
      <c r="A32" s="345"/>
      <c r="B32" s="554"/>
      <c r="C32" s="554"/>
      <c r="D32" s="554"/>
      <c r="E32" s="554"/>
      <c r="F32" s="554"/>
      <c r="G32" s="554"/>
      <c r="H32" s="554"/>
      <c r="I32" s="554"/>
      <c r="J32" s="554"/>
      <c r="K32" s="554"/>
      <c r="L32" s="554"/>
      <c r="M32" s="554"/>
      <c r="N32" s="554"/>
      <c r="O32" s="554"/>
      <c r="P32" s="554"/>
      <c r="Q32" s="554"/>
      <c r="R32" s="554"/>
      <c r="S32" s="554"/>
      <c r="T32" s="554"/>
      <c r="U32" s="345"/>
      <c r="V32" s="345"/>
      <c r="W32" s="345"/>
    </row>
    <row r="33" spans="1:23" ht="17.399999999999999">
      <c r="A33" s="344" t="s">
        <v>115</v>
      </c>
      <c r="B33" s="554">
        <v>625</v>
      </c>
      <c r="C33" s="554">
        <f>ENPRJ3!C33</f>
        <v>575</v>
      </c>
      <c r="D33" s="554">
        <f>ENPRJ3!D33</f>
        <v>600</v>
      </c>
      <c r="E33" s="554">
        <f>ENPRJ3!E33</f>
        <v>725</v>
      </c>
      <c r="F33" s="554">
        <f>ENPRJ3!F33</f>
        <v>725</v>
      </c>
      <c r="G33" s="554">
        <f>ENPRJ3!G33</f>
        <v>625</v>
      </c>
      <c r="H33" s="554">
        <f>ENPRJ3!H33</f>
        <v>700</v>
      </c>
      <c r="I33" s="554">
        <f>ENPRJ3!I33</f>
        <v>593</v>
      </c>
      <c r="J33" s="554">
        <f>ENPRJ3!J33</f>
        <v>750</v>
      </c>
      <c r="K33" s="554">
        <f>ENPRJ3!K33</f>
        <v>667</v>
      </c>
      <c r="L33" s="554">
        <f>ENPRJ3!L33</f>
        <v>864</v>
      </c>
      <c r="M33" s="554">
        <f>ENPRJ3!M33</f>
        <v>779</v>
      </c>
      <c r="N33" s="554">
        <f>ENPRJ3!N33</f>
        <v>756</v>
      </c>
      <c r="O33" s="554">
        <f>ENPRJ3!O33</f>
        <v>1267</v>
      </c>
      <c r="P33" s="554">
        <f>ENPRJ3!P33</f>
        <v>1495</v>
      </c>
      <c r="Q33" s="554">
        <f>ENPRJ3!Q33</f>
        <v>1019</v>
      </c>
      <c r="R33" s="554">
        <v>100</v>
      </c>
      <c r="S33" s="670">
        <f>SUM(B33:R33)</f>
        <v>12865</v>
      </c>
      <c r="T33" s="670"/>
      <c r="U33" s="345"/>
      <c r="V33" s="345"/>
      <c r="W33" s="345"/>
    </row>
    <row r="34" spans="1:23" ht="17.399999999999999">
      <c r="A34" s="345"/>
      <c r="B34" s="554"/>
      <c r="C34" s="554"/>
      <c r="D34" s="554"/>
      <c r="E34" s="554"/>
      <c r="F34" s="554"/>
      <c r="G34" s="554"/>
      <c r="H34" s="554"/>
      <c r="I34" s="554"/>
      <c r="J34" s="554"/>
      <c r="K34" s="554"/>
      <c r="L34" s="554"/>
      <c r="M34" s="554"/>
      <c r="N34" s="554"/>
      <c r="O34" s="554"/>
      <c r="P34" s="554"/>
      <c r="Q34" s="554"/>
      <c r="R34" s="554"/>
      <c r="S34" s="554"/>
      <c r="T34" s="554"/>
      <c r="U34" s="345"/>
      <c r="V34" s="345"/>
      <c r="W34" s="345"/>
    </row>
    <row r="35" spans="1:23" ht="17.399999999999999">
      <c r="A35" s="701" t="s">
        <v>116</v>
      </c>
      <c r="B35" s="685">
        <f t="shared" ref="B35:R35" si="6">B25/B33</f>
        <v>0.98719999999999997</v>
      </c>
      <c r="C35" s="685">
        <f t="shared" si="6"/>
        <v>0.7860869565217391</v>
      </c>
      <c r="D35" s="685">
        <f t="shared" si="6"/>
        <v>0.89833333333333332</v>
      </c>
      <c r="E35" s="685">
        <f t="shared" si="6"/>
        <v>0.7255172413793104</v>
      </c>
      <c r="F35" s="685">
        <f t="shared" si="6"/>
        <v>0.84413793103448276</v>
      </c>
      <c r="G35" s="685">
        <f t="shared" si="6"/>
        <v>0.87839999999999996</v>
      </c>
      <c r="H35" s="685">
        <f t="shared" si="6"/>
        <v>0.86</v>
      </c>
      <c r="I35" s="685">
        <f t="shared" si="6"/>
        <v>0.75210792580101182</v>
      </c>
      <c r="J35" s="685">
        <f t="shared" si="6"/>
        <v>0.79333333333333333</v>
      </c>
      <c r="K35" s="685">
        <f t="shared" si="6"/>
        <v>0.83658170914542729</v>
      </c>
      <c r="L35" s="685">
        <f t="shared" si="6"/>
        <v>0.83333333333333337</v>
      </c>
      <c r="M35" s="685">
        <f t="shared" si="6"/>
        <v>0.96020539152759954</v>
      </c>
      <c r="N35" s="685">
        <f t="shared" si="6"/>
        <v>1.1441798941798942</v>
      </c>
      <c r="O35" s="685">
        <f t="shared" si="6"/>
        <v>0.75217048145224941</v>
      </c>
      <c r="P35" s="685">
        <f t="shared" si="6"/>
        <v>1.048829431438127</v>
      </c>
      <c r="Q35" s="685">
        <f t="shared" si="6"/>
        <v>1.3493621197252208</v>
      </c>
      <c r="R35" s="685">
        <f t="shared" si="6"/>
        <v>0.56000000000000005</v>
      </c>
      <c r="S35" s="685">
        <f>S25/S33</f>
        <v>0.91574038087835208</v>
      </c>
      <c r="T35" s="685"/>
      <c r="U35" s="345"/>
      <c r="V35" s="345"/>
      <c r="W35" s="345"/>
    </row>
    <row r="36" spans="1:23" ht="17.399999999999999">
      <c r="A36" s="601"/>
      <c r="B36" s="611"/>
      <c r="C36" s="611"/>
      <c r="D36" s="611"/>
      <c r="E36" s="611"/>
      <c r="F36" s="611"/>
      <c r="G36" s="611"/>
      <c r="H36" s="611"/>
      <c r="I36" s="611"/>
      <c r="J36" s="611"/>
      <c r="K36" s="611"/>
      <c r="L36" s="611"/>
      <c r="M36" s="611"/>
      <c r="N36" s="611"/>
      <c r="O36" s="600"/>
      <c r="P36" s="611"/>
      <c r="Q36" s="600"/>
      <c r="R36" s="598"/>
      <c r="S36" s="598"/>
    </row>
    <row r="37" spans="1:23" ht="17.399999999999999">
      <c r="A37" s="612"/>
      <c r="B37" s="611"/>
      <c r="C37" s="611"/>
      <c r="D37" s="611"/>
      <c r="E37" s="611"/>
      <c r="F37" s="611"/>
      <c r="G37" s="611"/>
      <c r="H37" s="611"/>
      <c r="I37" s="611"/>
      <c r="J37" s="611"/>
      <c r="K37" s="611"/>
      <c r="L37" s="611"/>
      <c r="M37" s="611"/>
      <c r="N37" s="611"/>
      <c r="O37" s="600"/>
      <c r="P37" s="611"/>
      <c r="Q37" s="598"/>
      <c r="R37" s="598"/>
      <c r="S37" s="598"/>
    </row>
    <row r="38" spans="1:23" ht="17.399999999999999">
      <c r="A38" s="612"/>
      <c r="B38" s="611"/>
      <c r="C38" s="611"/>
      <c r="D38" s="611"/>
      <c r="E38" s="611"/>
      <c r="F38" s="611"/>
      <c r="G38" s="611"/>
      <c r="H38" s="611"/>
      <c r="I38" s="611"/>
      <c r="J38" s="611"/>
      <c r="K38" s="611"/>
      <c r="L38" s="611"/>
      <c r="M38" s="611"/>
      <c r="N38" s="600"/>
      <c r="O38" s="611"/>
      <c r="P38" s="598"/>
      <c r="Q38" s="598"/>
      <c r="R38" s="598"/>
    </row>
    <row r="39" spans="1:23">
      <c r="A39" s="715"/>
      <c r="B39" s="719"/>
      <c r="C39" s="719"/>
      <c r="D39" s="719"/>
      <c r="E39" s="719"/>
      <c r="F39" s="719"/>
      <c r="G39" s="719"/>
      <c r="H39" s="719"/>
      <c r="I39" s="719"/>
      <c r="J39" s="719"/>
      <c r="K39" s="719"/>
      <c r="L39" s="719"/>
      <c r="M39" s="719"/>
      <c r="N39" s="614"/>
      <c r="O39" s="719"/>
      <c r="P39" s="614"/>
    </row>
    <row r="40" spans="1:23" ht="17.399999999999999">
      <c r="A40" s="821" t="s">
        <v>203</v>
      </c>
      <c r="B40" s="821"/>
      <c r="C40" s="821"/>
      <c r="D40" s="821"/>
      <c r="E40" s="821"/>
      <c r="F40" s="821"/>
      <c r="G40" s="821"/>
      <c r="H40" s="821"/>
      <c r="I40" s="821"/>
      <c r="J40" s="821"/>
      <c r="K40" s="821"/>
      <c r="L40" s="821"/>
      <c r="M40" s="821"/>
    </row>
    <row r="41" spans="1:23" ht="17.399999999999999">
      <c r="A41" s="821" t="s">
        <v>269</v>
      </c>
      <c r="B41" s="821"/>
      <c r="C41" s="821"/>
      <c r="D41" s="821"/>
      <c r="E41" s="821"/>
      <c r="F41" s="821"/>
      <c r="G41" s="821"/>
      <c r="H41" s="821"/>
      <c r="I41" s="821"/>
      <c r="J41" s="821"/>
      <c r="K41" s="821"/>
      <c r="L41" s="821"/>
      <c r="M41" s="821"/>
    </row>
    <row r="42" spans="1:23" ht="17.399999999999999">
      <c r="A42" s="821" t="s">
        <v>315</v>
      </c>
      <c r="B42" s="821"/>
      <c r="C42" s="821"/>
      <c r="D42" s="821"/>
      <c r="E42" s="821"/>
      <c r="F42" s="821"/>
      <c r="G42" s="821"/>
      <c r="H42" s="821"/>
      <c r="I42" s="821"/>
      <c r="J42" s="821"/>
      <c r="K42" s="821"/>
      <c r="L42" s="821"/>
      <c r="M42" s="821"/>
    </row>
    <row r="44" spans="1:23">
      <c r="A44" s="721" t="s">
        <v>188</v>
      </c>
      <c r="B44" s="722"/>
      <c r="C44" s="723" t="s">
        <v>120</v>
      </c>
      <c r="D44" s="723"/>
      <c r="E44" s="721" t="s">
        <v>325</v>
      </c>
      <c r="F44" s="722"/>
      <c r="G44" s="721" t="s">
        <v>284</v>
      </c>
      <c r="H44" s="722"/>
      <c r="I44" s="721" t="s">
        <v>329</v>
      </c>
      <c r="J44" s="722"/>
      <c r="K44" s="721" t="s">
        <v>208</v>
      </c>
      <c r="L44" s="721" t="s">
        <v>209</v>
      </c>
      <c r="M44" s="722"/>
    </row>
    <row r="45" spans="1:23">
      <c r="A45" s="722"/>
      <c r="B45" s="722"/>
      <c r="C45" s="723"/>
      <c r="D45" s="723"/>
      <c r="E45" s="722"/>
      <c r="F45" s="722"/>
      <c r="G45" s="722"/>
      <c r="H45" s="722"/>
      <c r="I45" s="722"/>
      <c r="J45" s="722"/>
      <c r="K45" s="722"/>
      <c r="L45" s="722"/>
      <c r="M45" s="722"/>
    </row>
    <row r="46" spans="1:23" ht="17.399999999999999">
      <c r="A46" s="724" t="s">
        <v>189</v>
      </c>
      <c r="B46" s="603"/>
      <c r="C46" s="725" t="s">
        <v>210</v>
      </c>
      <c r="D46" s="725"/>
      <c r="E46" s="726" t="s">
        <v>211</v>
      </c>
      <c r="F46" s="603"/>
      <c r="G46" s="726" t="s">
        <v>212</v>
      </c>
      <c r="H46" s="603"/>
      <c r="I46" s="726" t="s">
        <v>326</v>
      </c>
      <c r="J46" s="603"/>
      <c r="K46" s="726" t="s">
        <v>330</v>
      </c>
      <c r="L46" s="726" t="s">
        <v>112</v>
      </c>
      <c r="M46" s="727"/>
    </row>
    <row r="47" spans="1:23" ht="17.399999999999999">
      <c r="A47" s="728" t="s">
        <v>194</v>
      </c>
      <c r="B47" s="594"/>
      <c r="C47" s="720" t="s">
        <v>215</v>
      </c>
      <c r="D47" s="720"/>
      <c r="E47" s="590" t="s">
        <v>216</v>
      </c>
      <c r="F47" s="594"/>
      <c r="G47" s="590" t="s">
        <v>217</v>
      </c>
      <c r="H47" s="594"/>
      <c r="I47" s="590" t="s">
        <v>327</v>
      </c>
      <c r="J47" s="594"/>
      <c r="K47" s="590" t="s">
        <v>66</v>
      </c>
      <c r="L47" s="590" t="s">
        <v>220</v>
      </c>
      <c r="M47" s="729"/>
    </row>
    <row r="48" spans="1:23" ht="17.399999999999999">
      <c r="A48" s="730"/>
      <c r="B48" s="731"/>
      <c r="C48" s="732" t="s">
        <v>221</v>
      </c>
      <c r="D48" s="732"/>
      <c r="E48" s="733" t="s">
        <v>222</v>
      </c>
      <c r="F48" s="731"/>
      <c r="G48" s="733" t="s">
        <v>223</v>
      </c>
      <c r="H48" s="731"/>
      <c r="I48" s="733" t="s">
        <v>328</v>
      </c>
      <c r="J48" s="731"/>
      <c r="K48" s="731"/>
      <c r="L48" s="733" t="s">
        <v>224</v>
      </c>
      <c r="M48" s="734"/>
    </row>
    <row r="49" spans="1:13" ht="17.399999999999999">
      <c r="A49" s="598"/>
      <c r="B49" s="598"/>
      <c r="C49" s="598"/>
      <c r="D49" s="598"/>
      <c r="E49" s="598"/>
      <c r="F49" s="598"/>
      <c r="G49" s="598"/>
      <c r="H49" s="598"/>
      <c r="I49" s="598"/>
      <c r="J49" s="598"/>
      <c r="K49" s="598"/>
      <c r="L49" s="598"/>
      <c r="M49" s="598"/>
    </row>
    <row r="50" spans="1:13" ht="17.399999999999999">
      <c r="A50" s="598">
        <f>ENPRJ3!A219</f>
        <v>2010</v>
      </c>
      <c r="B50" s="598"/>
      <c r="C50" s="598">
        <f>ENPRJ3!C219</f>
        <v>524</v>
      </c>
      <c r="D50" s="598"/>
      <c r="E50" s="598">
        <f>ENPRJ3!E219</f>
        <v>57725</v>
      </c>
      <c r="F50" s="598"/>
      <c r="G50" s="735">
        <f>ENPRJ3!G219</f>
        <v>9.0775227371156352E-3</v>
      </c>
      <c r="H50" s="598"/>
      <c r="I50" s="598"/>
      <c r="J50" s="598"/>
      <c r="K50" s="598"/>
      <c r="L50" s="598"/>
      <c r="M50" s="598"/>
    </row>
    <row r="51" spans="1:13" ht="17.399999999999999">
      <c r="A51" s="598">
        <f t="shared" ref="A51:A69" si="7">A50+1</f>
        <v>2011</v>
      </c>
      <c r="B51" s="598"/>
      <c r="C51" s="598">
        <f>ENPRJ3!C220</f>
        <v>497</v>
      </c>
      <c r="D51" s="598"/>
      <c r="E51" s="598">
        <f>ENPRJ3!E220</f>
        <v>58095</v>
      </c>
      <c r="F51" s="598"/>
      <c r="G51" s="735">
        <f>ENPRJ3!G220</f>
        <v>8.5549530940700579E-3</v>
      </c>
      <c r="H51" s="598"/>
      <c r="I51" s="598"/>
      <c r="J51" s="598"/>
      <c r="K51" s="598"/>
      <c r="L51" s="598"/>
      <c r="M51" s="598"/>
    </row>
    <row r="52" spans="1:13" ht="17.399999999999999">
      <c r="A52" s="598">
        <f t="shared" si="7"/>
        <v>2012</v>
      </c>
      <c r="B52" s="598"/>
      <c r="C52" s="598">
        <f>ENPRJ3!C221</f>
        <v>496</v>
      </c>
      <c r="D52" s="598"/>
      <c r="E52" s="598">
        <f>ENPRJ3!E221</f>
        <v>60316</v>
      </c>
      <c r="F52" s="598"/>
      <c r="G52" s="735">
        <f>ENPRJ3!G221</f>
        <v>8.223356986537568E-3</v>
      </c>
      <c r="H52" s="598"/>
      <c r="I52" s="598"/>
      <c r="J52" s="598"/>
      <c r="K52" s="598"/>
      <c r="L52" s="598"/>
      <c r="M52" s="598"/>
    </row>
    <row r="53" spans="1:13" ht="17.399999999999999">
      <c r="A53" s="598">
        <f t="shared" si="7"/>
        <v>2013</v>
      </c>
      <c r="B53" s="598"/>
      <c r="C53" s="598">
        <f>ENPRJ3!C222</f>
        <v>511</v>
      </c>
      <c r="D53" s="598"/>
      <c r="E53" s="598">
        <f>ENPRJ3!E222</f>
        <v>60756</v>
      </c>
      <c r="F53" s="598"/>
      <c r="G53" s="735">
        <f>ENPRJ3!G222</f>
        <v>8.410691948120351E-3</v>
      </c>
      <c r="H53" s="598"/>
      <c r="I53" s="598"/>
      <c r="J53" s="598"/>
      <c r="K53" s="598"/>
      <c r="L53" s="598"/>
      <c r="M53" s="598"/>
    </row>
    <row r="54" spans="1:13" ht="17.399999999999999">
      <c r="A54" s="598">
        <f t="shared" si="7"/>
        <v>2014</v>
      </c>
      <c r="B54" s="598"/>
      <c r="C54" s="598">
        <f>ENPRJ3!C223</f>
        <v>556</v>
      </c>
      <c r="D54" s="598"/>
      <c r="E54" s="598">
        <f>ENPRJ3!E223</f>
        <v>62104</v>
      </c>
      <c r="F54" s="598"/>
      <c r="G54" s="735">
        <f>ENPRJ3!G223</f>
        <v>8.9527244621924514E-3</v>
      </c>
      <c r="H54" s="598"/>
      <c r="I54" s="598"/>
      <c r="J54" s="598"/>
      <c r="K54" s="598"/>
      <c r="L54" s="598"/>
      <c r="M54" s="598"/>
    </row>
    <row r="55" spans="1:13" ht="17.399999999999999">
      <c r="A55" s="598">
        <f t="shared" si="7"/>
        <v>2015</v>
      </c>
      <c r="B55" s="598"/>
      <c r="C55" s="598">
        <f>ENPRJ3!C224</f>
        <v>444</v>
      </c>
      <c r="D55" s="598"/>
      <c r="E55" s="598">
        <f>ENPRJ3!E224</f>
        <v>63059</v>
      </c>
      <c r="F55" s="598"/>
      <c r="G55" s="735">
        <f>ENPRJ3!G224</f>
        <v>7.0410250717581951E-3</v>
      </c>
      <c r="H55" s="598"/>
      <c r="I55" s="736"/>
      <c r="J55" s="598"/>
      <c r="K55" s="598"/>
      <c r="L55" s="598"/>
      <c r="M55" s="598"/>
    </row>
    <row r="56" spans="1:13" ht="17.399999999999999">
      <c r="A56" s="598">
        <f t="shared" si="7"/>
        <v>2016</v>
      </c>
      <c r="B56" s="598"/>
      <c r="C56" s="598">
        <f>ENPRJ3!C225</f>
        <v>507</v>
      </c>
      <c r="D56" s="598"/>
      <c r="E56" s="598">
        <f>ENPRJ3!E225</f>
        <v>64029</v>
      </c>
      <c r="F56" s="598"/>
      <c r="G56" s="735">
        <f>ENPRJ3!G225</f>
        <v>7.918287026191257E-3</v>
      </c>
      <c r="H56" s="598"/>
      <c r="I56" s="736"/>
      <c r="J56" s="598"/>
      <c r="K56" s="598"/>
      <c r="L56" s="598"/>
      <c r="M56" s="598"/>
    </row>
    <row r="57" spans="1:13" ht="17.399999999999999">
      <c r="A57" s="598">
        <f t="shared" si="7"/>
        <v>2017</v>
      </c>
      <c r="B57" s="598"/>
      <c r="C57" s="598">
        <f>ENPRJ3!C226</f>
        <v>546</v>
      </c>
      <c r="D57" s="598"/>
      <c r="E57" s="598">
        <f>ENPRJ3!E226</f>
        <v>64875</v>
      </c>
      <c r="F57" s="598"/>
      <c r="G57" s="735">
        <f>ENPRJ3!G226</f>
        <v>8.4161849710982662E-3</v>
      </c>
      <c r="H57" s="598"/>
      <c r="I57" s="736"/>
      <c r="J57" s="598"/>
      <c r="K57" s="598"/>
      <c r="L57" s="598"/>
      <c r="M57" s="598"/>
    </row>
    <row r="58" spans="1:13" ht="17.399999999999999">
      <c r="A58" s="598">
        <f t="shared" si="7"/>
        <v>2018</v>
      </c>
      <c r="B58" s="598"/>
      <c r="C58" s="598">
        <f>ENPRJ3!C227</f>
        <v>511</v>
      </c>
      <c r="D58" s="598"/>
      <c r="E58" s="598">
        <f>ENPRJ3!E227</f>
        <v>65784</v>
      </c>
      <c r="F58" s="598"/>
      <c r="G58" s="735">
        <f>ENPRJ3!G227</f>
        <v>7.7678462848108963E-3</v>
      </c>
      <c r="H58" s="598"/>
      <c r="I58" s="736"/>
      <c r="J58" s="598"/>
      <c r="K58" s="598"/>
      <c r="L58" s="598"/>
      <c r="M58" s="598"/>
    </row>
    <row r="59" spans="1:13" ht="17.399999999999999">
      <c r="A59" s="598">
        <f t="shared" si="7"/>
        <v>2019</v>
      </c>
      <c r="B59" s="598"/>
      <c r="C59" s="598">
        <f>ENPRJ3!C228</f>
        <v>464</v>
      </c>
      <c r="D59" s="598"/>
      <c r="E59" s="598">
        <f>ENPRJ3!E228</f>
        <v>66693</v>
      </c>
      <c r="F59" s="598"/>
      <c r="G59" s="735">
        <f>ENPRJ3!G228</f>
        <v>6.9572518855052258E-3</v>
      </c>
      <c r="H59" s="598"/>
      <c r="I59" s="736"/>
      <c r="J59" s="598"/>
      <c r="K59" s="598"/>
      <c r="L59" s="598"/>
      <c r="M59" s="598"/>
    </row>
    <row r="60" spans="1:13" ht="17.399999999999999">
      <c r="A60" s="598">
        <f t="shared" si="7"/>
        <v>2020</v>
      </c>
      <c r="B60" s="598"/>
      <c r="C60" s="598">
        <f>ENPRJ3!C229</f>
        <v>538</v>
      </c>
      <c r="D60" s="598"/>
      <c r="E60" s="598">
        <f>ENPRJ3!E229</f>
        <v>67609</v>
      </c>
      <c r="F60" s="598"/>
      <c r="G60" s="735">
        <f>ENPRJ3!G229</f>
        <v>7.9575204484610036E-3</v>
      </c>
      <c r="H60" s="598"/>
      <c r="I60" s="736">
        <f>ENPRJ3!K205</f>
        <v>1.5600339147265925</v>
      </c>
      <c r="J60" s="598"/>
      <c r="K60" s="598" t="str">
        <f>D83</f>
        <v>2026-27</v>
      </c>
      <c r="L60" s="598">
        <f>ROUND(C60*I60,0)</f>
        <v>839</v>
      </c>
      <c r="M60" s="598"/>
    </row>
    <row r="61" spans="1:13" ht="17.399999999999999">
      <c r="A61" s="598">
        <f t="shared" si="7"/>
        <v>2021</v>
      </c>
      <c r="B61" s="598"/>
      <c r="C61" s="598">
        <f>ENPRJ3!C230</f>
        <v>529</v>
      </c>
      <c r="D61" s="598"/>
      <c r="E61" s="598">
        <f>ENPRJ3!E230</f>
        <v>68232</v>
      </c>
      <c r="F61" s="598"/>
      <c r="G61" s="735">
        <f>ENPRJ3!G230</f>
        <v>7.752960487747684E-3</v>
      </c>
      <c r="H61" s="598"/>
      <c r="I61" s="736">
        <f t="shared" ref="I61:I69" si="8">I60</f>
        <v>1.5600339147265925</v>
      </c>
      <c r="J61" s="598"/>
      <c r="K61" s="598" t="str">
        <f>E83</f>
        <v>2027-28</v>
      </c>
      <c r="L61" s="598">
        <f t="shared" ref="L61:L69" si="9">ROUND(C61*I61,0)</f>
        <v>825</v>
      </c>
      <c r="M61" s="598"/>
    </row>
    <row r="62" spans="1:13" ht="17.399999999999999">
      <c r="A62" s="598">
        <f t="shared" si="7"/>
        <v>2022</v>
      </c>
      <c r="B62" s="601"/>
      <c r="C62" s="598">
        <f>ENPRJ3!C231</f>
        <v>549</v>
      </c>
      <c r="D62" s="598"/>
      <c r="E62" s="598">
        <f>ENPRJ3!E231</f>
        <v>69431</v>
      </c>
      <c r="F62" s="598"/>
      <c r="G62" s="735">
        <f>AVERAGE(G52:G61)</f>
        <v>7.939784957242289E-3</v>
      </c>
      <c r="H62" s="598"/>
      <c r="I62" s="736">
        <f t="shared" si="8"/>
        <v>1.5600339147265925</v>
      </c>
      <c r="J62" s="598"/>
      <c r="K62" s="598" t="str">
        <f>F83</f>
        <v>2028-29</v>
      </c>
      <c r="L62" s="598">
        <f t="shared" si="9"/>
        <v>856</v>
      </c>
      <c r="M62" s="598"/>
    </row>
    <row r="63" spans="1:13" ht="17.399999999999999">
      <c r="A63" s="598">
        <f t="shared" si="7"/>
        <v>2023</v>
      </c>
      <c r="B63" s="601"/>
      <c r="C63" s="598">
        <f>ENPRJ3!C232</f>
        <v>537</v>
      </c>
      <c r="D63" s="598"/>
      <c r="E63" s="598">
        <f>ENPRJ3!E232</f>
        <v>69819</v>
      </c>
      <c r="F63" s="598"/>
      <c r="G63" s="735">
        <f t="shared" ref="G63:G65" si="10">AVERAGE(G53:G62)</f>
        <v>7.9114277543127619E-3</v>
      </c>
      <c r="H63" s="598"/>
      <c r="I63" s="736">
        <f t="shared" si="8"/>
        <v>1.5600339147265925</v>
      </c>
      <c r="J63" s="598"/>
      <c r="K63" s="598" t="str">
        <f>G83</f>
        <v>2029-30</v>
      </c>
      <c r="L63" s="598">
        <f t="shared" si="9"/>
        <v>838</v>
      </c>
      <c r="M63" s="598"/>
    </row>
    <row r="64" spans="1:13" ht="17.399999999999999">
      <c r="A64" s="598">
        <f t="shared" si="7"/>
        <v>2024</v>
      </c>
      <c r="B64" s="601"/>
      <c r="C64" s="598">
        <f>ENPRJ3!C233</f>
        <v>541</v>
      </c>
      <c r="D64" s="598"/>
      <c r="E64" s="598">
        <f>ENPRJ3!E233</f>
        <v>70496</v>
      </c>
      <c r="F64" s="598"/>
      <c r="G64" s="735">
        <f t="shared" si="10"/>
        <v>7.8615013349320022E-3</v>
      </c>
      <c r="H64" s="598"/>
      <c r="I64" s="736">
        <f t="shared" si="8"/>
        <v>1.5600339147265925</v>
      </c>
      <c r="J64" s="598"/>
      <c r="K64" s="598" t="str">
        <f>H83</f>
        <v>2030-31</v>
      </c>
      <c r="L64" s="598">
        <f t="shared" si="9"/>
        <v>844</v>
      </c>
      <c r="M64" s="598"/>
    </row>
    <row r="65" spans="1:17" ht="17.399999999999999">
      <c r="A65" s="598">
        <f t="shared" si="7"/>
        <v>2025</v>
      </c>
      <c r="B65" s="601" t="s">
        <v>225</v>
      </c>
      <c r="C65" s="598">
        <f>ROUND(E65*G65,0)</f>
        <v>555</v>
      </c>
      <c r="D65" s="598"/>
      <c r="E65" s="598">
        <f>ENPRJ3!E234</f>
        <v>71574</v>
      </c>
      <c r="F65" s="598"/>
      <c r="G65" s="735">
        <f t="shared" si="10"/>
        <v>7.7523790222059586E-3</v>
      </c>
      <c r="H65" s="598"/>
      <c r="I65" s="736">
        <f t="shared" si="8"/>
        <v>1.5600339147265925</v>
      </c>
      <c r="J65" s="598"/>
      <c r="K65" s="598" t="str">
        <f>I83</f>
        <v>2031-32</v>
      </c>
      <c r="L65" s="598">
        <f t="shared" si="9"/>
        <v>866</v>
      </c>
      <c r="M65" s="598"/>
    </row>
    <row r="66" spans="1:17" ht="17.399999999999999">
      <c r="A66" s="598">
        <f t="shared" si="7"/>
        <v>2026</v>
      </c>
      <c r="B66" s="601" t="s">
        <v>225</v>
      </c>
      <c r="C66" s="598">
        <f t="shared" ref="C66:C69" si="11">ROUND(E66*G66,0)</f>
        <v>563</v>
      </c>
      <c r="D66" s="598"/>
      <c r="E66" s="598">
        <f>ENPRJ3!E235</f>
        <v>72651</v>
      </c>
      <c r="F66" s="598"/>
      <c r="G66" s="735">
        <f>AVERAGE(G55:G64)</f>
        <v>7.7523790222059586E-3</v>
      </c>
      <c r="H66" s="598"/>
      <c r="I66" s="736">
        <f t="shared" si="8"/>
        <v>1.5600339147265925</v>
      </c>
      <c r="J66" s="598"/>
      <c r="K66" s="598" t="str">
        <f>J83</f>
        <v>2032-33</v>
      </c>
      <c r="L66" s="598">
        <f t="shared" si="9"/>
        <v>878</v>
      </c>
      <c r="M66" s="598"/>
    </row>
    <row r="67" spans="1:17" ht="17.399999999999999">
      <c r="A67" s="598">
        <f t="shared" si="7"/>
        <v>2027</v>
      </c>
      <c r="B67" s="601" t="s">
        <v>225</v>
      </c>
      <c r="C67" s="598">
        <f t="shared" si="11"/>
        <v>572</v>
      </c>
      <c r="D67" s="598"/>
      <c r="E67" s="598">
        <f>ENPRJ3!E236</f>
        <v>73729</v>
      </c>
      <c r="F67" s="598"/>
      <c r="G67" s="735">
        <f>AVERAGE(G55:G64)</f>
        <v>7.7523790222059586E-3</v>
      </c>
      <c r="H67" s="598"/>
      <c r="I67" s="736">
        <f t="shared" si="8"/>
        <v>1.5600339147265925</v>
      </c>
      <c r="J67" s="598"/>
      <c r="K67" s="598" t="str">
        <f>K83</f>
        <v>2033-34</v>
      </c>
      <c r="L67" s="598">
        <f t="shared" si="9"/>
        <v>892</v>
      </c>
      <c r="M67" s="598"/>
    </row>
    <row r="68" spans="1:17" ht="17.399999999999999">
      <c r="A68" s="598">
        <f t="shared" si="7"/>
        <v>2028</v>
      </c>
      <c r="B68" s="601" t="s">
        <v>225</v>
      </c>
      <c r="C68" s="598">
        <f t="shared" si="11"/>
        <v>580</v>
      </c>
      <c r="E68" s="598">
        <f>ENPRJ3!E237</f>
        <v>74806</v>
      </c>
      <c r="G68" s="735">
        <f>AVERAGE(G55:G64)</f>
        <v>7.7523790222059586E-3</v>
      </c>
      <c r="H68" s="598"/>
      <c r="I68" s="736">
        <f t="shared" si="8"/>
        <v>1.5600339147265925</v>
      </c>
      <c r="J68" s="598"/>
      <c r="K68" s="598" t="str">
        <f>L83</f>
        <v>2034-35</v>
      </c>
      <c r="L68" s="598">
        <f t="shared" si="9"/>
        <v>905</v>
      </c>
      <c r="M68" s="598"/>
    </row>
    <row r="69" spans="1:17" ht="18" thickBot="1">
      <c r="A69" s="737">
        <f t="shared" si="7"/>
        <v>2029</v>
      </c>
      <c r="B69" s="738" t="s">
        <v>225</v>
      </c>
      <c r="C69" s="737">
        <f t="shared" si="11"/>
        <v>588</v>
      </c>
      <c r="D69" s="739"/>
      <c r="E69" s="737">
        <f>ENPRJ3!E238</f>
        <v>75883</v>
      </c>
      <c r="F69" s="739"/>
      <c r="G69" s="740">
        <f>AVERAGE(G55:G64)</f>
        <v>7.7523790222059586E-3</v>
      </c>
      <c r="H69" s="739"/>
      <c r="I69" s="741">
        <f t="shared" si="8"/>
        <v>1.5600339147265925</v>
      </c>
      <c r="J69" s="737"/>
      <c r="K69" s="737" t="str">
        <f>M83</f>
        <v>2035-36</v>
      </c>
      <c r="L69" s="737">
        <f t="shared" si="9"/>
        <v>917</v>
      </c>
      <c r="M69" s="737"/>
    </row>
    <row r="70" spans="1:17" ht="29.25" customHeight="1" thickTop="1">
      <c r="A70" s="818"/>
      <c r="B70" s="818"/>
      <c r="C70" s="818"/>
      <c r="D70" s="818"/>
      <c r="E70" s="818"/>
      <c r="F70" s="818"/>
      <c r="G70" s="818"/>
      <c r="H70" s="818"/>
      <c r="I70" s="818"/>
      <c r="J70" s="818"/>
      <c r="K70" s="818"/>
      <c r="L70" s="818"/>
      <c r="M70" s="818"/>
      <c r="N70" s="818"/>
      <c r="O70" s="818"/>
    </row>
    <row r="71" spans="1:17">
      <c r="A71" s="818"/>
      <c r="B71" s="818"/>
      <c r="C71" s="818"/>
      <c r="D71" s="818"/>
      <c r="E71" s="818"/>
      <c r="F71" s="818"/>
      <c r="G71" s="818"/>
      <c r="H71" s="818"/>
      <c r="I71" s="818"/>
      <c r="J71" s="818"/>
      <c r="K71" s="818"/>
      <c r="L71" s="818"/>
      <c r="M71" s="818"/>
      <c r="N71" s="818"/>
      <c r="O71" s="818"/>
    </row>
    <row r="72" spans="1:17" ht="17.399999999999999">
      <c r="A72" s="700" t="s">
        <v>317</v>
      </c>
      <c r="B72" s="700"/>
      <c r="C72" s="700"/>
      <c r="D72" s="700"/>
      <c r="E72" s="700"/>
      <c r="F72" s="700"/>
      <c r="G72" s="700"/>
      <c r="H72" s="700"/>
      <c r="I72" s="700"/>
      <c r="J72" s="700"/>
      <c r="K72" s="700"/>
      <c r="L72" s="700"/>
      <c r="M72" s="345"/>
      <c r="N72" s="61"/>
      <c r="O72" s="61"/>
    </row>
    <row r="73" spans="1:17" ht="15">
      <c r="A73" s="701" t="s">
        <v>405</v>
      </c>
      <c r="B73" s="702"/>
      <c r="C73" s="702"/>
      <c r="D73" s="702"/>
      <c r="E73" s="702"/>
      <c r="F73" s="702"/>
      <c r="G73" s="701"/>
      <c r="H73" s="702" t="s">
        <v>429</v>
      </c>
      <c r="I73" s="701"/>
      <c r="J73" s="702"/>
      <c r="K73" s="702"/>
      <c r="L73" s="702"/>
      <c r="M73" s="702"/>
      <c r="N73" s="702"/>
      <c r="O73" s="702"/>
      <c r="P73" s="702"/>
      <c r="Q73" s="702"/>
    </row>
    <row r="74" spans="1:17" ht="15">
      <c r="A74" s="701"/>
      <c r="B74" s="702"/>
      <c r="C74" s="702"/>
      <c r="D74" s="702"/>
      <c r="E74" s="702"/>
      <c r="F74" s="702"/>
      <c r="G74" s="701"/>
      <c r="H74" s="702" t="s">
        <v>430</v>
      </c>
      <c r="I74" s="701"/>
      <c r="J74" s="702"/>
      <c r="K74" s="702"/>
      <c r="L74" s="702"/>
      <c r="M74" s="702"/>
      <c r="N74" s="702"/>
      <c r="O74" s="702"/>
      <c r="P74" s="702"/>
      <c r="Q74" s="702"/>
    </row>
    <row r="75" spans="1:17" ht="15">
      <c r="A75" s="701" t="s">
        <v>353</v>
      </c>
      <c r="B75" s="702">
        <f>A65</f>
        <v>2025</v>
      </c>
      <c r="C75" s="703" t="s">
        <v>3</v>
      </c>
      <c r="D75" s="702">
        <f>A69</f>
        <v>2029</v>
      </c>
      <c r="E75" s="701" t="s">
        <v>226</v>
      </c>
      <c r="F75" s="61"/>
      <c r="G75" s="702"/>
      <c r="H75" s="704">
        <f>G66</f>
        <v>7.7523790222059586E-3</v>
      </c>
      <c r="I75" s="701" t="s">
        <v>318</v>
      </c>
      <c r="J75" s="702"/>
      <c r="K75" s="702"/>
      <c r="L75" s="702"/>
      <c r="M75" s="702"/>
      <c r="N75" s="702"/>
      <c r="O75" s="702"/>
    </row>
    <row r="76" spans="1:17" ht="15">
      <c r="A76" s="701" t="s">
        <v>342</v>
      </c>
      <c r="B76" s="701"/>
      <c r="C76" s="702"/>
      <c r="D76" s="702"/>
      <c r="E76" s="704"/>
      <c r="F76" s="701"/>
      <c r="G76" s="702"/>
      <c r="H76" s="702"/>
      <c r="I76" s="702"/>
      <c r="J76" s="702"/>
      <c r="K76" s="703">
        <f>A55</f>
        <v>2015</v>
      </c>
      <c r="L76" s="703" t="s">
        <v>3</v>
      </c>
      <c r="M76" s="703">
        <f>A64</f>
        <v>2024</v>
      </c>
      <c r="N76" s="702"/>
      <c r="O76" s="702"/>
    </row>
    <row r="77" spans="1:17">
      <c r="A77" s="715"/>
      <c r="B77" s="742"/>
      <c r="C77" s="513"/>
      <c r="D77" s="513"/>
      <c r="E77" s="513"/>
      <c r="F77" s="743"/>
      <c r="G77" s="513"/>
      <c r="H77" s="742"/>
      <c r="I77" s="513"/>
      <c r="J77" s="513"/>
      <c r="K77" s="614"/>
    </row>
    <row r="78" spans="1:17" ht="17.399999999999999">
      <c r="B78" s="590" t="s">
        <v>227</v>
      </c>
      <c r="C78" s="591"/>
      <c r="D78" s="591"/>
      <c r="E78" s="591"/>
      <c r="F78" s="592"/>
      <c r="G78" s="592"/>
      <c r="H78" s="591"/>
      <c r="I78" s="594" t="str">
        <f>D83</f>
        <v>2026-27</v>
      </c>
      <c r="J78" s="591"/>
      <c r="K78" s="744" t="s">
        <v>3</v>
      </c>
      <c r="L78" s="594" t="str">
        <f>M83</f>
        <v>2035-36</v>
      </c>
    </row>
    <row r="79" spans="1:17" ht="17.399999999999999">
      <c r="B79" s="591"/>
      <c r="C79" s="591"/>
      <c r="D79" s="594" t="str">
        <f>A41</f>
        <v xml:space="preserve">    TEN YEAR AVERAGE PERCENTAGE OF SURVIVAL</v>
      </c>
      <c r="E79" s="591"/>
      <c r="F79" s="591"/>
      <c r="G79" s="591"/>
      <c r="H79" s="591"/>
    </row>
    <row r="81" spans="1:13">
      <c r="A81" s="745" t="s">
        <v>119</v>
      </c>
      <c r="B81" s="745" t="s">
        <v>144</v>
      </c>
      <c r="C81" s="745" t="s">
        <v>145</v>
      </c>
      <c r="D81" s="745" t="s">
        <v>122</v>
      </c>
      <c r="E81" s="745" t="s">
        <v>124</v>
      </c>
      <c r="F81" s="745" t="s">
        <v>125</v>
      </c>
      <c r="G81" s="745" t="s">
        <v>126</v>
      </c>
      <c r="H81" s="745" t="s">
        <v>127</v>
      </c>
      <c r="I81" s="745" t="s">
        <v>128</v>
      </c>
      <c r="J81" s="745" t="s">
        <v>129</v>
      </c>
      <c r="K81" s="745" t="s">
        <v>130</v>
      </c>
      <c r="L81" s="745" t="s">
        <v>131</v>
      </c>
      <c r="M81" s="745" t="s">
        <v>139</v>
      </c>
    </row>
    <row r="82" spans="1:13">
      <c r="A82" s="722"/>
      <c r="B82" s="722"/>
      <c r="C82" s="722"/>
      <c r="D82" s="722"/>
      <c r="E82" s="722"/>
      <c r="F82" s="722"/>
      <c r="G82" s="722"/>
      <c r="H82" s="722"/>
      <c r="I82" s="722"/>
      <c r="J82" s="722"/>
      <c r="K82" s="722"/>
      <c r="L82" s="746"/>
      <c r="M82" s="746"/>
    </row>
    <row r="83" spans="1:13" ht="17.399999999999999">
      <c r="A83" s="724" t="s">
        <v>24</v>
      </c>
      <c r="B83" s="604" t="str">
        <f>I46</f>
        <v xml:space="preserve"> 10 YEAR AVE.</v>
      </c>
      <c r="C83" s="604" t="str">
        <f>ENPRJ3!O45</f>
        <v>2025-26</v>
      </c>
      <c r="D83" s="604" t="str">
        <f>ENPRJ3!D252</f>
        <v>2026-27</v>
      </c>
      <c r="E83" s="604" t="str">
        <f>ENPRJ3!E252</f>
        <v>2027-28</v>
      </c>
      <c r="F83" s="604" t="str">
        <f>ENPRJ3!F252</f>
        <v>2028-29</v>
      </c>
      <c r="G83" s="604" t="str">
        <f>ENPRJ3!G252</f>
        <v>2029-30</v>
      </c>
      <c r="H83" s="604" t="str">
        <f>ENPRJ3!H252</f>
        <v>2030-31</v>
      </c>
      <c r="I83" s="604" t="str">
        <f>ENPRJ3!I252</f>
        <v>2031-32</v>
      </c>
      <c r="J83" s="604" t="str">
        <f>ENPRJ3!J252</f>
        <v>2032-33</v>
      </c>
      <c r="K83" s="604" t="str">
        <f>ENPRJ3!K252</f>
        <v>2033-34</v>
      </c>
      <c r="L83" s="604" t="str">
        <f>ENPRJ3!L252</f>
        <v>2034-35</v>
      </c>
      <c r="M83" s="604" t="str">
        <f>ENPRJ3!M252</f>
        <v>2035-36</v>
      </c>
    </row>
    <row r="84" spans="1:13" ht="17.399999999999999">
      <c r="A84" s="747"/>
      <c r="B84" s="744" t="s">
        <v>110</v>
      </c>
      <c r="C84" s="590" t="s">
        <v>345</v>
      </c>
      <c r="D84" s="594"/>
      <c r="E84" s="594"/>
      <c r="F84" s="594"/>
      <c r="G84" s="594"/>
      <c r="H84" s="594"/>
      <c r="I84" s="594"/>
      <c r="J84" s="594"/>
      <c r="K84" s="594"/>
      <c r="L84" s="594"/>
      <c r="M84" s="729"/>
    </row>
    <row r="85" spans="1:13" ht="17.399999999999999">
      <c r="A85" s="730"/>
      <c r="B85" s="748" t="s">
        <v>230</v>
      </c>
      <c r="C85" s="733" t="s">
        <v>198</v>
      </c>
      <c r="D85" s="731"/>
      <c r="E85" s="731"/>
      <c r="F85" s="731"/>
      <c r="G85" s="731"/>
      <c r="H85" s="731"/>
      <c r="I85" s="731"/>
      <c r="J85" s="731"/>
      <c r="K85" s="731"/>
      <c r="L85" s="731"/>
      <c r="M85" s="734"/>
    </row>
    <row r="86" spans="1:13" ht="17.399999999999999">
      <c r="A86" s="598"/>
      <c r="B86" s="598"/>
      <c r="C86" s="598"/>
      <c r="D86" s="598"/>
      <c r="E86" s="598"/>
      <c r="F86" s="598"/>
      <c r="G86" s="598"/>
      <c r="H86" s="598"/>
      <c r="I86" s="598"/>
      <c r="J86" s="598"/>
      <c r="K86" s="598"/>
      <c r="L86" s="598"/>
      <c r="M86" s="598"/>
    </row>
    <row r="87" spans="1:13" ht="17.399999999999999">
      <c r="A87" s="599" t="s">
        <v>391</v>
      </c>
      <c r="B87" s="598"/>
      <c r="C87" s="598">
        <f>ENPRJ3!O47</f>
        <v>723</v>
      </c>
      <c r="D87" s="598">
        <f>L60</f>
        <v>839</v>
      </c>
      <c r="E87" s="598">
        <f>L61</f>
        <v>825</v>
      </c>
      <c r="F87" s="598">
        <f>L62</f>
        <v>856</v>
      </c>
      <c r="G87" s="598">
        <f>L63</f>
        <v>838</v>
      </c>
      <c r="H87" s="598">
        <f>L64</f>
        <v>844</v>
      </c>
      <c r="I87" s="598">
        <f>L65</f>
        <v>866</v>
      </c>
      <c r="J87" s="598">
        <f>L66</f>
        <v>878</v>
      </c>
      <c r="K87" s="598">
        <f>L67</f>
        <v>892</v>
      </c>
      <c r="L87" s="598">
        <f>L68</f>
        <v>905</v>
      </c>
      <c r="M87" s="598">
        <f>L69</f>
        <v>917</v>
      </c>
    </row>
    <row r="88" spans="1:13" ht="17.399999999999999">
      <c r="A88" s="599">
        <v>1</v>
      </c>
      <c r="B88" s="613">
        <f>ENPRJ3!Q80</f>
        <v>1.0388075686692921</v>
      </c>
      <c r="C88" s="598">
        <f>ENPRJ3!O48</f>
        <v>735</v>
      </c>
      <c r="D88" s="598">
        <f>ROUND(C87*$B$88,0)</f>
        <v>751</v>
      </c>
      <c r="E88" s="598">
        <f t="shared" ref="E88:M88" si="12">ROUND(D87*$B$88,0)</f>
        <v>872</v>
      </c>
      <c r="F88" s="598">
        <f t="shared" si="12"/>
        <v>857</v>
      </c>
      <c r="G88" s="598">
        <f t="shared" si="12"/>
        <v>889</v>
      </c>
      <c r="H88" s="598">
        <f t="shared" si="12"/>
        <v>871</v>
      </c>
      <c r="I88" s="598">
        <f t="shared" si="12"/>
        <v>877</v>
      </c>
      <c r="J88" s="598">
        <f t="shared" si="12"/>
        <v>900</v>
      </c>
      <c r="K88" s="598">
        <f t="shared" si="12"/>
        <v>912</v>
      </c>
      <c r="L88" s="598">
        <f t="shared" si="12"/>
        <v>927</v>
      </c>
      <c r="M88" s="598">
        <f t="shared" si="12"/>
        <v>940</v>
      </c>
    </row>
    <row r="89" spans="1:13" ht="17.399999999999999">
      <c r="A89" s="599">
        <v>2</v>
      </c>
      <c r="B89" s="613">
        <f>ENPRJ3!Q81</f>
        <v>1.0284978994485567</v>
      </c>
      <c r="C89" s="598">
        <f>ENPRJ3!O49</f>
        <v>807</v>
      </c>
      <c r="D89" s="598">
        <f>ROUND(C88*$B$89,0)</f>
        <v>756</v>
      </c>
      <c r="E89" s="598">
        <f t="shared" ref="E89:M89" si="13">ROUND(D88*$B$89,0)</f>
        <v>772</v>
      </c>
      <c r="F89" s="598">
        <f t="shared" si="13"/>
        <v>897</v>
      </c>
      <c r="G89" s="598">
        <f t="shared" si="13"/>
        <v>881</v>
      </c>
      <c r="H89" s="598">
        <f t="shared" si="13"/>
        <v>914</v>
      </c>
      <c r="I89" s="598">
        <f t="shared" si="13"/>
        <v>896</v>
      </c>
      <c r="J89" s="598">
        <f t="shared" si="13"/>
        <v>902</v>
      </c>
      <c r="K89" s="598">
        <f t="shared" si="13"/>
        <v>926</v>
      </c>
      <c r="L89" s="598">
        <f t="shared" si="13"/>
        <v>938</v>
      </c>
      <c r="M89" s="598">
        <f t="shared" si="13"/>
        <v>953</v>
      </c>
    </row>
    <row r="90" spans="1:13" ht="17.399999999999999">
      <c r="A90" s="599">
        <v>3</v>
      </c>
      <c r="B90" s="613">
        <f>ENPRJ3!Q82</f>
        <v>1.030383486276794</v>
      </c>
      <c r="C90" s="598">
        <f>ENPRJ3!O50</f>
        <v>876</v>
      </c>
      <c r="D90" s="598">
        <f>ROUND(C89*$B$90,0)</f>
        <v>832</v>
      </c>
      <c r="E90" s="598">
        <f t="shared" ref="E90:M90" si="14">ROUND(D89*$B$90,0)</f>
        <v>779</v>
      </c>
      <c r="F90" s="598">
        <f t="shared" si="14"/>
        <v>795</v>
      </c>
      <c r="G90" s="598">
        <f t="shared" si="14"/>
        <v>924</v>
      </c>
      <c r="H90" s="598">
        <f t="shared" si="14"/>
        <v>908</v>
      </c>
      <c r="I90" s="598">
        <f t="shared" si="14"/>
        <v>942</v>
      </c>
      <c r="J90" s="598">
        <f t="shared" si="14"/>
        <v>923</v>
      </c>
      <c r="K90" s="598">
        <f t="shared" si="14"/>
        <v>929</v>
      </c>
      <c r="L90" s="598">
        <f t="shared" si="14"/>
        <v>954</v>
      </c>
      <c r="M90" s="598">
        <f t="shared" si="14"/>
        <v>966</v>
      </c>
    </row>
    <row r="91" spans="1:13" ht="17.399999999999999">
      <c r="A91" s="599">
        <v>4</v>
      </c>
      <c r="B91" s="613">
        <f>ENPRJ3!Q83</f>
        <v>1.0312010436188555</v>
      </c>
      <c r="C91" s="598">
        <f>ENPRJ3!O51</f>
        <v>874</v>
      </c>
      <c r="D91" s="598">
        <f>ROUND(C90*$B$91,0)</f>
        <v>903</v>
      </c>
      <c r="E91" s="598">
        <f t="shared" ref="E91:M91" si="15">ROUND(D90*$B$91,0)</f>
        <v>858</v>
      </c>
      <c r="F91" s="598">
        <f t="shared" si="15"/>
        <v>803</v>
      </c>
      <c r="G91" s="598">
        <f t="shared" si="15"/>
        <v>820</v>
      </c>
      <c r="H91" s="598">
        <f t="shared" si="15"/>
        <v>953</v>
      </c>
      <c r="I91" s="598">
        <f t="shared" si="15"/>
        <v>936</v>
      </c>
      <c r="J91" s="598">
        <f t="shared" si="15"/>
        <v>971</v>
      </c>
      <c r="K91" s="598">
        <f t="shared" si="15"/>
        <v>952</v>
      </c>
      <c r="L91" s="598">
        <f t="shared" si="15"/>
        <v>958</v>
      </c>
      <c r="M91" s="598">
        <f t="shared" si="15"/>
        <v>984</v>
      </c>
    </row>
    <row r="92" spans="1:13" ht="17.399999999999999">
      <c r="A92" s="599">
        <v>5</v>
      </c>
      <c r="B92" s="613">
        <f>ENPRJ3!Q84</f>
        <v>1.0202984594909938</v>
      </c>
      <c r="C92" s="598">
        <f>ENPRJ3!O52</f>
        <v>923</v>
      </c>
      <c r="D92" s="598">
        <f>ROUND(C91*$B$92,0)</f>
        <v>892</v>
      </c>
      <c r="E92" s="598">
        <f t="shared" ref="E92:M92" si="16">ROUND(D91*$B$92,0)</f>
        <v>921</v>
      </c>
      <c r="F92" s="598">
        <f t="shared" si="16"/>
        <v>875</v>
      </c>
      <c r="G92" s="598">
        <f t="shared" si="16"/>
        <v>819</v>
      </c>
      <c r="H92" s="598">
        <f t="shared" si="16"/>
        <v>837</v>
      </c>
      <c r="I92" s="598">
        <f t="shared" si="16"/>
        <v>972</v>
      </c>
      <c r="J92" s="598">
        <f t="shared" si="16"/>
        <v>955</v>
      </c>
      <c r="K92" s="598">
        <f t="shared" si="16"/>
        <v>991</v>
      </c>
      <c r="L92" s="598">
        <f t="shared" si="16"/>
        <v>971</v>
      </c>
      <c r="M92" s="598">
        <f t="shared" si="16"/>
        <v>977</v>
      </c>
    </row>
    <row r="93" spans="1:13" ht="17.399999999999999">
      <c r="A93" s="599">
        <v>6</v>
      </c>
      <c r="B93" s="613">
        <f>ENPRJ3!Q85</f>
        <v>1.0454174264249032</v>
      </c>
      <c r="C93" s="598">
        <f>ENPRJ3!O53</f>
        <v>952</v>
      </c>
      <c r="D93" s="598">
        <f>ROUND(C92*$B$93,0)</f>
        <v>965</v>
      </c>
      <c r="E93" s="598">
        <f>ROUND(D92*$B$93,0)</f>
        <v>933</v>
      </c>
      <c r="F93" s="598">
        <f t="shared" ref="F93:M93" si="17">ROUND(E92*$B$93,0)</f>
        <v>963</v>
      </c>
      <c r="G93" s="598">
        <f t="shared" si="17"/>
        <v>915</v>
      </c>
      <c r="H93" s="598">
        <f t="shared" si="17"/>
        <v>856</v>
      </c>
      <c r="I93" s="598">
        <f t="shared" si="17"/>
        <v>875</v>
      </c>
      <c r="J93" s="598">
        <f t="shared" si="17"/>
        <v>1016</v>
      </c>
      <c r="K93" s="598">
        <f t="shared" si="17"/>
        <v>998</v>
      </c>
      <c r="L93" s="598">
        <f t="shared" si="17"/>
        <v>1036</v>
      </c>
      <c r="M93" s="598">
        <f t="shared" si="17"/>
        <v>1015</v>
      </c>
    </row>
    <row r="94" spans="1:13" ht="17.399999999999999">
      <c r="A94" s="599">
        <v>7</v>
      </c>
      <c r="B94" s="613">
        <f>ENPRJ3!Q86</f>
        <v>1.0166281341533705</v>
      </c>
      <c r="C94" s="598">
        <f>ENPRJ3!O54</f>
        <v>995</v>
      </c>
      <c r="D94" s="598">
        <f>ROUND(C93*$B$94,0)</f>
        <v>968</v>
      </c>
      <c r="E94" s="598">
        <f t="shared" ref="E94:M94" si="18">ROUND(D93*$B$94,0)</f>
        <v>981</v>
      </c>
      <c r="F94" s="598">
        <f t="shared" si="18"/>
        <v>949</v>
      </c>
      <c r="G94" s="598">
        <f t="shared" si="18"/>
        <v>979</v>
      </c>
      <c r="H94" s="598">
        <f t="shared" si="18"/>
        <v>930</v>
      </c>
      <c r="I94" s="598">
        <f t="shared" si="18"/>
        <v>870</v>
      </c>
      <c r="J94" s="598">
        <f t="shared" si="18"/>
        <v>890</v>
      </c>
      <c r="K94" s="598">
        <f t="shared" si="18"/>
        <v>1033</v>
      </c>
      <c r="L94" s="598">
        <f t="shared" si="18"/>
        <v>1015</v>
      </c>
      <c r="M94" s="598">
        <f t="shared" si="18"/>
        <v>1053</v>
      </c>
    </row>
    <row r="95" spans="1:13" ht="17.399999999999999">
      <c r="A95" s="599">
        <v>8</v>
      </c>
      <c r="B95" s="613">
        <f>ENPRJ3!Q87</f>
        <v>1.0106951030616655</v>
      </c>
      <c r="C95" s="598">
        <f>ENPRJ3!O55</f>
        <v>948</v>
      </c>
      <c r="D95" s="598">
        <f>ROUND(C94*$B$95,0)</f>
        <v>1006</v>
      </c>
      <c r="E95" s="598">
        <f t="shared" ref="E95:M95" si="19">ROUND(D94*$B$95,0)</f>
        <v>978</v>
      </c>
      <c r="F95" s="598">
        <f t="shared" si="19"/>
        <v>991</v>
      </c>
      <c r="G95" s="598">
        <f t="shared" si="19"/>
        <v>959</v>
      </c>
      <c r="H95" s="598">
        <f t="shared" si="19"/>
        <v>989</v>
      </c>
      <c r="I95" s="598">
        <f t="shared" si="19"/>
        <v>940</v>
      </c>
      <c r="J95" s="598">
        <f t="shared" si="19"/>
        <v>879</v>
      </c>
      <c r="K95" s="598">
        <f t="shared" si="19"/>
        <v>900</v>
      </c>
      <c r="L95" s="598">
        <f t="shared" si="19"/>
        <v>1044</v>
      </c>
      <c r="M95" s="598">
        <f t="shared" si="19"/>
        <v>1026</v>
      </c>
    </row>
    <row r="96" spans="1:13" ht="17.399999999999999">
      <c r="A96" s="599">
        <v>9</v>
      </c>
      <c r="B96" s="613">
        <f>ENPRJ3!Q88</f>
        <v>1.0280253200284495</v>
      </c>
      <c r="C96" s="598">
        <f>ENPRJ3!O56</f>
        <v>1036</v>
      </c>
      <c r="D96" s="598">
        <f>ROUND(C95*$B$96,0)</f>
        <v>975</v>
      </c>
      <c r="E96" s="598">
        <f t="shared" ref="E96:M96" si="20">ROUND(D95*$B$96,0)</f>
        <v>1034</v>
      </c>
      <c r="F96" s="598">
        <f t="shared" si="20"/>
        <v>1005</v>
      </c>
      <c r="G96" s="598">
        <f t="shared" si="20"/>
        <v>1019</v>
      </c>
      <c r="H96" s="598">
        <f t="shared" si="20"/>
        <v>986</v>
      </c>
      <c r="I96" s="598">
        <f t="shared" si="20"/>
        <v>1017</v>
      </c>
      <c r="J96" s="598">
        <f t="shared" si="20"/>
        <v>966</v>
      </c>
      <c r="K96" s="598">
        <f t="shared" si="20"/>
        <v>904</v>
      </c>
      <c r="L96" s="598">
        <f t="shared" si="20"/>
        <v>925</v>
      </c>
      <c r="M96" s="598">
        <f t="shared" si="20"/>
        <v>1073</v>
      </c>
    </row>
    <row r="97" spans="1:13" ht="17.399999999999999">
      <c r="A97" s="599">
        <v>10</v>
      </c>
      <c r="B97" s="613">
        <f>ENPRJ3!Q89</f>
        <v>0.97551133731256456</v>
      </c>
      <c r="C97" s="598">
        <f>ENPRJ3!O57</f>
        <v>954</v>
      </c>
      <c r="D97" s="598">
        <f>ROUND(C96*$B$97,0)</f>
        <v>1011</v>
      </c>
      <c r="E97" s="598">
        <f t="shared" ref="E97:M97" si="21">ROUND(D96*$B$97,0)</f>
        <v>951</v>
      </c>
      <c r="F97" s="598">
        <f t="shared" si="21"/>
        <v>1009</v>
      </c>
      <c r="G97" s="598">
        <f t="shared" si="21"/>
        <v>980</v>
      </c>
      <c r="H97" s="598">
        <f t="shared" si="21"/>
        <v>994</v>
      </c>
      <c r="I97" s="598">
        <f t="shared" si="21"/>
        <v>962</v>
      </c>
      <c r="J97" s="598">
        <f t="shared" si="21"/>
        <v>992</v>
      </c>
      <c r="K97" s="598">
        <f t="shared" si="21"/>
        <v>942</v>
      </c>
      <c r="L97" s="598">
        <f t="shared" si="21"/>
        <v>882</v>
      </c>
      <c r="M97" s="598">
        <f t="shared" si="21"/>
        <v>902</v>
      </c>
    </row>
    <row r="98" spans="1:13" ht="17.399999999999999">
      <c r="A98" s="599">
        <v>11</v>
      </c>
      <c r="B98" s="613">
        <f>ENPRJ3!Q90</f>
        <v>0.97867435552227389</v>
      </c>
      <c r="C98" s="598">
        <f>ENPRJ3!O58</f>
        <v>941</v>
      </c>
      <c r="D98" s="598">
        <f>ROUND(C97*$B$98,0)</f>
        <v>934</v>
      </c>
      <c r="E98" s="598">
        <f t="shared" ref="E98:M98" si="22">ROUND(D97*$B$98,0)</f>
        <v>989</v>
      </c>
      <c r="F98" s="598">
        <f t="shared" si="22"/>
        <v>931</v>
      </c>
      <c r="G98" s="598">
        <f t="shared" si="22"/>
        <v>987</v>
      </c>
      <c r="H98" s="598">
        <f t="shared" si="22"/>
        <v>959</v>
      </c>
      <c r="I98" s="598">
        <f t="shared" si="22"/>
        <v>973</v>
      </c>
      <c r="J98" s="598">
        <f t="shared" si="22"/>
        <v>941</v>
      </c>
      <c r="K98" s="598">
        <f t="shared" si="22"/>
        <v>971</v>
      </c>
      <c r="L98" s="598">
        <f t="shared" si="22"/>
        <v>922</v>
      </c>
      <c r="M98" s="598">
        <f t="shared" si="22"/>
        <v>863</v>
      </c>
    </row>
    <row r="99" spans="1:13" ht="17.399999999999999">
      <c r="A99" s="599">
        <v>12</v>
      </c>
      <c r="B99" s="613">
        <f>ENPRJ3!Q91</f>
        <v>0.95930152063539187</v>
      </c>
      <c r="C99" s="598">
        <f>ENPRJ3!O59</f>
        <v>996</v>
      </c>
      <c r="D99" s="598">
        <f>ROUND(C98*$B$99,0)</f>
        <v>903</v>
      </c>
      <c r="E99" s="598">
        <f t="shared" ref="E99:M99" si="23">ROUND(D98*$B$99,0)</f>
        <v>896</v>
      </c>
      <c r="F99" s="598">
        <f t="shared" si="23"/>
        <v>949</v>
      </c>
      <c r="G99" s="598">
        <f t="shared" si="23"/>
        <v>893</v>
      </c>
      <c r="H99" s="598">
        <f t="shared" si="23"/>
        <v>947</v>
      </c>
      <c r="I99" s="598">
        <f t="shared" si="23"/>
        <v>920</v>
      </c>
      <c r="J99" s="598">
        <f t="shared" si="23"/>
        <v>933</v>
      </c>
      <c r="K99" s="598">
        <f t="shared" si="23"/>
        <v>903</v>
      </c>
      <c r="L99" s="598">
        <f t="shared" si="23"/>
        <v>931</v>
      </c>
      <c r="M99" s="598">
        <f t="shared" si="23"/>
        <v>884</v>
      </c>
    </row>
    <row r="100" spans="1:13" ht="17.399999999999999">
      <c r="A100" s="601" t="s">
        <v>50</v>
      </c>
      <c r="B100" s="601" t="s">
        <v>232</v>
      </c>
      <c r="C100" s="598">
        <f>ENPRJ3!O62</f>
        <v>22</v>
      </c>
      <c r="D100" s="598">
        <f t="shared" ref="D100:I100" si="24">ROUND((C100/SUM(C87:C99))*SUM(D87:D99),0)</f>
        <v>22</v>
      </c>
      <c r="E100" s="598">
        <f t="shared" si="24"/>
        <v>22</v>
      </c>
      <c r="F100" s="598">
        <f t="shared" si="24"/>
        <v>22</v>
      </c>
      <c r="G100" s="598">
        <f t="shared" si="24"/>
        <v>22</v>
      </c>
      <c r="H100" s="598">
        <f t="shared" si="24"/>
        <v>22</v>
      </c>
      <c r="I100" s="598">
        <f t="shared" si="24"/>
        <v>22</v>
      </c>
      <c r="J100" s="598">
        <f>ROUND((I100/SUM(H87:I99))*SUM(I87:J99),0)</f>
        <v>22</v>
      </c>
      <c r="K100" s="598">
        <f>ROUND((J100/SUM(I87:J99))*SUM(J87:K99),0)</f>
        <v>22</v>
      </c>
      <c r="L100" s="598">
        <f>ROUND((K100/SUM(J87:K99))*SUM(K87:L99),0)</f>
        <v>22</v>
      </c>
      <c r="M100" s="598">
        <f>ROUND((L100/SUM(K87:L99))*SUM(L87:M99),0)</f>
        <v>22</v>
      </c>
    </row>
    <row r="101" spans="1:13" ht="17.399999999999999">
      <c r="A101" s="598"/>
      <c r="B101" s="601" t="s">
        <v>233</v>
      </c>
      <c r="C101" s="598"/>
      <c r="D101" s="598"/>
      <c r="E101" s="598"/>
      <c r="F101" s="598"/>
      <c r="G101" s="598"/>
      <c r="H101" s="598"/>
      <c r="I101" s="598"/>
      <c r="J101" s="598"/>
      <c r="K101" s="598"/>
      <c r="L101" s="598"/>
      <c r="M101" s="598"/>
    </row>
    <row r="102" spans="1:13" ht="17.399999999999999">
      <c r="A102" s="602"/>
      <c r="B102" s="603"/>
      <c r="C102" s="603"/>
      <c r="D102" s="603"/>
      <c r="E102" s="603"/>
      <c r="F102" s="603"/>
      <c r="G102" s="603"/>
      <c r="H102" s="603"/>
      <c r="I102" s="603"/>
      <c r="J102" s="603"/>
      <c r="K102" s="603"/>
      <c r="L102" s="603"/>
      <c r="M102" s="727"/>
    </row>
    <row r="103" spans="1:13" ht="17.399999999999999">
      <c r="A103" s="606" t="s">
        <v>234</v>
      </c>
      <c r="B103" s="731"/>
      <c r="C103" s="749">
        <f t="shared" ref="C103:M103" si="25">SUM(C87:C100)</f>
        <v>11782</v>
      </c>
      <c r="D103" s="749">
        <f t="shared" si="25"/>
        <v>11757</v>
      </c>
      <c r="E103" s="749">
        <f t="shared" si="25"/>
        <v>11811</v>
      </c>
      <c r="F103" s="749">
        <f t="shared" si="25"/>
        <v>11902</v>
      </c>
      <c r="G103" s="749">
        <f t="shared" si="25"/>
        <v>11925</v>
      </c>
      <c r="H103" s="749">
        <f t="shared" si="25"/>
        <v>12010</v>
      </c>
      <c r="I103" s="749">
        <f t="shared" si="25"/>
        <v>12068</v>
      </c>
      <c r="J103" s="749">
        <f t="shared" si="25"/>
        <v>12168</v>
      </c>
      <c r="K103" s="749">
        <f t="shared" si="25"/>
        <v>12275</v>
      </c>
      <c r="L103" s="749">
        <f t="shared" si="25"/>
        <v>12430</v>
      </c>
      <c r="M103" s="750">
        <f t="shared" si="25"/>
        <v>12575</v>
      </c>
    </row>
    <row r="104" spans="1:13" ht="17.399999999999999">
      <c r="A104" s="598"/>
      <c r="B104" s="598"/>
      <c r="C104" s="598"/>
      <c r="D104" s="598"/>
      <c r="E104" s="598"/>
      <c r="F104" s="598"/>
      <c r="G104" s="598"/>
      <c r="H104" s="598"/>
      <c r="I104" s="598"/>
      <c r="J104" s="598"/>
      <c r="K104" s="598"/>
      <c r="L104" s="598"/>
      <c r="M104" s="598"/>
    </row>
    <row r="105" spans="1:13" ht="17.399999999999999">
      <c r="A105" s="601" t="s">
        <v>12</v>
      </c>
      <c r="B105" s="598"/>
      <c r="C105" s="822">
        <f>ENPRJ3!O66</f>
        <v>-29</v>
      </c>
      <c r="D105" s="822">
        <f t="shared" ref="D105:M105" si="26">D103-C103</f>
        <v>-25</v>
      </c>
      <c r="E105" s="822">
        <f t="shared" si="26"/>
        <v>54</v>
      </c>
      <c r="F105" s="822">
        <f t="shared" si="26"/>
        <v>91</v>
      </c>
      <c r="G105" s="822">
        <f t="shared" si="26"/>
        <v>23</v>
      </c>
      <c r="H105" s="822">
        <f t="shared" si="26"/>
        <v>85</v>
      </c>
      <c r="I105" s="822">
        <f t="shared" si="26"/>
        <v>58</v>
      </c>
      <c r="J105" s="822">
        <f t="shared" si="26"/>
        <v>100</v>
      </c>
      <c r="K105" s="822">
        <f t="shared" si="26"/>
        <v>107</v>
      </c>
      <c r="L105" s="822">
        <f t="shared" si="26"/>
        <v>155</v>
      </c>
      <c r="M105" s="822">
        <f t="shared" si="26"/>
        <v>145</v>
      </c>
    </row>
    <row r="106" spans="1:13" ht="17.399999999999999">
      <c r="A106" s="601" t="s">
        <v>13</v>
      </c>
      <c r="B106" s="598"/>
      <c r="C106" s="613">
        <f>C103/ENPRJ3!N64</f>
        <v>0.99754466175599021</v>
      </c>
      <c r="D106" s="613">
        <f>D103/C103</f>
        <v>0.99787811916482771</v>
      </c>
      <c r="E106" s="613">
        <f t="shared" ref="E106:M106" si="27">E103/D103</f>
        <v>1.0045930084205155</v>
      </c>
      <c r="F106" s="613">
        <f t="shared" si="27"/>
        <v>1.0077046820760309</v>
      </c>
      <c r="G106" s="613">
        <f t="shared" si="27"/>
        <v>1.0019324483280121</v>
      </c>
      <c r="H106" s="613">
        <f t="shared" si="27"/>
        <v>1.0071278825995806</v>
      </c>
      <c r="I106" s="613">
        <f t="shared" si="27"/>
        <v>1.0048293089092424</v>
      </c>
      <c r="J106" s="613">
        <f t="shared" si="27"/>
        <v>1.0082863771958899</v>
      </c>
      <c r="K106" s="613">
        <f t="shared" si="27"/>
        <v>1.00879355687048</v>
      </c>
      <c r="L106" s="613">
        <f t="shared" si="27"/>
        <v>1.0126272912423626</v>
      </c>
      <c r="M106" s="613">
        <f t="shared" si="27"/>
        <v>1.0116653258246178</v>
      </c>
    </row>
    <row r="107" spans="1:13" ht="17.399999999999999">
      <c r="A107" s="344" t="s">
        <v>420</v>
      </c>
      <c r="B107" s="598"/>
      <c r="C107" s="751">
        <f>ENPRJ3!C276</f>
        <v>14722</v>
      </c>
      <c r="D107" s="751"/>
      <c r="E107" s="598"/>
      <c r="F107" s="598"/>
      <c r="G107" s="598"/>
      <c r="H107" s="751"/>
      <c r="I107" s="751"/>
      <c r="J107" s="598"/>
      <c r="K107" s="598"/>
      <c r="L107" s="598"/>
      <c r="M107" s="598">
        <v>16373</v>
      </c>
    </row>
    <row r="108" spans="1:13" ht="17.399999999999999">
      <c r="A108" s="345"/>
      <c r="B108" s="598"/>
      <c r="C108" s="598"/>
      <c r="D108" s="598"/>
      <c r="E108" s="598"/>
      <c r="F108" s="598"/>
      <c r="G108" s="598"/>
      <c r="H108" s="598"/>
      <c r="I108" s="598"/>
      <c r="J108" s="598"/>
      <c r="K108" s="598"/>
      <c r="L108" s="598"/>
      <c r="M108" s="598"/>
    </row>
    <row r="109" spans="1:13" ht="17.399999999999999">
      <c r="A109" s="344" t="s">
        <v>419</v>
      </c>
      <c r="B109" s="598"/>
      <c r="C109" s="736">
        <f>C103/C107</f>
        <v>0.80029887243581033</v>
      </c>
      <c r="D109" s="736"/>
      <c r="E109" s="598"/>
      <c r="F109" s="598"/>
      <c r="G109" s="598"/>
      <c r="H109" s="736"/>
      <c r="I109" s="736"/>
      <c r="J109" s="598"/>
      <c r="K109" s="598"/>
      <c r="L109" s="598"/>
      <c r="M109" s="736">
        <f>M103/M107</f>
        <v>0.76803273682281803</v>
      </c>
    </row>
    <row r="110" spans="1:13" ht="17.399999999999999">
      <c r="A110" s="601"/>
      <c r="B110" s="598"/>
      <c r="C110" s="751"/>
      <c r="D110" s="751"/>
      <c r="E110" s="598"/>
      <c r="F110" s="598"/>
      <c r="G110" s="598"/>
      <c r="H110" s="751"/>
      <c r="I110" s="751"/>
      <c r="J110" s="598"/>
      <c r="K110" s="598"/>
      <c r="L110" s="598"/>
      <c r="M110" s="752"/>
    </row>
    <row r="111" spans="1:13" ht="17.399999999999999">
      <c r="A111" s="601" t="s">
        <v>17</v>
      </c>
      <c r="B111" s="598"/>
      <c r="C111" s="598"/>
      <c r="D111" s="598"/>
      <c r="E111" s="598"/>
      <c r="F111" s="598"/>
      <c r="G111" s="598"/>
      <c r="H111" s="598"/>
      <c r="I111" s="598"/>
      <c r="J111" s="598"/>
      <c r="K111" s="598"/>
      <c r="L111" s="598"/>
      <c r="M111" s="598"/>
    </row>
    <row r="112" spans="1:13" ht="17.399999999999999">
      <c r="A112" s="601" t="s">
        <v>418</v>
      </c>
      <c r="B112" s="598"/>
      <c r="C112" s="751">
        <f>ROUND(ENPRJ3!$H$161*C103,0)</f>
        <v>62281</v>
      </c>
      <c r="D112" s="751">
        <f>ROUND(ENPRJ3!$H$161*D103,0)</f>
        <v>62148</v>
      </c>
      <c r="E112" s="751">
        <f>ROUND(ENPRJ3!$H$161*E103,0)</f>
        <v>62434</v>
      </c>
      <c r="F112" s="751">
        <f>ROUND(ENPRJ3!$H$161*F103,0)</f>
        <v>62915</v>
      </c>
      <c r="G112" s="751">
        <f>ROUND(ENPRJ3!$H$161*G103,0)</f>
        <v>63037</v>
      </c>
      <c r="H112" s="751">
        <f>ROUND(ENPRJ3!$H$161*H103,0)</f>
        <v>63486</v>
      </c>
      <c r="I112" s="751">
        <f>ROUND(ENPRJ3!$H$161*I103,0)</f>
        <v>63792</v>
      </c>
      <c r="J112" s="751">
        <f>ROUND(ENPRJ3!$H$161*J103,0)</f>
        <v>64321</v>
      </c>
      <c r="K112" s="751">
        <f>ROUND(ENPRJ3!$H$161*K103,0)</f>
        <v>64887</v>
      </c>
      <c r="L112" s="751">
        <f>ROUND(ENPRJ3!$H$161*L103,0)</f>
        <v>65706</v>
      </c>
      <c r="M112" s="751">
        <f>ROUND(ENPRJ3!$H$161*M103,0)</f>
        <v>66472</v>
      </c>
    </row>
    <row r="113" spans="1:33" ht="17.399999999999999">
      <c r="A113" s="601" t="s">
        <v>235</v>
      </c>
      <c r="B113" s="598"/>
      <c r="C113" s="598"/>
      <c r="D113" s="598"/>
      <c r="E113" s="598"/>
      <c r="F113" s="598"/>
      <c r="G113" s="598"/>
      <c r="H113" s="598"/>
      <c r="I113" s="598"/>
      <c r="J113" s="598"/>
      <c r="K113" s="598"/>
      <c r="L113" s="598"/>
      <c r="M113" s="598"/>
    </row>
    <row r="114" spans="1:33" ht="17.399999999999999">
      <c r="A114" s="601" t="s">
        <v>236</v>
      </c>
      <c r="B114" s="598"/>
      <c r="C114" s="751">
        <f>ROUND((0.75/ENPRJ3!$C$286)*(C105),0)</f>
        <v>280</v>
      </c>
      <c r="D114" s="751">
        <f>ROUND((0.75/ENPRJ3!$C$286)*(D105),0)</f>
        <v>242</v>
      </c>
      <c r="E114" s="751">
        <f>ROUND((0.75/ENPRJ3!$C$286)*(E105),0)</f>
        <v>-522</v>
      </c>
      <c r="F114" s="751">
        <f>ROUND((0.75/ENPRJ3!$C$286)*(F105),0)</f>
        <v>-879</v>
      </c>
      <c r="G114" s="751">
        <f>ROUND((0.75/ENPRJ3!$C$286)*(G105),0)</f>
        <v>-222</v>
      </c>
      <c r="H114" s="751">
        <f>ROUND((0.75/ENPRJ3!$C$286)*(H105),0)</f>
        <v>-821</v>
      </c>
      <c r="I114" s="751">
        <f>ROUND((0.75/ENPRJ3!$C$286)*(I105),0)</f>
        <v>-560</v>
      </c>
      <c r="J114" s="751">
        <f>ROUND((0.75/ENPRJ3!$C$286)*(J105),0)</f>
        <v>-966</v>
      </c>
      <c r="K114" s="751">
        <f>ROUND((0.75/ENPRJ3!$C$286)*(K105),0)</f>
        <v>-1034</v>
      </c>
      <c r="L114" s="751">
        <f>ROUND((0.75/ENPRJ3!$C$286)*(L105),0)</f>
        <v>-1498</v>
      </c>
      <c r="M114" s="751">
        <f>ROUND((0.75/ENPRJ3!$C$286)*(M105),0)</f>
        <v>-1401</v>
      </c>
    </row>
    <row r="115" spans="1:33" ht="17.399999999999999">
      <c r="A115" s="601" t="s">
        <v>237</v>
      </c>
      <c r="B115" s="598"/>
      <c r="C115" s="598"/>
    </row>
    <row r="116" spans="1:33" ht="17.399999999999999">
      <c r="A116" s="601" t="s">
        <v>238</v>
      </c>
      <c r="B116" s="598"/>
      <c r="C116" s="598"/>
    </row>
    <row r="117" spans="1:33" ht="17.399999999999999">
      <c r="A117" s="601" t="s">
        <v>239</v>
      </c>
      <c r="B117" s="598"/>
      <c r="C117" s="753">
        <f>ENPRJ3!M137</f>
        <v>-7.7616279069767438E-2</v>
      </c>
    </row>
    <row r="118" spans="1:33" ht="21">
      <c r="C118" s="590" t="s">
        <v>227</v>
      </c>
      <c r="D118" s="591"/>
      <c r="E118" s="591"/>
      <c r="F118" s="591"/>
      <c r="G118" s="591"/>
      <c r="H118" s="592"/>
      <c r="I118" s="591"/>
      <c r="J118" s="593" t="str">
        <f>D83</f>
        <v>2026-27</v>
      </c>
      <c r="K118" s="592"/>
    </row>
    <row r="119" spans="1:33" ht="17.399999999999999">
      <c r="C119" s="590" t="s">
        <v>240</v>
      </c>
      <c r="D119" s="591"/>
      <c r="E119" s="591"/>
      <c r="F119" s="591"/>
      <c r="G119" s="591"/>
      <c r="H119" s="591"/>
      <c r="I119" s="592"/>
      <c r="J119" s="592"/>
      <c r="K119" s="592"/>
    </row>
    <row r="120" spans="1:33" ht="17.399999999999999">
      <c r="C120" s="591"/>
      <c r="D120" s="594" t="str">
        <f>A41</f>
        <v xml:space="preserve">    TEN YEAR AVERAGE PERCENTAGE OF SURVIVAL</v>
      </c>
      <c r="E120" s="591"/>
      <c r="F120" s="591"/>
      <c r="G120" s="591"/>
      <c r="H120" s="591"/>
      <c r="I120" s="592"/>
      <c r="J120" s="592"/>
      <c r="K120" s="592"/>
    </row>
    <row r="121" spans="1:33">
      <c r="D121" s="589" t="s">
        <v>335</v>
      </c>
      <c r="AB121" s="715"/>
    </row>
    <row r="122" spans="1:33" ht="17.399999999999999">
      <c r="A122" s="543" t="s">
        <v>24</v>
      </c>
      <c r="B122" s="813" t="s">
        <v>25</v>
      </c>
      <c r="C122" s="813"/>
      <c r="D122" s="813"/>
      <c r="E122" s="813"/>
      <c r="F122" s="813"/>
      <c r="G122" s="813"/>
      <c r="H122" s="813"/>
      <c r="I122" s="813"/>
      <c r="J122" s="813"/>
      <c r="K122" s="544"/>
      <c r="L122" s="557" t="s">
        <v>241</v>
      </c>
      <c r="M122" s="557"/>
      <c r="N122" s="557"/>
      <c r="O122" s="557"/>
      <c r="P122" s="557" t="s">
        <v>242</v>
      </c>
      <c r="Q122" s="557"/>
      <c r="R122" s="557"/>
      <c r="S122" s="558" t="s">
        <v>27</v>
      </c>
      <c r="AG122" s="715"/>
    </row>
    <row r="123" spans="1:33" ht="17.399999999999999">
      <c r="A123" s="596"/>
      <c r="B123" s="550" t="s">
        <v>289</v>
      </c>
      <c r="C123" s="550" t="s">
        <v>357</v>
      </c>
      <c r="D123" s="550" t="s">
        <v>358</v>
      </c>
      <c r="E123" s="550" t="s">
        <v>359</v>
      </c>
      <c r="F123" s="550" t="s">
        <v>360</v>
      </c>
      <c r="G123" s="550" t="s">
        <v>370</v>
      </c>
      <c r="H123" s="550" t="s">
        <v>356</v>
      </c>
      <c r="I123" s="550" t="s">
        <v>361</v>
      </c>
      <c r="J123" s="550" t="s">
        <v>406</v>
      </c>
      <c r="K123" s="550" t="s">
        <v>363</v>
      </c>
      <c r="L123" s="550" t="s">
        <v>36</v>
      </c>
      <c r="M123" s="550" t="s">
        <v>86</v>
      </c>
      <c r="N123" s="550" t="s">
        <v>99</v>
      </c>
      <c r="O123" s="550" t="s">
        <v>346</v>
      </c>
      <c r="P123" s="550" t="s">
        <v>90</v>
      </c>
      <c r="Q123" s="550" t="s">
        <v>103</v>
      </c>
      <c r="R123" s="550" t="s">
        <v>343</v>
      </c>
      <c r="S123" s="597"/>
      <c r="AG123" s="754"/>
    </row>
    <row r="124" spans="1:33" ht="17.399999999999999">
      <c r="A124" s="598"/>
      <c r="B124" s="598"/>
      <c r="C124" s="598"/>
      <c r="D124" s="598"/>
      <c r="E124" s="598"/>
      <c r="F124" s="598"/>
      <c r="G124" s="598"/>
      <c r="H124" s="598"/>
      <c r="I124" s="598"/>
      <c r="J124" s="598"/>
      <c r="K124" s="598"/>
      <c r="L124" s="598"/>
      <c r="M124" s="598"/>
      <c r="N124" s="598"/>
      <c r="O124" s="598"/>
      <c r="P124" s="598"/>
      <c r="Q124" s="598"/>
      <c r="R124" s="598"/>
      <c r="S124" s="598"/>
    </row>
    <row r="125" spans="1:33" ht="17.399999999999999">
      <c r="A125" s="599" t="s">
        <v>391</v>
      </c>
      <c r="B125" s="600">
        <f t="shared" ref="B125:J125" si="28">ROUND(B25/(SUM($B$25:$J$25))*($S$125),0)</f>
        <v>105</v>
      </c>
      <c r="C125" s="600">
        <f t="shared" si="28"/>
        <v>77</v>
      </c>
      <c r="D125" s="600">
        <f t="shared" si="28"/>
        <v>92</v>
      </c>
      <c r="E125" s="600">
        <f t="shared" si="28"/>
        <v>89</v>
      </c>
      <c r="F125" s="600">
        <f t="shared" si="28"/>
        <v>104</v>
      </c>
      <c r="G125" s="600">
        <f t="shared" si="28"/>
        <v>93</v>
      </c>
      <c r="H125" s="600">
        <f t="shared" si="28"/>
        <v>102</v>
      </c>
      <c r="I125" s="600">
        <f t="shared" si="28"/>
        <v>76</v>
      </c>
      <c r="J125" s="600">
        <f t="shared" si="28"/>
        <v>101</v>
      </c>
      <c r="K125" s="600"/>
      <c r="L125" s="600"/>
      <c r="M125" s="600"/>
      <c r="N125" s="600"/>
      <c r="O125" s="600"/>
      <c r="P125" s="600"/>
      <c r="Q125" s="600"/>
      <c r="R125" s="600"/>
      <c r="S125" s="600">
        <f t="shared" ref="S125:S138" si="29">D87</f>
        <v>839</v>
      </c>
    </row>
    <row r="126" spans="1:33" ht="17.399999999999999">
      <c r="A126" s="599">
        <v>1</v>
      </c>
      <c r="B126" s="600">
        <f t="shared" ref="B126:I130" si="30">ROUND((B10/$S10)*($S126),0)</f>
        <v>87</v>
      </c>
      <c r="C126" s="600">
        <f t="shared" si="30"/>
        <v>64</v>
      </c>
      <c r="D126" s="600">
        <f t="shared" si="30"/>
        <v>89</v>
      </c>
      <c r="E126" s="600">
        <f t="shared" si="30"/>
        <v>72</v>
      </c>
      <c r="F126" s="600">
        <f t="shared" si="30"/>
        <v>92</v>
      </c>
      <c r="G126" s="600">
        <f t="shared" si="30"/>
        <v>82</v>
      </c>
      <c r="H126" s="600">
        <f t="shared" si="30"/>
        <v>82</v>
      </c>
      <c r="I126" s="600">
        <f t="shared" si="30"/>
        <v>76</v>
      </c>
      <c r="J126" s="600">
        <f>S126-(SUM(B126:I126))</f>
        <v>107</v>
      </c>
      <c r="K126" s="600"/>
      <c r="L126" s="600"/>
      <c r="M126" s="600"/>
      <c r="N126" s="600"/>
      <c r="O126" s="600"/>
      <c r="P126" s="600"/>
      <c r="Q126" s="600"/>
      <c r="R126" s="600"/>
      <c r="S126" s="600">
        <f t="shared" si="29"/>
        <v>751</v>
      </c>
    </row>
    <row r="127" spans="1:33" ht="17.399999999999999">
      <c r="A127" s="599">
        <v>2</v>
      </c>
      <c r="B127" s="600">
        <f t="shared" si="30"/>
        <v>86</v>
      </c>
      <c r="C127" s="600">
        <f t="shared" si="30"/>
        <v>71</v>
      </c>
      <c r="D127" s="600">
        <f t="shared" si="30"/>
        <v>89</v>
      </c>
      <c r="E127" s="600">
        <f t="shared" si="30"/>
        <v>77</v>
      </c>
      <c r="F127" s="600">
        <f t="shared" si="30"/>
        <v>88</v>
      </c>
      <c r="G127" s="600">
        <f t="shared" si="30"/>
        <v>91</v>
      </c>
      <c r="H127" s="600">
        <f t="shared" si="30"/>
        <v>93</v>
      </c>
      <c r="I127" s="600">
        <f t="shared" si="30"/>
        <v>74</v>
      </c>
      <c r="J127" s="600">
        <f>S127-(SUM(B127:I127))</f>
        <v>87</v>
      </c>
      <c r="K127" s="600"/>
      <c r="L127" s="600"/>
      <c r="M127" s="600"/>
      <c r="N127" s="600"/>
      <c r="O127" s="600"/>
      <c r="P127" s="600"/>
      <c r="Q127" s="600"/>
      <c r="R127" s="600"/>
      <c r="S127" s="600">
        <f t="shared" si="29"/>
        <v>756</v>
      </c>
    </row>
    <row r="128" spans="1:33" ht="17.399999999999999">
      <c r="A128" s="599">
        <v>3</v>
      </c>
      <c r="B128" s="600">
        <f t="shared" si="30"/>
        <v>106</v>
      </c>
      <c r="C128" s="600">
        <f t="shared" si="30"/>
        <v>74</v>
      </c>
      <c r="D128" s="600">
        <f t="shared" si="30"/>
        <v>98</v>
      </c>
      <c r="E128" s="600">
        <f t="shared" si="30"/>
        <v>96</v>
      </c>
      <c r="F128" s="600">
        <f t="shared" si="30"/>
        <v>106</v>
      </c>
      <c r="G128" s="600">
        <f t="shared" si="30"/>
        <v>82</v>
      </c>
      <c r="H128" s="600">
        <f t="shared" si="30"/>
        <v>100</v>
      </c>
      <c r="I128" s="600">
        <f t="shared" si="30"/>
        <v>70</v>
      </c>
      <c r="J128" s="600">
        <f>S128-(SUM(B128:I128))</f>
        <v>100</v>
      </c>
      <c r="K128" s="600"/>
      <c r="L128" s="600"/>
      <c r="M128" s="600"/>
      <c r="N128" s="600"/>
      <c r="O128" s="600"/>
      <c r="P128" s="600"/>
      <c r="Q128" s="600"/>
      <c r="R128" s="600"/>
      <c r="S128" s="600">
        <f t="shared" si="29"/>
        <v>832</v>
      </c>
    </row>
    <row r="129" spans="1:34" ht="17.399999999999999">
      <c r="A129" s="599">
        <v>4</v>
      </c>
      <c r="B129" s="600">
        <f t="shared" si="30"/>
        <v>102</v>
      </c>
      <c r="C129" s="600">
        <f t="shared" si="30"/>
        <v>83</v>
      </c>
      <c r="D129" s="600">
        <f t="shared" si="30"/>
        <v>98</v>
      </c>
      <c r="E129" s="600">
        <f t="shared" si="30"/>
        <v>87</v>
      </c>
      <c r="F129" s="600">
        <f t="shared" si="30"/>
        <v>112</v>
      </c>
      <c r="G129" s="600">
        <f t="shared" si="30"/>
        <v>105</v>
      </c>
      <c r="H129" s="600">
        <f t="shared" si="30"/>
        <v>124</v>
      </c>
      <c r="I129" s="600">
        <f t="shared" si="30"/>
        <v>79</v>
      </c>
      <c r="J129" s="600">
        <f>S129-(SUM(B129:I129))</f>
        <v>113</v>
      </c>
      <c r="K129" s="600"/>
      <c r="L129" s="600"/>
      <c r="M129" s="600"/>
      <c r="N129" s="600"/>
      <c r="O129" s="600"/>
      <c r="P129" s="600"/>
      <c r="Q129" s="600"/>
      <c r="R129" s="600"/>
      <c r="S129" s="600">
        <f t="shared" si="29"/>
        <v>903</v>
      </c>
    </row>
    <row r="130" spans="1:34" ht="17.399999999999999">
      <c r="A130" s="599">
        <v>5</v>
      </c>
      <c r="B130" s="600">
        <f t="shared" si="30"/>
        <v>135</v>
      </c>
      <c r="C130" s="600">
        <f t="shared" si="30"/>
        <v>81</v>
      </c>
      <c r="D130" s="600">
        <f t="shared" si="30"/>
        <v>82</v>
      </c>
      <c r="E130" s="600">
        <f t="shared" si="30"/>
        <v>106</v>
      </c>
      <c r="F130" s="600">
        <f t="shared" si="30"/>
        <v>108</v>
      </c>
      <c r="G130" s="600">
        <f t="shared" si="30"/>
        <v>91</v>
      </c>
      <c r="H130" s="600">
        <f t="shared" si="30"/>
        <v>99</v>
      </c>
      <c r="I130" s="600">
        <f t="shared" si="30"/>
        <v>96</v>
      </c>
      <c r="J130" s="600">
        <f>S130-(SUM(B130:I130))</f>
        <v>94</v>
      </c>
      <c r="K130" s="600"/>
      <c r="L130" s="600"/>
      <c r="M130" s="600"/>
      <c r="O130" s="600"/>
      <c r="P130" s="600"/>
      <c r="Q130" s="600"/>
      <c r="R130" s="600"/>
      <c r="S130" s="600">
        <f t="shared" si="29"/>
        <v>892</v>
      </c>
    </row>
    <row r="131" spans="1:34" ht="17.399999999999999">
      <c r="A131" s="599">
        <v>6</v>
      </c>
      <c r="B131" s="598"/>
      <c r="C131" s="600"/>
      <c r="D131" s="600"/>
      <c r="E131" s="600"/>
      <c r="F131" s="600"/>
      <c r="G131" s="600"/>
      <c r="H131" s="600"/>
      <c r="I131" s="600"/>
      <c r="J131" s="600"/>
      <c r="K131" s="600">
        <f>ROUND(((ENRHIST!B1013)/$S15)*($S131),0)</f>
        <v>210</v>
      </c>
      <c r="L131" s="600">
        <f>ROUND(((ENRHIST!C1013)/$S15)*($S131),0)</f>
        <v>260</v>
      </c>
      <c r="M131" s="600">
        <f>ROUND(((ENRHIST!D1013)/$S15)*($S131),0)</f>
        <v>256</v>
      </c>
      <c r="N131" s="600">
        <f>ROUND(((ENRHIST!E1013)/$S15)*($S131),0)</f>
        <v>238</v>
      </c>
      <c r="O131" s="600"/>
      <c r="P131" s="600"/>
      <c r="Q131" s="600"/>
      <c r="R131" s="666">
        <f>S131-SUM(K131:Q131)</f>
        <v>1</v>
      </c>
      <c r="S131" s="600">
        <f t="shared" si="29"/>
        <v>965</v>
      </c>
    </row>
    <row r="132" spans="1:34" ht="17.399999999999999">
      <c r="A132" s="599">
        <v>7</v>
      </c>
      <c r="B132" s="598"/>
      <c r="C132" s="600"/>
      <c r="D132" s="600"/>
      <c r="E132" s="600"/>
      <c r="F132" s="600"/>
      <c r="G132" s="600"/>
      <c r="H132" s="600"/>
      <c r="I132" s="600"/>
      <c r="J132" s="600"/>
      <c r="K132" s="600">
        <f>ROUND((K16/$S16)*($S132),0)</f>
        <v>179</v>
      </c>
      <c r="L132" s="600">
        <f t="shared" ref="L132:N132" si="31">ROUND((L16/$S16)*($S132),0)</f>
        <v>250</v>
      </c>
      <c r="M132" s="600">
        <f t="shared" si="31"/>
        <v>236</v>
      </c>
      <c r="N132" s="600">
        <f t="shared" si="31"/>
        <v>302</v>
      </c>
      <c r="O132" s="600"/>
      <c r="P132" s="600"/>
      <c r="Q132" s="600"/>
      <c r="R132" s="666">
        <f>S132-SUM(K132:Q132)</f>
        <v>1</v>
      </c>
      <c r="S132" s="600">
        <f t="shared" si="29"/>
        <v>968</v>
      </c>
    </row>
    <row r="133" spans="1:34" ht="17.399999999999999">
      <c r="A133" s="599">
        <v>8</v>
      </c>
      <c r="B133" s="598"/>
      <c r="C133" s="600"/>
      <c r="D133" s="600"/>
      <c r="E133" s="600"/>
      <c r="F133" s="600"/>
      <c r="G133" s="600"/>
      <c r="H133" s="600"/>
      <c r="I133" s="600"/>
      <c r="J133" s="600"/>
      <c r="K133" s="600">
        <f>ROUND((K17/$S17)*($S133),0)</f>
        <v>195</v>
      </c>
      <c r="L133" s="600">
        <f t="shared" ref="L133:N133" si="32">ROUND((L17/$S17)*($S133),0)</f>
        <v>239</v>
      </c>
      <c r="M133" s="600">
        <f t="shared" si="32"/>
        <v>272</v>
      </c>
      <c r="N133" s="600">
        <f t="shared" si="32"/>
        <v>299</v>
      </c>
      <c r="O133" s="600"/>
      <c r="P133" s="600"/>
      <c r="Q133" s="600"/>
      <c r="R133" s="666">
        <f>S133-SUM(K133:Q133)</f>
        <v>1</v>
      </c>
      <c r="S133" s="600">
        <f t="shared" si="29"/>
        <v>1006</v>
      </c>
    </row>
    <row r="134" spans="1:34" ht="17.399999999999999">
      <c r="A134" s="599">
        <v>9</v>
      </c>
      <c r="B134" s="598"/>
      <c r="C134" s="600"/>
      <c r="D134" s="600"/>
      <c r="E134" s="600"/>
      <c r="F134" s="600"/>
      <c r="G134" s="600"/>
      <c r="H134" s="600"/>
      <c r="I134" s="600"/>
      <c r="J134" s="600"/>
      <c r="K134" s="600"/>
      <c r="L134" s="600"/>
      <c r="M134" s="600"/>
      <c r="N134" s="600"/>
      <c r="O134" s="600">
        <f>ROUND((ENRHIST!B1176/$S18)*($S134),0)</f>
        <v>254</v>
      </c>
      <c r="P134" s="600">
        <f>ROUND((ENRHIST!C1176/$S18)*($S134),0)</f>
        <v>402</v>
      </c>
      <c r="Q134" s="600">
        <f>ROUND((ENRHIST!D1176/$S18)*($S134),0)</f>
        <v>305</v>
      </c>
      <c r="R134" s="600">
        <f>S134-SUM(O134:Q134)</f>
        <v>14</v>
      </c>
      <c r="S134" s="600">
        <f t="shared" si="29"/>
        <v>975</v>
      </c>
    </row>
    <row r="135" spans="1:34" ht="17.399999999999999">
      <c r="A135" s="599">
        <v>10</v>
      </c>
      <c r="B135" s="598"/>
      <c r="C135" s="600"/>
      <c r="D135" s="600"/>
      <c r="E135" s="600"/>
      <c r="F135" s="600"/>
      <c r="G135" s="600"/>
      <c r="H135" s="600"/>
      <c r="I135" s="600"/>
      <c r="J135" s="600"/>
      <c r="K135" s="600"/>
      <c r="L135" s="600"/>
      <c r="M135" s="600"/>
      <c r="N135" s="600"/>
      <c r="O135" s="600">
        <f t="shared" ref="O135:Q137" si="33">ROUND((O19/$S19)*($S135),0)</f>
        <v>233</v>
      </c>
      <c r="P135" s="600">
        <f t="shared" si="33"/>
        <v>402</v>
      </c>
      <c r="Q135" s="600">
        <f t="shared" si="33"/>
        <v>361</v>
      </c>
      <c r="R135" s="600">
        <f>S135-SUM(O135:Q135)</f>
        <v>15</v>
      </c>
      <c r="S135" s="600">
        <f t="shared" si="29"/>
        <v>1011</v>
      </c>
    </row>
    <row r="136" spans="1:34" ht="17.399999999999999">
      <c r="A136" s="599">
        <v>11</v>
      </c>
      <c r="B136" s="598"/>
      <c r="C136" s="600"/>
      <c r="D136" s="600"/>
      <c r="E136" s="600"/>
      <c r="F136" s="600"/>
      <c r="G136" s="600"/>
      <c r="H136" s="600"/>
      <c r="I136" s="600"/>
      <c r="J136" s="600"/>
      <c r="K136" s="600"/>
      <c r="L136" s="600"/>
      <c r="M136" s="600"/>
      <c r="N136" s="600"/>
      <c r="O136" s="600">
        <f t="shared" si="33"/>
        <v>229</v>
      </c>
      <c r="P136" s="600">
        <f t="shared" si="33"/>
        <v>344</v>
      </c>
      <c r="Q136" s="600">
        <f t="shared" si="33"/>
        <v>348</v>
      </c>
      <c r="R136" s="600">
        <f>S136-SUM(O136:Q136)</f>
        <v>13</v>
      </c>
      <c r="S136" s="600">
        <f t="shared" si="29"/>
        <v>934</v>
      </c>
    </row>
    <row r="137" spans="1:34" ht="17.399999999999999">
      <c r="A137" s="599">
        <v>12</v>
      </c>
      <c r="B137" s="598"/>
      <c r="C137" s="600"/>
      <c r="D137" s="600"/>
      <c r="E137" s="600"/>
      <c r="F137" s="600"/>
      <c r="G137" s="600"/>
      <c r="H137" s="600"/>
      <c r="I137" s="600"/>
      <c r="J137" s="600"/>
      <c r="K137" s="600"/>
      <c r="L137" s="600"/>
      <c r="M137" s="600"/>
      <c r="N137" s="600"/>
      <c r="O137" s="600">
        <f t="shared" si="33"/>
        <v>237</v>
      </c>
      <c r="P137" s="600">
        <f t="shared" si="33"/>
        <v>380</v>
      </c>
      <c r="Q137" s="600">
        <f t="shared" si="33"/>
        <v>273</v>
      </c>
      <c r="R137" s="600">
        <f>S137-SUM(O137:Q137)</f>
        <v>13</v>
      </c>
      <c r="S137" s="600">
        <f t="shared" si="29"/>
        <v>903</v>
      </c>
    </row>
    <row r="138" spans="1:34" ht="17.399999999999999">
      <c r="A138" s="601" t="s">
        <v>50</v>
      </c>
      <c r="B138" s="600">
        <f t="shared" ref="B138:Q138" si="34">ROUND((B23/$S$23)*$S$138,0)</f>
        <v>0</v>
      </c>
      <c r="C138" s="600">
        <f t="shared" si="34"/>
        <v>0</v>
      </c>
      <c r="D138" s="600">
        <f t="shared" si="34"/>
        <v>0</v>
      </c>
      <c r="E138" s="600">
        <f t="shared" si="34"/>
        <v>0</v>
      </c>
      <c r="F138" s="600">
        <f t="shared" si="34"/>
        <v>0</v>
      </c>
      <c r="G138" s="600">
        <f t="shared" si="34"/>
        <v>0</v>
      </c>
      <c r="H138" s="600">
        <f t="shared" si="34"/>
        <v>0</v>
      </c>
      <c r="I138" s="600">
        <f t="shared" si="34"/>
        <v>0</v>
      </c>
      <c r="J138" s="600">
        <f t="shared" si="34"/>
        <v>0</v>
      </c>
      <c r="K138" s="600">
        <f t="shared" si="34"/>
        <v>0</v>
      </c>
      <c r="L138" s="600">
        <f t="shared" si="34"/>
        <v>0</v>
      </c>
      <c r="M138" s="600">
        <f t="shared" si="34"/>
        <v>0</v>
      </c>
      <c r="N138" s="600">
        <f t="shared" si="34"/>
        <v>0</v>
      </c>
      <c r="O138" s="600">
        <f t="shared" si="34"/>
        <v>6</v>
      </c>
      <c r="P138" s="600">
        <f t="shared" si="34"/>
        <v>9</v>
      </c>
      <c r="Q138" s="600">
        <f t="shared" si="34"/>
        <v>7</v>
      </c>
      <c r="R138" s="600"/>
      <c r="S138" s="600">
        <f t="shared" si="29"/>
        <v>22</v>
      </c>
    </row>
    <row r="139" spans="1:34" ht="17.399999999999999">
      <c r="A139" s="602"/>
      <c r="B139" s="603"/>
      <c r="C139" s="604"/>
      <c r="D139" s="604"/>
      <c r="E139" s="604"/>
      <c r="F139" s="604"/>
      <c r="G139" s="604"/>
      <c r="H139" s="604"/>
      <c r="I139" s="604"/>
      <c r="J139" s="604"/>
      <c r="K139" s="604"/>
      <c r="L139" s="604"/>
      <c r="M139" s="604"/>
      <c r="N139" s="604"/>
      <c r="O139" s="604"/>
      <c r="P139" s="604"/>
      <c r="Q139" s="604"/>
      <c r="R139" s="604"/>
      <c r="S139" s="605"/>
    </row>
    <row r="140" spans="1:34" ht="17.399999999999999">
      <c r="A140" s="606" t="s">
        <v>51</v>
      </c>
      <c r="B140" s="607">
        <f t="shared" ref="B140:Q140" si="35">SUM(B125:B138)</f>
        <v>621</v>
      </c>
      <c r="C140" s="607">
        <f t="shared" si="35"/>
        <v>450</v>
      </c>
      <c r="D140" s="607">
        <f t="shared" si="35"/>
        <v>548</v>
      </c>
      <c r="E140" s="607">
        <f t="shared" si="35"/>
        <v>527</v>
      </c>
      <c r="F140" s="607">
        <f t="shared" si="35"/>
        <v>610</v>
      </c>
      <c r="G140" s="607">
        <f t="shared" si="35"/>
        <v>544</v>
      </c>
      <c r="H140" s="607">
        <f t="shared" si="35"/>
        <v>600</v>
      </c>
      <c r="I140" s="607">
        <f t="shared" si="35"/>
        <v>471</v>
      </c>
      <c r="J140" s="607">
        <f t="shared" si="35"/>
        <v>602</v>
      </c>
      <c r="K140" s="607">
        <f t="shared" si="35"/>
        <v>584</v>
      </c>
      <c r="L140" s="607">
        <f t="shared" si="35"/>
        <v>749</v>
      </c>
      <c r="M140" s="607">
        <f t="shared" si="35"/>
        <v>764</v>
      </c>
      <c r="N140" s="607">
        <f t="shared" si="35"/>
        <v>839</v>
      </c>
      <c r="O140" s="607">
        <f t="shared" si="35"/>
        <v>959</v>
      </c>
      <c r="P140" s="607">
        <f t="shared" si="35"/>
        <v>1537</v>
      </c>
      <c r="Q140" s="607">
        <f t="shared" si="35"/>
        <v>1294</v>
      </c>
      <c r="R140" s="607">
        <f>SUM(R125:R138)</f>
        <v>58</v>
      </c>
      <c r="S140" s="608">
        <f>D103</f>
        <v>11757</v>
      </c>
      <c r="T140" s="609"/>
    </row>
    <row r="141" spans="1:34" ht="17.399999999999999">
      <c r="A141" s="598"/>
      <c r="B141" s="598"/>
      <c r="C141" s="600"/>
      <c r="D141" s="600"/>
      <c r="E141" s="600"/>
      <c r="F141" s="600"/>
      <c r="G141" s="600"/>
      <c r="H141" s="600"/>
      <c r="I141" s="600"/>
      <c r="J141" s="600"/>
      <c r="K141" s="600"/>
      <c r="L141" s="600"/>
      <c r="M141" s="600"/>
      <c r="N141" s="600"/>
      <c r="O141" s="600"/>
      <c r="P141" s="600"/>
      <c r="Q141" s="600"/>
      <c r="R141" s="600"/>
      <c r="S141" s="600"/>
    </row>
    <row r="142" spans="1:34" ht="17.399999999999999">
      <c r="A142" s="601" t="s">
        <v>115</v>
      </c>
      <c r="B142" s="610">
        <f>B33</f>
        <v>625</v>
      </c>
      <c r="C142" s="610">
        <f t="shared" ref="C142:J142" si="36">C33</f>
        <v>575</v>
      </c>
      <c r="D142" s="610">
        <f t="shared" si="36"/>
        <v>600</v>
      </c>
      <c r="E142" s="610">
        <f t="shared" si="36"/>
        <v>725</v>
      </c>
      <c r="F142" s="610">
        <f t="shared" si="36"/>
        <v>725</v>
      </c>
      <c r="G142" s="610">
        <f t="shared" si="36"/>
        <v>625</v>
      </c>
      <c r="H142" s="610">
        <f t="shared" si="36"/>
        <v>700</v>
      </c>
      <c r="I142" s="610">
        <f t="shared" si="36"/>
        <v>593</v>
      </c>
      <c r="J142" s="610">
        <f t="shared" si="36"/>
        <v>750</v>
      </c>
      <c r="K142" s="610">
        <f>K33</f>
        <v>667</v>
      </c>
      <c r="L142" s="610">
        <f>L33</f>
        <v>864</v>
      </c>
      <c r="M142" s="610">
        <f>M33</f>
        <v>779</v>
      </c>
      <c r="N142" s="610">
        <f>N33</f>
        <v>756</v>
      </c>
      <c r="O142" s="610">
        <f t="shared" ref="O142:P142" si="37">O33</f>
        <v>1267</v>
      </c>
      <c r="P142" s="610">
        <f t="shared" si="37"/>
        <v>1495</v>
      </c>
      <c r="Q142" s="610">
        <f>Q33</f>
        <v>1019</v>
      </c>
      <c r="R142" s="610">
        <f>R33</f>
        <v>100</v>
      </c>
      <c r="S142" s="610">
        <f>SUM(B142:R142)</f>
        <v>12865</v>
      </c>
    </row>
    <row r="143" spans="1:34" ht="17.399999999999999">
      <c r="A143" s="598"/>
      <c r="B143" s="598"/>
      <c r="C143" s="600"/>
      <c r="D143" s="600"/>
      <c r="E143" s="600"/>
      <c r="F143" s="600"/>
      <c r="G143" s="600"/>
      <c r="H143" s="600"/>
      <c r="I143" s="600"/>
      <c r="J143" s="666"/>
      <c r="K143" s="600"/>
      <c r="L143" s="600"/>
      <c r="M143" s="600"/>
      <c r="N143" s="600"/>
      <c r="O143" s="600"/>
      <c r="P143" s="600"/>
      <c r="Q143" s="600"/>
      <c r="R143" s="600"/>
      <c r="S143" s="600"/>
    </row>
    <row r="144" spans="1:34" ht="17.399999999999999">
      <c r="A144" s="601" t="s">
        <v>244</v>
      </c>
      <c r="B144" s="611">
        <f t="shared" ref="B144:N144" si="38">B140/B142</f>
        <v>0.99360000000000004</v>
      </c>
      <c r="C144" s="611">
        <f t="shared" si="38"/>
        <v>0.78260869565217395</v>
      </c>
      <c r="D144" s="611">
        <f t="shared" si="38"/>
        <v>0.91333333333333333</v>
      </c>
      <c r="E144" s="611">
        <f t="shared" si="38"/>
        <v>0.72689655172413792</v>
      </c>
      <c r="F144" s="611">
        <f t="shared" si="38"/>
        <v>0.8413793103448276</v>
      </c>
      <c r="G144" s="611">
        <f t="shared" si="38"/>
        <v>0.87039999999999995</v>
      </c>
      <c r="H144" s="611">
        <f t="shared" si="38"/>
        <v>0.8571428571428571</v>
      </c>
      <c r="I144" s="611">
        <f t="shared" si="38"/>
        <v>0.79426644182124784</v>
      </c>
      <c r="J144" s="611">
        <f t="shared" si="38"/>
        <v>0.80266666666666664</v>
      </c>
      <c r="K144" s="611">
        <f t="shared" si="38"/>
        <v>0.87556221889055474</v>
      </c>
      <c r="L144" s="611">
        <f t="shared" si="38"/>
        <v>0.86689814814814814</v>
      </c>
      <c r="M144" s="611">
        <f t="shared" si="38"/>
        <v>0.98074454428754809</v>
      </c>
      <c r="N144" s="611">
        <f t="shared" si="38"/>
        <v>1.1097883597883598</v>
      </c>
      <c r="O144" s="611">
        <f>O140/O142</f>
        <v>0.75690607734806625</v>
      </c>
      <c r="P144" s="611">
        <f>P140/P142</f>
        <v>1.0280936454849499</v>
      </c>
      <c r="Q144" s="611">
        <f>Q140/Q142</f>
        <v>1.2698724239450441</v>
      </c>
      <c r="R144" s="611">
        <f>R140/R142</f>
        <v>0.57999999999999996</v>
      </c>
      <c r="S144" s="611">
        <f>S140/S142</f>
        <v>0.91387485425573256</v>
      </c>
    </row>
    <row r="145" spans="1:20" ht="17.399999999999999">
      <c r="A145" s="598"/>
      <c r="B145" s="598"/>
      <c r="C145" s="598"/>
      <c r="D145" s="598"/>
      <c r="E145" s="598"/>
      <c r="F145" s="598"/>
      <c r="G145" s="598"/>
      <c r="H145" s="598"/>
      <c r="I145" s="598"/>
      <c r="J145" s="598"/>
      <c r="K145" s="598"/>
      <c r="L145" s="598"/>
      <c r="M145" s="598"/>
      <c r="N145" s="598"/>
      <c r="O145" s="598"/>
      <c r="P145" s="598"/>
      <c r="Q145" s="598"/>
      <c r="R145" s="598"/>
      <c r="S145" s="598"/>
      <c r="T145" s="598"/>
    </row>
    <row r="146" spans="1:20" ht="17.399999999999999">
      <c r="A146" s="612"/>
      <c r="B146" s="611"/>
      <c r="C146" s="611"/>
      <c r="D146" s="611"/>
      <c r="E146" s="611"/>
      <c r="F146" s="611"/>
      <c r="G146" s="611"/>
      <c r="H146" s="611"/>
      <c r="I146" s="611"/>
      <c r="J146" s="611"/>
      <c r="K146" s="611"/>
      <c r="L146" s="611"/>
      <c r="M146" s="613"/>
      <c r="N146" s="613"/>
      <c r="O146" s="613"/>
      <c r="P146" s="613"/>
      <c r="Q146" s="613"/>
      <c r="R146" s="613"/>
      <c r="S146" s="613"/>
      <c r="T146" s="613"/>
    </row>
    <row r="147" spans="1:20">
      <c r="B147" s="614"/>
      <c r="C147" s="614"/>
      <c r="D147" s="614"/>
      <c r="E147" s="614"/>
      <c r="F147" s="614"/>
      <c r="G147" s="614"/>
      <c r="H147" s="614"/>
      <c r="I147" s="614"/>
      <c r="J147" s="614"/>
      <c r="K147" s="614"/>
      <c r="L147" s="614"/>
    </row>
    <row r="148" spans="1:20" ht="17.399999999999999">
      <c r="C148" s="590" t="s">
        <v>227</v>
      </c>
      <c r="D148" s="591"/>
      <c r="E148" s="591"/>
      <c r="F148" s="591"/>
      <c r="G148" s="591"/>
      <c r="H148" s="591"/>
      <c r="I148" s="592"/>
      <c r="J148" s="592"/>
      <c r="K148" s="592"/>
      <c r="L148" s="592"/>
      <c r="M148" s="591"/>
      <c r="N148" s="594" t="str">
        <f>E83</f>
        <v>2027-28</v>
      </c>
      <c r="O148" s="592"/>
    </row>
    <row r="149" spans="1:20" ht="17.399999999999999">
      <c r="C149" s="590" t="s">
        <v>240</v>
      </c>
      <c r="D149" s="591"/>
      <c r="E149" s="591"/>
      <c r="F149" s="591"/>
      <c r="G149" s="591"/>
      <c r="H149" s="591"/>
      <c r="I149" s="591"/>
      <c r="J149" s="591"/>
      <c r="K149" s="591"/>
      <c r="L149" s="591"/>
      <c r="M149" s="592"/>
      <c r="N149" s="592"/>
      <c r="O149" s="592"/>
    </row>
    <row r="150" spans="1:20" ht="17.399999999999999">
      <c r="C150" s="591"/>
      <c r="D150" s="594" t="str">
        <f>A41</f>
        <v xml:space="preserve">    TEN YEAR AVERAGE PERCENTAGE OF SURVIVAL</v>
      </c>
      <c r="E150" s="591"/>
      <c r="F150" s="591"/>
      <c r="G150" s="591"/>
      <c r="H150" s="591"/>
      <c r="I150" s="591"/>
      <c r="J150" s="591"/>
      <c r="K150" s="591"/>
      <c r="L150" s="591"/>
      <c r="M150" s="592"/>
      <c r="N150" s="592"/>
      <c r="O150" s="592"/>
    </row>
    <row r="152" spans="1:20" ht="17.399999999999999">
      <c r="A152" s="543" t="s">
        <v>24</v>
      </c>
      <c r="B152" s="813" t="s">
        <v>25</v>
      </c>
      <c r="C152" s="813"/>
      <c r="D152" s="813"/>
      <c r="E152" s="813"/>
      <c r="F152" s="813"/>
      <c r="G152" s="813"/>
      <c r="H152" s="813"/>
      <c r="I152" s="813"/>
      <c r="J152" s="813"/>
      <c r="K152" s="544"/>
      <c r="L152" s="557" t="s">
        <v>241</v>
      </c>
      <c r="M152" s="557"/>
      <c r="N152" s="557"/>
      <c r="O152" s="557"/>
      <c r="P152" s="557" t="s">
        <v>242</v>
      </c>
      <c r="Q152" s="557"/>
      <c r="R152" s="557"/>
      <c r="S152" s="546" t="s">
        <v>27</v>
      </c>
    </row>
    <row r="153" spans="1:20" ht="17.399999999999999">
      <c r="A153" s="596"/>
      <c r="B153" s="550" t="s">
        <v>289</v>
      </c>
      <c r="C153" s="550" t="s">
        <v>357</v>
      </c>
      <c r="D153" s="550" t="s">
        <v>358</v>
      </c>
      <c r="E153" s="550" t="s">
        <v>359</v>
      </c>
      <c r="F153" s="550" t="s">
        <v>360</v>
      </c>
      <c r="G153" s="550" t="s">
        <v>370</v>
      </c>
      <c r="H153" s="550" t="s">
        <v>356</v>
      </c>
      <c r="I153" s="550" t="s">
        <v>361</v>
      </c>
      <c r="J153" s="550" t="s">
        <v>406</v>
      </c>
      <c r="K153" s="550" t="s">
        <v>363</v>
      </c>
      <c r="L153" s="550" t="s">
        <v>36</v>
      </c>
      <c r="M153" s="550" t="s">
        <v>86</v>
      </c>
      <c r="N153" s="550" t="s">
        <v>99</v>
      </c>
      <c r="O153" s="550" t="s">
        <v>346</v>
      </c>
      <c r="P153" s="550" t="s">
        <v>90</v>
      </c>
      <c r="Q153" s="550" t="s">
        <v>103</v>
      </c>
      <c r="R153" s="550" t="s">
        <v>343</v>
      </c>
      <c r="S153" s="597"/>
    </row>
    <row r="154" spans="1:20" ht="17.399999999999999">
      <c r="A154" s="598"/>
      <c r="B154" s="598"/>
      <c r="C154" s="598"/>
      <c r="D154" s="598"/>
      <c r="E154" s="598"/>
      <c r="F154" s="598"/>
      <c r="G154" s="598"/>
      <c r="H154" s="598"/>
      <c r="I154" s="598"/>
      <c r="J154" s="598"/>
      <c r="K154" s="598"/>
      <c r="L154" s="598"/>
      <c r="M154" s="598"/>
      <c r="N154" s="598"/>
      <c r="O154" s="598"/>
      <c r="P154" s="598"/>
      <c r="Q154" s="598"/>
      <c r="R154" s="598"/>
      <c r="S154" s="598"/>
    </row>
    <row r="155" spans="1:20" ht="17.399999999999999">
      <c r="A155" s="599" t="s">
        <v>391</v>
      </c>
      <c r="B155" s="600">
        <f t="shared" ref="B155:J155" si="39">ROUND(B140/(SUM($B$140:$J$140))*($S$155),0)</f>
        <v>103</v>
      </c>
      <c r="C155" s="600">
        <f t="shared" si="39"/>
        <v>75</v>
      </c>
      <c r="D155" s="600">
        <f t="shared" si="39"/>
        <v>91</v>
      </c>
      <c r="E155" s="600">
        <f t="shared" si="39"/>
        <v>87</v>
      </c>
      <c r="F155" s="600">
        <f t="shared" si="39"/>
        <v>101</v>
      </c>
      <c r="G155" s="600">
        <f t="shared" si="39"/>
        <v>90</v>
      </c>
      <c r="H155" s="600">
        <f t="shared" si="39"/>
        <v>100</v>
      </c>
      <c r="I155" s="600">
        <f t="shared" si="39"/>
        <v>78</v>
      </c>
      <c r="J155" s="600">
        <f t="shared" si="39"/>
        <v>100</v>
      </c>
      <c r="K155" s="600"/>
      <c r="L155" s="600"/>
      <c r="M155" s="600"/>
      <c r="N155" s="600"/>
      <c r="O155" s="600"/>
      <c r="P155" s="600"/>
      <c r="Q155" s="600"/>
      <c r="R155" s="600"/>
      <c r="S155" s="600">
        <f t="shared" ref="S155:S168" si="40">E87</f>
        <v>825</v>
      </c>
    </row>
    <row r="156" spans="1:20" ht="17.399999999999999">
      <c r="A156" s="599">
        <v>1</v>
      </c>
      <c r="B156" s="600">
        <f t="shared" ref="B156:I160" si="41">ROUND((B125/$S125)*($S156),0)</f>
        <v>109</v>
      </c>
      <c r="C156" s="600">
        <f t="shared" si="41"/>
        <v>80</v>
      </c>
      <c r="D156" s="600">
        <f t="shared" si="41"/>
        <v>96</v>
      </c>
      <c r="E156" s="600">
        <f t="shared" si="41"/>
        <v>93</v>
      </c>
      <c r="F156" s="600">
        <f t="shared" si="41"/>
        <v>108</v>
      </c>
      <c r="G156" s="600">
        <f t="shared" si="41"/>
        <v>97</v>
      </c>
      <c r="H156" s="600">
        <f t="shared" si="41"/>
        <v>106</v>
      </c>
      <c r="I156" s="600">
        <f t="shared" si="41"/>
        <v>79</v>
      </c>
      <c r="J156" s="600">
        <f>S156-(SUM(B156:I156))</f>
        <v>104</v>
      </c>
      <c r="K156" s="600"/>
      <c r="L156" s="600"/>
      <c r="M156" s="600"/>
      <c r="N156" s="600"/>
      <c r="O156" s="600"/>
      <c r="P156" s="600"/>
      <c r="Q156" s="600"/>
      <c r="R156" s="600"/>
      <c r="S156" s="600">
        <f t="shared" si="40"/>
        <v>872</v>
      </c>
    </row>
    <row r="157" spans="1:20" ht="17.399999999999999">
      <c r="A157" s="599">
        <v>2</v>
      </c>
      <c r="B157" s="600">
        <f t="shared" si="41"/>
        <v>89</v>
      </c>
      <c r="C157" s="600">
        <f t="shared" si="41"/>
        <v>66</v>
      </c>
      <c r="D157" s="600">
        <f t="shared" si="41"/>
        <v>91</v>
      </c>
      <c r="E157" s="600">
        <f t="shared" si="41"/>
        <v>74</v>
      </c>
      <c r="F157" s="600">
        <f t="shared" si="41"/>
        <v>95</v>
      </c>
      <c r="G157" s="600">
        <f t="shared" si="41"/>
        <v>84</v>
      </c>
      <c r="H157" s="600">
        <f t="shared" si="41"/>
        <v>84</v>
      </c>
      <c r="I157" s="600">
        <f t="shared" si="41"/>
        <v>78</v>
      </c>
      <c r="J157" s="600">
        <f>S157-(SUM(B157:I157))</f>
        <v>111</v>
      </c>
      <c r="K157" s="600"/>
      <c r="L157" s="600"/>
      <c r="M157" s="600"/>
      <c r="N157" s="600"/>
      <c r="O157" s="600"/>
      <c r="P157" s="600"/>
      <c r="Q157" s="600"/>
      <c r="R157" s="600"/>
      <c r="S157" s="600">
        <f t="shared" si="40"/>
        <v>772</v>
      </c>
    </row>
    <row r="158" spans="1:20" ht="17.399999999999999">
      <c r="A158" s="599">
        <v>3</v>
      </c>
      <c r="B158" s="600">
        <f t="shared" si="41"/>
        <v>89</v>
      </c>
      <c r="C158" s="600">
        <f t="shared" si="41"/>
        <v>73</v>
      </c>
      <c r="D158" s="600">
        <f t="shared" si="41"/>
        <v>92</v>
      </c>
      <c r="E158" s="600">
        <f t="shared" si="41"/>
        <v>79</v>
      </c>
      <c r="F158" s="600">
        <f t="shared" si="41"/>
        <v>91</v>
      </c>
      <c r="G158" s="600">
        <f t="shared" si="41"/>
        <v>94</v>
      </c>
      <c r="H158" s="600">
        <f t="shared" si="41"/>
        <v>96</v>
      </c>
      <c r="I158" s="600">
        <f t="shared" si="41"/>
        <v>76</v>
      </c>
      <c r="J158" s="600">
        <f>S158-(SUM(B158:I158))</f>
        <v>89</v>
      </c>
      <c r="K158" s="600"/>
      <c r="L158" s="600"/>
      <c r="M158" s="600"/>
      <c r="N158" s="600"/>
      <c r="O158" s="600"/>
      <c r="P158" s="600"/>
      <c r="Q158" s="600"/>
      <c r="R158" s="600"/>
      <c r="S158" s="600">
        <f t="shared" si="40"/>
        <v>779</v>
      </c>
    </row>
    <row r="159" spans="1:20" ht="17.399999999999999">
      <c r="A159" s="599">
        <v>4</v>
      </c>
      <c r="B159" s="600">
        <f t="shared" si="41"/>
        <v>109</v>
      </c>
      <c r="C159" s="600">
        <f t="shared" si="41"/>
        <v>76</v>
      </c>
      <c r="D159" s="600">
        <f t="shared" si="41"/>
        <v>101</v>
      </c>
      <c r="E159" s="600">
        <f t="shared" si="41"/>
        <v>99</v>
      </c>
      <c r="F159" s="600">
        <f t="shared" si="41"/>
        <v>109</v>
      </c>
      <c r="G159" s="600">
        <f t="shared" si="41"/>
        <v>85</v>
      </c>
      <c r="H159" s="600">
        <f t="shared" si="41"/>
        <v>103</v>
      </c>
      <c r="I159" s="600">
        <f t="shared" si="41"/>
        <v>72</v>
      </c>
      <c r="J159" s="600">
        <f>S159-(SUM(B159:I159))</f>
        <v>104</v>
      </c>
      <c r="K159" s="600"/>
      <c r="L159" s="600"/>
      <c r="M159" s="600"/>
      <c r="N159" s="600"/>
      <c r="O159" s="600"/>
      <c r="P159" s="600"/>
      <c r="Q159" s="600"/>
      <c r="R159" s="600"/>
      <c r="S159" s="600">
        <f t="shared" si="40"/>
        <v>858</v>
      </c>
    </row>
    <row r="160" spans="1:20" ht="17.399999999999999">
      <c r="A160" s="599">
        <v>5</v>
      </c>
      <c r="B160" s="600">
        <f t="shared" si="41"/>
        <v>104</v>
      </c>
      <c r="C160" s="600">
        <f t="shared" si="41"/>
        <v>85</v>
      </c>
      <c r="D160" s="600">
        <f t="shared" si="41"/>
        <v>100</v>
      </c>
      <c r="E160" s="600">
        <f t="shared" si="41"/>
        <v>89</v>
      </c>
      <c r="F160" s="600">
        <f t="shared" si="41"/>
        <v>114</v>
      </c>
      <c r="G160" s="600">
        <f t="shared" si="41"/>
        <v>107</v>
      </c>
      <c r="H160" s="600">
        <f t="shared" si="41"/>
        <v>126</v>
      </c>
      <c r="I160" s="600">
        <f t="shared" si="41"/>
        <v>81</v>
      </c>
      <c r="J160" s="600">
        <f>S160-(SUM(B160:I160))</f>
        <v>115</v>
      </c>
      <c r="K160" s="600"/>
      <c r="L160" s="600"/>
      <c r="M160" s="600"/>
      <c r="N160" s="600"/>
      <c r="O160" s="600"/>
      <c r="P160" s="600"/>
      <c r="Q160" s="600"/>
      <c r="R160" s="600"/>
      <c r="S160" s="600">
        <f t="shared" si="40"/>
        <v>921</v>
      </c>
    </row>
    <row r="161" spans="1:20" ht="17.399999999999999">
      <c r="A161" s="599">
        <v>6</v>
      </c>
      <c r="B161" s="598"/>
      <c r="C161" s="600"/>
      <c r="D161" s="600"/>
      <c r="E161" s="600"/>
      <c r="F161" s="600"/>
      <c r="G161" s="600"/>
      <c r="H161" s="600"/>
      <c r="I161" s="600"/>
      <c r="J161" s="600"/>
      <c r="K161" s="610">
        <f>ROUND((ENRHIST!F1013)/($S130)*($S161),0)</f>
        <v>202</v>
      </c>
      <c r="L161" s="610">
        <f>ROUND((ENRHIST!G1013)/($S130)*($S161),0)</f>
        <v>252</v>
      </c>
      <c r="M161" s="610">
        <f>ROUND((ENRHIST!H1013)/($S130)*($S161),0)</f>
        <v>245</v>
      </c>
      <c r="N161" s="610">
        <f>ROUND((ENRHIST!I1013)/($S130)*($S161),0)</f>
        <v>229</v>
      </c>
      <c r="O161" s="600"/>
      <c r="P161" s="600"/>
      <c r="Q161" s="600"/>
      <c r="R161" s="684">
        <f>S161-SUM(K161:Q161)</f>
        <v>5</v>
      </c>
      <c r="S161" s="600">
        <f t="shared" si="40"/>
        <v>933</v>
      </c>
    </row>
    <row r="162" spans="1:20" ht="17.399999999999999">
      <c r="A162" s="599">
        <v>7</v>
      </c>
      <c r="B162" s="598"/>
      <c r="C162" s="600"/>
      <c r="D162" s="600"/>
      <c r="E162" s="600"/>
      <c r="F162" s="600"/>
      <c r="G162" s="600"/>
      <c r="H162" s="600"/>
      <c r="I162" s="600"/>
      <c r="J162" s="600"/>
      <c r="K162" s="610">
        <f>ROUND((K131/$S131)*($S162),0)</f>
        <v>213</v>
      </c>
      <c r="L162" s="610">
        <f t="shared" ref="L162:N162" si="42">ROUND((L131/$S131)*($S162),0)</f>
        <v>264</v>
      </c>
      <c r="M162" s="610">
        <f t="shared" si="42"/>
        <v>260</v>
      </c>
      <c r="N162" s="610">
        <f t="shared" si="42"/>
        <v>242</v>
      </c>
      <c r="O162" s="600"/>
      <c r="P162" s="600"/>
      <c r="Q162" s="600"/>
      <c r="R162" s="684">
        <f>S162-SUM(K162:Q162)</f>
        <v>2</v>
      </c>
      <c r="S162" s="600">
        <f t="shared" si="40"/>
        <v>981</v>
      </c>
    </row>
    <row r="163" spans="1:20" ht="17.399999999999999">
      <c r="A163" s="599">
        <v>8</v>
      </c>
      <c r="B163" s="598"/>
      <c r="C163" s="600"/>
      <c r="D163" s="600"/>
      <c r="E163" s="600"/>
      <c r="F163" s="600"/>
      <c r="G163" s="600"/>
      <c r="H163" s="600"/>
      <c r="I163" s="600"/>
      <c r="J163" s="600"/>
      <c r="K163" s="610">
        <f>ROUND((K132/$S132)*($S163),0)</f>
        <v>181</v>
      </c>
      <c r="L163" s="610">
        <f t="shared" ref="L163:N163" si="43">ROUND((L132/$S132)*($S163),0)</f>
        <v>253</v>
      </c>
      <c r="M163" s="610">
        <f t="shared" si="43"/>
        <v>238</v>
      </c>
      <c r="N163" s="610">
        <f t="shared" si="43"/>
        <v>305</v>
      </c>
      <c r="O163" s="600"/>
      <c r="P163" s="600"/>
      <c r="Q163" s="600"/>
      <c r="R163" s="684">
        <f>S163-SUM(K163:Q163)</f>
        <v>1</v>
      </c>
      <c r="S163" s="600">
        <f t="shared" si="40"/>
        <v>978</v>
      </c>
    </row>
    <row r="164" spans="1:20" ht="17.399999999999999">
      <c r="A164" s="599">
        <v>9</v>
      </c>
      <c r="B164" s="598"/>
      <c r="C164" s="600"/>
      <c r="D164" s="600"/>
      <c r="E164" s="600"/>
      <c r="F164" s="600"/>
      <c r="G164" s="600"/>
      <c r="H164" s="600"/>
      <c r="I164" s="600"/>
      <c r="J164" s="600"/>
      <c r="K164" s="600"/>
      <c r="L164" s="600"/>
      <c r="M164" s="600"/>
      <c r="N164" s="600"/>
      <c r="O164" s="610">
        <f>ROUND((ENRHIST!F1176/$S133)*$S164,0)</f>
        <v>273</v>
      </c>
      <c r="P164" s="610">
        <f>ROUND((ENRHIST!G1176/$S133)*$S164,0)</f>
        <v>418</v>
      </c>
      <c r="Q164" s="610">
        <f>ROUND((ENRHIST!H1176/$S133)*$S164,0)</f>
        <v>303</v>
      </c>
      <c r="R164" s="610">
        <f>S164-SUM(O164:Q164)</f>
        <v>40</v>
      </c>
      <c r="S164" s="600">
        <f t="shared" si="40"/>
        <v>1034</v>
      </c>
    </row>
    <row r="165" spans="1:20" ht="17.399999999999999">
      <c r="A165" s="599">
        <v>10</v>
      </c>
      <c r="B165" s="598"/>
      <c r="C165" s="600"/>
      <c r="D165" s="600"/>
      <c r="E165" s="600"/>
      <c r="F165" s="600"/>
      <c r="G165" s="600"/>
      <c r="H165" s="600"/>
      <c r="I165" s="600"/>
      <c r="J165" s="600"/>
      <c r="K165" s="600"/>
      <c r="L165" s="600"/>
      <c r="M165" s="600"/>
      <c r="N165" s="600"/>
      <c r="O165" s="610">
        <f t="shared" ref="O165:Q167" si="44">ROUND((O134/$S134)*$S165,0)</f>
        <v>248</v>
      </c>
      <c r="P165" s="610">
        <f t="shared" si="44"/>
        <v>392</v>
      </c>
      <c r="Q165" s="610">
        <f t="shared" si="44"/>
        <v>297</v>
      </c>
      <c r="R165" s="610">
        <f>S165-SUM(O165:Q165)</f>
        <v>14</v>
      </c>
      <c r="S165" s="600">
        <f t="shared" si="40"/>
        <v>951</v>
      </c>
    </row>
    <row r="166" spans="1:20" ht="17.399999999999999">
      <c r="A166" s="599">
        <v>11</v>
      </c>
      <c r="B166" s="598"/>
      <c r="C166" s="600"/>
      <c r="D166" s="600"/>
      <c r="E166" s="600"/>
      <c r="F166" s="600"/>
      <c r="G166" s="600"/>
      <c r="H166" s="600"/>
      <c r="I166" s="600"/>
      <c r="J166" s="600"/>
      <c r="K166" s="600"/>
      <c r="L166" s="600"/>
      <c r="M166" s="600"/>
      <c r="N166" s="600"/>
      <c r="O166" s="610">
        <f t="shared" si="44"/>
        <v>228</v>
      </c>
      <c r="P166" s="610">
        <f t="shared" si="44"/>
        <v>393</v>
      </c>
      <c r="Q166" s="610">
        <f t="shared" si="44"/>
        <v>353</v>
      </c>
      <c r="R166" s="610">
        <f>S166-SUM(O166:Q166)</f>
        <v>15</v>
      </c>
      <c r="S166" s="600">
        <f t="shared" si="40"/>
        <v>989</v>
      </c>
    </row>
    <row r="167" spans="1:20" ht="17.399999999999999">
      <c r="A167" s="599">
        <v>12</v>
      </c>
      <c r="B167" s="598"/>
      <c r="C167" s="600"/>
      <c r="D167" s="600"/>
      <c r="E167" s="600"/>
      <c r="F167" s="600"/>
      <c r="G167" s="600"/>
      <c r="H167" s="600"/>
      <c r="I167" s="600"/>
      <c r="J167" s="600"/>
      <c r="K167" s="600"/>
      <c r="L167" s="600"/>
      <c r="M167" s="600"/>
      <c r="N167" s="600"/>
      <c r="O167" s="610">
        <f t="shared" si="44"/>
        <v>220</v>
      </c>
      <c r="P167" s="610">
        <f t="shared" si="44"/>
        <v>330</v>
      </c>
      <c r="Q167" s="610">
        <f t="shared" si="44"/>
        <v>334</v>
      </c>
      <c r="R167" s="610">
        <f>S167-SUM(O167:Q167)</f>
        <v>12</v>
      </c>
      <c r="S167" s="600">
        <f t="shared" si="40"/>
        <v>896</v>
      </c>
    </row>
    <row r="168" spans="1:20" ht="17.399999999999999">
      <c r="A168" s="601" t="s">
        <v>50</v>
      </c>
      <c r="B168" s="600">
        <f t="shared" ref="B168:Q168" si="45">ROUND((B23/$S$23)*$S$168,0)</f>
        <v>0</v>
      </c>
      <c r="C168" s="600">
        <f t="shared" si="45"/>
        <v>0</v>
      </c>
      <c r="D168" s="600">
        <f t="shared" si="45"/>
        <v>0</v>
      </c>
      <c r="E168" s="600">
        <f t="shared" si="45"/>
        <v>0</v>
      </c>
      <c r="F168" s="600">
        <f t="shared" si="45"/>
        <v>0</v>
      </c>
      <c r="G168" s="600">
        <f t="shared" si="45"/>
        <v>0</v>
      </c>
      <c r="H168" s="600">
        <f t="shared" si="45"/>
        <v>0</v>
      </c>
      <c r="I168" s="600">
        <f t="shared" si="45"/>
        <v>0</v>
      </c>
      <c r="J168" s="600">
        <f t="shared" si="45"/>
        <v>0</v>
      </c>
      <c r="K168" s="600">
        <f t="shared" si="45"/>
        <v>0</v>
      </c>
      <c r="L168" s="600">
        <f t="shared" si="45"/>
        <v>0</v>
      </c>
      <c r="M168" s="600">
        <f t="shared" si="45"/>
        <v>0</v>
      </c>
      <c r="N168" s="600">
        <f t="shared" si="45"/>
        <v>0</v>
      </c>
      <c r="O168" s="600">
        <f t="shared" si="45"/>
        <v>6</v>
      </c>
      <c r="P168" s="600">
        <f t="shared" si="45"/>
        <v>9</v>
      </c>
      <c r="Q168" s="600">
        <f t="shared" si="45"/>
        <v>7</v>
      </c>
      <c r="R168" s="600"/>
      <c r="S168" s="600">
        <f t="shared" si="40"/>
        <v>22</v>
      </c>
    </row>
    <row r="169" spans="1:20" ht="17.399999999999999">
      <c r="A169" s="602"/>
      <c r="B169" s="603"/>
      <c r="C169" s="604"/>
      <c r="D169" s="604"/>
      <c r="E169" s="604"/>
      <c r="F169" s="604"/>
      <c r="G169" s="604"/>
      <c r="H169" s="604"/>
      <c r="I169" s="604"/>
      <c r="J169" s="604"/>
      <c r="K169" s="604"/>
      <c r="L169" s="604"/>
      <c r="M169" s="604"/>
      <c r="N169" s="604"/>
      <c r="O169" s="604"/>
      <c r="P169" s="604"/>
      <c r="Q169" s="604"/>
      <c r="R169" s="604"/>
      <c r="S169" s="605"/>
    </row>
    <row r="170" spans="1:20" ht="17.399999999999999">
      <c r="A170" s="606" t="s">
        <v>51</v>
      </c>
      <c r="B170" s="607">
        <f t="shared" ref="B170:Q170" si="46">SUM(B155:B168)</f>
        <v>603</v>
      </c>
      <c r="C170" s="607">
        <f t="shared" si="46"/>
        <v>455</v>
      </c>
      <c r="D170" s="607">
        <f t="shared" si="46"/>
        <v>571</v>
      </c>
      <c r="E170" s="607">
        <f t="shared" si="46"/>
        <v>521</v>
      </c>
      <c r="F170" s="607">
        <f t="shared" si="46"/>
        <v>618</v>
      </c>
      <c r="G170" s="607">
        <f t="shared" si="46"/>
        <v>557</v>
      </c>
      <c r="H170" s="607">
        <f t="shared" si="46"/>
        <v>615</v>
      </c>
      <c r="I170" s="607">
        <f t="shared" si="46"/>
        <v>464</v>
      </c>
      <c r="J170" s="607">
        <f t="shared" si="46"/>
        <v>623</v>
      </c>
      <c r="K170" s="607">
        <f t="shared" si="46"/>
        <v>596</v>
      </c>
      <c r="L170" s="607">
        <f t="shared" si="46"/>
        <v>769</v>
      </c>
      <c r="M170" s="607">
        <f t="shared" si="46"/>
        <v>743</v>
      </c>
      <c r="N170" s="607">
        <f t="shared" si="46"/>
        <v>776</v>
      </c>
      <c r="O170" s="607">
        <f t="shared" si="46"/>
        <v>975</v>
      </c>
      <c r="P170" s="607">
        <f t="shared" si="46"/>
        <v>1542</v>
      </c>
      <c r="Q170" s="607">
        <f t="shared" si="46"/>
        <v>1294</v>
      </c>
      <c r="R170" s="607">
        <f>SUM(R155:R168)</f>
        <v>89</v>
      </c>
      <c r="S170" s="755">
        <f>E103</f>
        <v>11811</v>
      </c>
      <c r="T170" s="609"/>
    </row>
    <row r="171" spans="1:20" ht="17.399999999999999">
      <c r="A171" s="598"/>
      <c r="B171" s="598"/>
      <c r="C171" s="600"/>
      <c r="D171" s="600"/>
      <c r="E171" s="600"/>
      <c r="F171" s="600"/>
      <c r="G171" s="600"/>
      <c r="H171" s="600"/>
      <c r="I171" s="600"/>
      <c r="J171" s="600"/>
      <c r="K171" s="600"/>
      <c r="L171" s="600"/>
      <c r="M171" s="600"/>
      <c r="N171" s="600"/>
      <c r="O171" s="600"/>
      <c r="P171" s="600"/>
      <c r="Q171" s="600"/>
      <c r="R171" s="600"/>
      <c r="S171" s="600"/>
    </row>
    <row r="172" spans="1:20" ht="17.399999999999999">
      <c r="A172" s="601" t="s">
        <v>115</v>
      </c>
      <c r="B172" s="610">
        <f t="shared" ref="B172:R172" si="47">B142</f>
        <v>625</v>
      </c>
      <c r="C172" s="610">
        <f t="shared" si="47"/>
        <v>575</v>
      </c>
      <c r="D172" s="610">
        <f t="shared" si="47"/>
        <v>600</v>
      </c>
      <c r="E172" s="610">
        <f t="shared" si="47"/>
        <v>725</v>
      </c>
      <c r="F172" s="610">
        <f t="shared" si="47"/>
        <v>725</v>
      </c>
      <c r="G172" s="610">
        <f t="shared" si="47"/>
        <v>625</v>
      </c>
      <c r="H172" s="610">
        <f t="shared" si="47"/>
        <v>700</v>
      </c>
      <c r="I172" s="610">
        <f t="shared" si="47"/>
        <v>593</v>
      </c>
      <c r="J172" s="610">
        <f t="shared" si="47"/>
        <v>750</v>
      </c>
      <c r="K172" s="610">
        <f t="shared" si="47"/>
        <v>667</v>
      </c>
      <c r="L172" s="610">
        <f t="shared" si="47"/>
        <v>864</v>
      </c>
      <c r="M172" s="610">
        <f t="shared" si="47"/>
        <v>779</v>
      </c>
      <c r="N172" s="610">
        <f t="shared" si="47"/>
        <v>756</v>
      </c>
      <c r="O172" s="610">
        <f t="shared" si="47"/>
        <v>1267</v>
      </c>
      <c r="P172" s="610">
        <f t="shared" si="47"/>
        <v>1495</v>
      </c>
      <c r="Q172" s="610">
        <f t="shared" si="47"/>
        <v>1019</v>
      </c>
      <c r="R172" s="610">
        <f t="shared" si="47"/>
        <v>100</v>
      </c>
      <c r="S172" s="610">
        <f>SUM(B172:R172)</f>
        <v>12865</v>
      </c>
    </row>
    <row r="173" spans="1:20" ht="17.399999999999999">
      <c r="A173" s="598"/>
      <c r="B173" s="598"/>
      <c r="C173" s="600"/>
      <c r="D173" s="600"/>
      <c r="E173" s="600"/>
      <c r="F173" s="600"/>
      <c r="G173" s="600"/>
      <c r="H173" s="600"/>
      <c r="I173" s="600"/>
      <c r="J173" s="666"/>
      <c r="K173" s="600"/>
      <c r="L173" s="600"/>
      <c r="M173" s="600"/>
      <c r="N173" s="600"/>
      <c r="O173" s="600"/>
      <c r="P173" s="600"/>
      <c r="Q173" s="600"/>
      <c r="R173" s="600"/>
      <c r="S173" s="600"/>
    </row>
    <row r="174" spans="1:20" ht="17.399999999999999">
      <c r="A174" s="601" t="s">
        <v>116</v>
      </c>
      <c r="B174" s="611">
        <f t="shared" ref="B174:N174" si="48">B170/B172</f>
        <v>0.96479999999999999</v>
      </c>
      <c r="C174" s="611">
        <f t="shared" si="48"/>
        <v>0.79130434782608694</v>
      </c>
      <c r="D174" s="611">
        <f t="shared" si="48"/>
        <v>0.95166666666666666</v>
      </c>
      <c r="E174" s="611">
        <f t="shared" si="48"/>
        <v>0.71862068965517245</v>
      </c>
      <c r="F174" s="611">
        <f t="shared" si="48"/>
        <v>0.85241379310344823</v>
      </c>
      <c r="G174" s="611">
        <f t="shared" si="48"/>
        <v>0.89119999999999999</v>
      </c>
      <c r="H174" s="611">
        <f t="shared" si="48"/>
        <v>0.87857142857142856</v>
      </c>
      <c r="I174" s="611">
        <f t="shared" si="48"/>
        <v>0.78246205733558183</v>
      </c>
      <c r="J174" s="611">
        <f t="shared" si="48"/>
        <v>0.83066666666666666</v>
      </c>
      <c r="K174" s="611">
        <f t="shared" si="48"/>
        <v>0.8935532233883059</v>
      </c>
      <c r="L174" s="611">
        <f t="shared" si="48"/>
        <v>0.89004629629629628</v>
      </c>
      <c r="M174" s="611">
        <f t="shared" si="48"/>
        <v>0.95378690629011553</v>
      </c>
      <c r="N174" s="611">
        <f t="shared" si="48"/>
        <v>1.0264550264550265</v>
      </c>
      <c r="O174" s="611">
        <f>O170/O172</f>
        <v>0.76953433307024466</v>
      </c>
      <c r="P174" s="611">
        <f>P170/P172</f>
        <v>1.031438127090301</v>
      </c>
      <c r="Q174" s="611">
        <f>Q170/Q172</f>
        <v>1.2698724239450441</v>
      </c>
      <c r="R174" s="611">
        <f>R170/R172</f>
        <v>0.89</v>
      </c>
      <c r="S174" s="611">
        <f>S170/S172</f>
        <v>0.91807228915662653</v>
      </c>
    </row>
    <row r="175" spans="1:20" ht="17.399999999999999">
      <c r="A175" s="598"/>
      <c r="B175" s="598"/>
      <c r="C175" s="600"/>
      <c r="D175" s="600"/>
      <c r="E175" s="600"/>
      <c r="F175" s="600"/>
      <c r="G175" s="600"/>
      <c r="H175" s="600"/>
      <c r="I175" s="600"/>
      <c r="J175" s="600"/>
      <c r="K175" s="600"/>
      <c r="L175" s="600"/>
      <c r="M175" s="600"/>
      <c r="N175" s="600"/>
      <c r="O175" s="600"/>
      <c r="P175" s="600"/>
      <c r="Q175" s="600"/>
      <c r="R175" s="600"/>
      <c r="S175" s="600"/>
      <c r="T175" s="600"/>
    </row>
    <row r="176" spans="1:20" ht="17.399999999999999">
      <c r="A176" s="612"/>
      <c r="B176" s="611"/>
      <c r="C176" s="611"/>
      <c r="D176" s="611"/>
      <c r="E176" s="611"/>
      <c r="F176" s="611"/>
      <c r="G176" s="611"/>
      <c r="H176" s="611"/>
      <c r="I176" s="611"/>
      <c r="J176" s="611"/>
      <c r="K176" s="611"/>
      <c r="L176" s="611"/>
      <c r="M176" s="613"/>
      <c r="N176" s="613"/>
      <c r="O176" s="613"/>
      <c r="P176" s="613"/>
      <c r="Q176" s="613"/>
      <c r="R176" s="613"/>
      <c r="S176" s="613"/>
      <c r="T176" s="611"/>
    </row>
    <row r="177" spans="1:19">
      <c r="C177" s="614"/>
      <c r="D177" s="614"/>
      <c r="E177" s="614"/>
      <c r="F177" s="614"/>
      <c r="G177" s="614"/>
      <c r="H177" s="614"/>
      <c r="I177" s="614"/>
      <c r="J177" s="614"/>
      <c r="K177" s="614"/>
      <c r="L177" s="614"/>
      <c r="M177" s="614"/>
      <c r="N177" s="614"/>
      <c r="O177" s="614"/>
      <c r="P177" s="614"/>
      <c r="Q177" s="614"/>
      <c r="R177" s="614"/>
      <c r="S177" s="614"/>
    </row>
    <row r="178" spans="1:19" ht="17.399999999999999">
      <c r="C178" s="590" t="s">
        <v>227</v>
      </c>
      <c r="D178" s="591"/>
      <c r="E178" s="591"/>
      <c r="F178" s="591"/>
      <c r="G178" s="591"/>
      <c r="H178" s="591"/>
      <c r="I178" s="592"/>
      <c r="J178" s="592"/>
      <c r="K178" s="592"/>
      <c r="L178" s="592"/>
      <c r="M178" s="591"/>
      <c r="N178" s="594" t="str">
        <f>F83</f>
        <v>2028-29</v>
      </c>
      <c r="O178" s="592"/>
    </row>
    <row r="179" spans="1:19" ht="17.399999999999999">
      <c r="C179" s="590" t="s">
        <v>240</v>
      </c>
      <c r="D179" s="591"/>
      <c r="E179" s="591"/>
      <c r="F179" s="591"/>
      <c r="G179" s="591"/>
      <c r="H179" s="591"/>
      <c r="I179" s="591"/>
      <c r="J179" s="591"/>
      <c r="K179" s="591"/>
      <c r="L179" s="591"/>
      <c r="M179" s="592"/>
      <c r="N179" s="592"/>
      <c r="O179" s="592"/>
    </row>
    <row r="180" spans="1:19" ht="17.399999999999999">
      <c r="C180" s="591"/>
      <c r="D180" s="594" t="str">
        <f>A41</f>
        <v xml:space="preserve">    TEN YEAR AVERAGE PERCENTAGE OF SURVIVAL</v>
      </c>
      <c r="E180" s="591"/>
      <c r="F180" s="591"/>
      <c r="G180" s="591"/>
      <c r="H180" s="591"/>
      <c r="I180" s="591"/>
      <c r="J180" s="591"/>
      <c r="K180" s="591"/>
      <c r="L180" s="591"/>
      <c r="M180" s="592"/>
      <c r="N180" s="592"/>
      <c r="O180" s="592"/>
    </row>
    <row r="182" spans="1:19" ht="17.399999999999999">
      <c r="A182" s="543" t="s">
        <v>24</v>
      </c>
      <c r="B182" s="813" t="s">
        <v>25</v>
      </c>
      <c r="C182" s="813"/>
      <c r="D182" s="813"/>
      <c r="E182" s="813"/>
      <c r="F182" s="813"/>
      <c r="G182" s="813"/>
      <c r="H182" s="813"/>
      <c r="I182" s="813"/>
      <c r="J182" s="813"/>
      <c r="K182" s="557" t="s">
        <v>241</v>
      </c>
      <c r="L182" s="557"/>
      <c r="M182" s="557"/>
      <c r="N182" s="557"/>
      <c r="O182" s="813" t="s">
        <v>242</v>
      </c>
      <c r="P182" s="813"/>
      <c r="Q182" s="813"/>
      <c r="R182" s="595"/>
      <c r="S182" s="546" t="s">
        <v>27</v>
      </c>
    </row>
    <row r="183" spans="1:19" ht="17.399999999999999">
      <c r="A183" s="596"/>
      <c r="B183" s="550" t="s">
        <v>289</v>
      </c>
      <c r="C183" s="550" t="s">
        <v>357</v>
      </c>
      <c r="D183" s="550" t="s">
        <v>358</v>
      </c>
      <c r="E183" s="550" t="s">
        <v>359</v>
      </c>
      <c r="F183" s="550" t="s">
        <v>360</v>
      </c>
      <c r="G183" s="550" t="s">
        <v>370</v>
      </c>
      <c r="H183" s="550" t="s">
        <v>356</v>
      </c>
      <c r="I183" s="550" t="s">
        <v>361</v>
      </c>
      <c r="J183" s="550" t="s">
        <v>362</v>
      </c>
      <c r="K183" s="550" t="s">
        <v>363</v>
      </c>
      <c r="L183" s="550" t="s">
        <v>36</v>
      </c>
      <c r="M183" s="550" t="s">
        <v>86</v>
      </c>
      <c r="N183" s="550" t="s">
        <v>99</v>
      </c>
      <c r="O183" s="550" t="s">
        <v>346</v>
      </c>
      <c r="P183" s="550" t="s">
        <v>90</v>
      </c>
      <c r="Q183" s="550" t="s">
        <v>103</v>
      </c>
      <c r="R183" s="550" t="s">
        <v>343</v>
      </c>
      <c r="S183" s="597"/>
    </row>
    <row r="184" spans="1:19" ht="17.399999999999999">
      <c r="A184" s="598"/>
      <c r="B184" s="598"/>
      <c r="C184" s="598"/>
      <c r="D184" s="598"/>
      <c r="E184" s="598"/>
      <c r="F184" s="598"/>
      <c r="G184" s="598"/>
      <c r="H184" s="598"/>
      <c r="I184" s="598"/>
      <c r="J184" s="598"/>
      <c r="K184" s="598"/>
      <c r="L184" s="598"/>
      <c r="M184" s="598"/>
      <c r="N184" s="598"/>
      <c r="O184" s="598"/>
      <c r="P184" s="598"/>
      <c r="Q184" s="598"/>
      <c r="R184" s="598"/>
      <c r="S184" s="598"/>
    </row>
    <row r="185" spans="1:19" ht="17.399999999999999">
      <c r="A185" s="599" t="s">
        <v>391</v>
      </c>
      <c r="B185" s="600">
        <f t="shared" ref="B185:I185" si="49">ROUND(B170/(SUM($B$170:$J$170))*($S$185),0)</f>
        <v>103</v>
      </c>
      <c r="C185" s="600">
        <f t="shared" si="49"/>
        <v>77</v>
      </c>
      <c r="D185" s="600">
        <f t="shared" si="49"/>
        <v>97</v>
      </c>
      <c r="E185" s="600">
        <f t="shared" si="49"/>
        <v>89</v>
      </c>
      <c r="F185" s="600">
        <f t="shared" si="49"/>
        <v>105</v>
      </c>
      <c r="G185" s="600">
        <f t="shared" si="49"/>
        <v>95</v>
      </c>
      <c r="H185" s="600">
        <f t="shared" si="49"/>
        <v>105</v>
      </c>
      <c r="I185" s="600">
        <f t="shared" si="49"/>
        <v>79</v>
      </c>
      <c r="J185" s="600">
        <f>ROUND(J170/(SUM($B$170:$J$170))*($S$185),0)-1</f>
        <v>105</v>
      </c>
      <c r="K185" s="600"/>
      <c r="L185" s="600"/>
      <c r="M185" s="600"/>
      <c r="N185" s="600"/>
      <c r="O185" s="600"/>
      <c r="P185" s="600"/>
      <c r="Q185" s="600"/>
      <c r="R185" s="600"/>
      <c r="S185" s="600">
        <f t="shared" ref="S185:S198" si="50">F87</f>
        <v>856</v>
      </c>
    </row>
    <row r="186" spans="1:19" ht="17.399999999999999">
      <c r="A186" s="599">
        <v>1</v>
      </c>
      <c r="B186" s="600">
        <f t="shared" ref="B186:I190" si="51">ROUND((B155/$S155)*($S186),0)</f>
        <v>107</v>
      </c>
      <c r="C186" s="600">
        <f t="shared" si="51"/>
        <v>78</v>
      </c>
      <c r="D186" s="600">
        <f t="shared" si="51"/>
        <v>95</v>
      </c>
      <c r="E186" s="600">
        <f t="shared" si="51"/>
        <v>90</v>
      </c>
      <c r="F186" s="600">
        <f t="shared" si="51"/>
        <v>105</v>
      </c>
      <c r="G186" s="600">
        <f t="shared" si="51"/>
        <v>93</v>
      </c>
      <c r="H186" s="600">
        <f t="shared" si="51"/>
        <v>104</v>
      </c>
      <c r="I186" s="600">
        <f t="shared" si="51"/>
        <v>81</v>
      </c>
      <c r="J186" s="600">
        <f>S186-(SUM(B186:I186))</f>
        <v>104</v>
      </c>
      <c r="K186" s="600"/>
      <c r="L186" s="600"/>
      <c r="M186" s="600"/>
      <c r="N186" s="600"/>
      <c r="O186" s="600"/>
      <c r="P186" s="600"/>
      <c r="Q186" s="600"/>
      <c r="R186" s="600"/>
      <c r="S186" s="600">
        <f t="shared" si="50"/>
        <v>857</v>
      </c>
    </row>
    <row r="187" spans="1:19" ht="17.399999999999999">
      <c r="A187" s="599">
        <v>2</v>
      </c>
      <c r="B187" s="600">
        <f t="shared" si="51"/>
        <v>112</v>
      </c>
      <c r="C187" s="600">
        <f t="shared" si="51"/>
        <v>82</v>
      </c>
      <c r="D187" s="600">
        <f t="shared" si="51"/>
        <v>99</v>
      </c>
      <c r="E187" s="600">
        <f t="shared" si="51"/>
        <v>96</v>
      </c>
      <c r="F187" s="600">
        <f t="shared" si="51"/>
        <v>111</v>
      </c>
      <c r="G187" s="600">
        <f t="shared" si="51"/>
        <v>100</v>
      </c>
      <c r="H187" s="600">
        <f t="shared" si="51"/>
        <v>109</v>
      </c>
      <c r="I187" s="600">
        <f t="shared" si="51"/>
        <v>81</v>
      </c>
      <c r="J187" s="600">
        <f>S187-(SUM(B187:I187))</f>
        <v>107</v>
      </c>
      <c r="K187" s="600"/>
      <c r="L187" s="600"/>
      <c r="M187" s="600"/>
      <c r="N187" s="600"/>
      <c r="O187" s="600"/>
      <c r="P187" s="600"/>
      <c r="Q187" s="600"/>
      <c r="R187" s="600"/>
      <c r="S187" s="600">
        <f t="shared" si="50"/>
        <v>897</v>
      </c>
    </row>
    <row r="188" spans="1:19" ht="17.399999999999999">
      <c r="A188" s="599">
        <v>3</v>
      </c>
      <c r="B188" s="600">
        <f t="shared" si="51"/>
        <v>92</v>
      </c>
      <c r="C188" s="600">
        <f t="shared" si="51"/>
        <v>68</v>
      </c>
      <c r="D188" s="600">
        <f t="shared" si="51"/>
        <v>94</v>
      </c>
      <c r="E188" s="600">
        <f t="shared" si="51"/>
        <v>76</v>
      </c>
      <c r="F188" s="600">
        <f t="shared" si="51"/>
        <v>98</v>
      </c>
      <c r="G188" s="600">
        <f t="shared" si="51"/>
        <v>87</v>
      </c>
      <c r="H188" s="600">
        <f t="shared" si="51"/>
        <v>87</v>
      </c>
      <c r="I188" s="600">
        <f t="shared" si="51"/>
        <v>80</v>
      </c>
      <c r="J188" s="600">
        <f>S188-(SUM(B188:I188))</f>
        <v>113</v>
      </c>
      <c r="K188" s="600"/>
      <c r="L188" s="600"/>
      <c r="M188" s="600"/>
      <c r="N188" s="600"/>
      <c r="O188" s="600"/>
      <c r="P188" s="600"/>
      <c r="Q188" s="600"/>
      <c r="R188" s="600"/>
      <c r="S188" s="600">
        <f t="shared" si="50"/>
        <v>795</v>
      </c>
    </row>
    <row r="189" spans="1:19" ht="17.399999999999999">
      <c r="A189" s="599">
        <v>4</v>
      </c>
      <c r="B189" s="600">
        <f t="shared" si="51"/>
        <v>92</v>
      </c>
      <c r="C189" s="600">
        <f t="shared" si="51"/>
        <v>75</v>
      </c>
      <c r="D189" s="600">
        <f t="shared" si="51"/>
        <v>95</v>
      </c>
      <c r="E189" s="600">
        <f t="shared" si="51"/>
        <v>81</v>
      </c>
      <c r="F189" s="600">
        <f t="shared" si="51"/>
        <v>94</v>
      </c>
      <c r="G189" s="600">
        <f t="shared" si="51"/>
        <v>97</v>
      </c>
      <c r="H189" s="600">
        <f t="shared" si="51"/>
        <v>99</v>
      </c>
      <c r="I189" s="600">
        <f t="shared" si="51"/>
        <v>78</v>
      </c>
      <c r="J189" s="600">
        <f>S189-(SUM(B189:I189))</f>
        <v>92</v>
      </c>
      <c r="K189" s="600"/>
      <c r="L189" s="600"/>
      <c r="M189" s="600"/>
      <c r="N189" s="600"/>
      <c r="O189" s="600"/>
      <c r="P189" s="600"/>
      <c r="Q189" s="600"/>
      <c r="R189" s="600"/>
      <c r="S189" s="600">
        <f t="shared" si="50"/>
        <v>803</v>
      </c>
    </row>
    <row r="190" spans="1:19" ht="17.399999999999999">
      <c r="A190" s="599">
        <v>5</v>
      </c>
      <c r="B190" s="600">
        <f t="shared" si="51"/>
        <v>111</v>
      </c>
      <c r="C190" s="600">
        <f t="shared" si="51"/>
        <v>78</v>
      </c>
      <c r="D190" s="600">
        <f t="shared" si="51"/>
        <v>103</v>
      </c>
      <c r="E190" s="600">
        <f t="shared" si="51"/>
        <v>101</v>
      </c>
      <c r="F190" s="600">
        <f t="shared" si="51"/>
        <v>111</v>
      </c>
      <c r="G190" s="600">
        <f t="shared" si="51"/>
        <v>87</v>
      </c>
      <c r="H190" s="600">
        <f t="shared" si="51"/>
        <v>105</v>
      </c>
      <c r="I190" s="600">
        <f t="shared" si="51"/>
        <v>73</v>
      </c>
      <c r="J190" s="600">
        <f>S190-(SUM(B190:I190))</f>
        <v>106</v>
      </c>
      <c r="K190" s="600"/>
      <c r="L190" s="600"/>
      <c r="M190" s="600"/>
      <c r="N190" s="600"/>
      <c r="O190" s="600"/>
      <c r="P190" s="600"/>
      <c r="Q190" s="600"/>
      <c r="R190" s="600"/>
      <c r="S190" s="600">
        <f t="shared" si="50"/>
        <v>875</v>
      </c>
    </row>
    <row r="191" spans="1:19" ht="17.399999999999999">
      <c r="A191" s="599">
        <v>6</v>
      </c>
      <c r="B191" s="598"/>
      <c r="C191" s="600"/>
      <c r="D191" s="600"/>
      <c r="E191" s="600"/>
      <c r="F191" s="600"/>
      <c r="G191" s="600"/>
      <c r="H191" s="600"/>
      <c r="I191" s="600"/>
      <c r="J191" s="600"/>
      <c r="K191" s="610">
        <f>ROUND((ENRHIST!J1013)/($S160)*($S191),0)</f>
        <v>208</v>
      </c>
      <c r="L191" s="610">
        <f>ROUND((ENRHIST!K1013)/($S160)*($S191),0)</f>
        <v>261</v>
      </c>
      <c r="M191" s="610">
        <f>ROUND((ENRHIST!L1013)/($S160)*($S191),0)</f>
        <v>250</v>
      </c>
      <c r="N191" s="610">
        <f>ROUND((ENRHIST!M1013)/($S160)*($S191),0)</f>
        <v>236</v>
      </c>
      <c r="O191" s="600"/>
      <c r="P191" s="600"/>
      <c r="Q191" s="600"/>
      <c r="R191" s="684">
        <f>S191-K191-L191-M191-N191</f>
        <v>8</v>
      </c>
      <c r="S191" s="600">
        <f t="shared" si="50"/>
        <v>963</v>
      </c>
    </row>
    <row r="192" spans="1:19" ht="17.399999999999999">
      <c r="A192" s="599">
        <v>7</v>
      </c>
      <c r="B192" s="598"/>
      <c r="C192" s="600"/>
      <c r="D192" s="600"/>
      <c r="E192" s="600"/>
      <c r="F192" s="600"/>
      <c r="G192" s="600"/>
      <c r="H192" s="600"/>
      <c r="I192" s="600"/>
      <c r="J192" s="600"/>
      <c r="K192" s="610">
        <f>ROUND((K161/$S161)*($S192),0)</f>
        <v>205</v>
      </c>
      <c r="L192" s="610">
        <f t="shared" ref="L192:N192" si="52">ROUND((L161/$S161)*($S192),0)</f>
        <v>256</v>
      </c>
      <c r="M192" s="610">
        <f t="shared" si="52"/>
        <v>249</v>
      </c>
      <c r="N192" s="610">
        <f t="shared" si="52"/>
        <v>233</v>
      </c>
      <c r="O192" s="600"/>
      <c r="P192" s="600"/>
      <c r="Q192" s="600"/>
      <c r="R192" s="684">
        <f t="shared" ref="R192:R193" si="53">S192-K192-L192-M192-N192</f>
        <v>6</v>
      </c>
      <c r="S192" s="600">
        <f t="shared" si="50"/>
        <v>949</v>
      </c>
    </row>
    <row r="193" spans="1:20" ht="17.399999999999999">
      <c r="A193" s="599">
        <v>8</v>
      </c>
      <c r="B193" s="598"/>
      <c r="C193" s="600"/>
      <c r="D193" s="600"/>
      <c r="E193" s="600"/>
      <c r="F193" s="600"/>
      <c r="G193" s="600"/>
      <c r="H193" s="600"/>
      <c r="I193" s="600"/>
      <c r="J193" s="600"/>
      <c r="K193" s="610">
        <f>ROUND((K162/$S162)*($S193),0)</f>
        <v>215</v>
      </c>
      <c r="L193" s="610">
        <f t="shared" ref="L193:N193" si="54">ROUND((L162/$S162)*($S193),0)</f>
        <v>267</v>
      </c>
      <c r="M193" s="610">
        <f t="shared" si="54"/>
        <v>263</v>
      </c>
      <c r="N193" s="610">
        <f t="shared" si="54"/>
        <v>244</v>
      </c>
      <c r="O193" s="600"/>
      <c r="P193" s="600"/>
      <c r="Q193" s="600"/>
      <c r="R193" s="684">
        <f t="shared" si="53"/>
        <v>2</v>
      </c>
      <c r="S193" s="600">
        <f t="shared" si="50"/>
        <v>991</v>
      </c>
    </row>
    <row r="194" spans="1:20" ht="17.399999999999999">
      <c r="A194" s="599">
        <v>9</v>
      </c>
      <c r="B194" s="598"/>
      <c r="C194" s="600"/>
      <c r="D194" s="600"/>
      <c r="E194" s="600"/>
      <c r="F194" s="600"/>
      <c r="G194" s="600"/>
      <c r="H194" s="600"/>
      <c r="I194" s="600"/>
      <c r="J194" s="600"/>
      <c r="K194" s="600"/>
      <c r="L194" s="600"/>
      <c r="M194" s="600"/>
      <c r="N194" s="600"/>
      <c r="O194" s="610">
        <f>ROUND((ENRHIST!J1176/$S163)*($S194),0)</f>
        <v>272</v>
      </c>
      <c r="P194" s="610">
        <f>ROUND((ENRHIST!K1176/$S163)*($S194),0)</f>
        <v>403</v>
      </c>
      <c r="Q194" s="610">
        <f>ROUND((ENRHIST!L1176/$S163)*($S194),0)</f>
        <v>285</v>
      </c>
      <c r="R194" s="610">
        <f>S194-Q194-P194-O194</f>
        <v>45</v>
      </c>
      <c r="S194" s="600">
        <f t="shared" si="50"/>
        <v>1005</v>
      </c>
    </row>
    <row r="195" spans="1:20" ht="17.399999999999999">
      <c r="A195" s="599">
        <v>10</v>
      </c>
      <c r="B195" s="598"/>
      <c r="C195" s="600"/>
      <c r="D195" s="600"/>
      <c r="E195" s="600"/>
      <c r="F195" s="600"/>
      <c r="G195" s="600"/>
      <c r="H195" s="600"/>
      <c r="I195" s="600"/>
      <c r="J195" s="600"/>
      <c r="K195" s="600"/>
      <c r="L195" s="600"/>
      <c r="M195" s="600"/>
      <c r="N195" s="600"/>
      <c r="O195" s="610">
        <f>ROUND((O164/$S164)*($S195),0)</f>
        <v>266</v>
      </c>
      <c r="P195" s="610">
        <f t="shared" ref="P195:Q195" si="55">ROUND((P164/$S164)*($S195),0)</f>
        <v>408</v>
      </c>
      <c r="Q195" s="610">
        <f t="shared" si="55"/>
        <v>296</v>
      </c>
      <c r="R195" s="610">
        <f t="shared" ref="R195:R197" si="56">S195-Q195-P195-O195</f>
        <v>39</v>
      </c>
      <c r="S195" s="600">
        <f t="shared" si="50"/>
        <v>1009</v>
      </c>
    </row>
    <row r="196" spans="1:20" ht="17.399999999999999">
      <c r="A196" s="599">
        <v>11</v>
      </c>
      <c r="B196" s="598"/>
      <c r="C196" s="600"/>
      <c r="D196" s="600"/>
      <c r="E196" s="600"/>
      <c r="F196" s="600"/>
      <c r="G196" s="600"/>
      <c r="H196" s="600"/>
      <c r="I196" s="600"/>
      <c r="J196" s="600"/>
      <c r="K196" s="600"/>
      <c r="L196" s="600"/>
      <c r="M196" s="600"/>
      <c r="N196" s="600"/>
      <c r="O196" s="610">
        <f>ROUND((O165/$S165)*($S196),0)</f>
        <v>243</v>
      </c>
      <c r="P196" s="610">
        <f t="shared" ref="P196:Q196" si="57">ROUND((P165/$S165)*($S196),0)</f>
        <v>384</v>
      </c>
      <c r="Q196" s="610">
        <f t="shared" si="57"/>
        <v>291</v>
      </c>
      <c r="R196" s="610">
        <f t="shared" si="56"/>
        <v>13</v>
      </c>
      <c r="S196" s="600">
        <f t="shared" si="50"/>
        <v>931</v>
      </c>
    </row>
    <row r="197" spans="1:20" ht="17.399999999999999">
      <c r="A197" s="599">
        <v>12</v>
      </c>
      <c r="B197" s="598"/>
      <c r="C197" s="600"/>
      <c r="D197" s="600"/>
      <c r="E197" s="600"/>
      <c r="F197" s="600"/>
      <c r="G197" s="600"/>
      <c r="H197" s="600"/>
      <c r="I197" s="600"/>
      <c r="J197" s="600"/>
      <c r="K197" s="600"/>
      <c r="L197" s="600"/>
      <c r="M197" s="600"/>
      <c r="N197" s="600"/>
      <c r="O197" s="610">
        <f>ROUND((O166/$S166)*($S197),0)</f>
        <v>219</v>
      </c>
      <c r="P197" s="610">
        <f t="shared" ref="P197:Q197" si="58">ROUND((P166/$S166)*($S197),0)</f>
        <v>377</v>
      </c>
      <c r="Q197" s="610">
        <f t="shared" si="58"/>
        <v>339</v>
      </c>
      <c r="R197" s="610">
        <f t="shared" si="56"/>
        <v>14</v>
      </c>
      <c r="S197" s="600">
        <f t="shared" si="50"/>
        <v>949</v>
      </c>
    </row>
    <row r="198" spans="1:20" ht="17.399999999999999">
      <c r="A198" s="601" t="s">
        <v>50</v>
      </c>
      <c r="B198" s="600">
        <f t="shared" ref="B198:Q198" si="59">ROUND((B168/$S$168)*$S$198,0)</f>
        <v>0</v>
      </c>
      <c r="C198" s="600">
        <f t="shared" si="59"/>
        <v>0</v>
      </c>
      <c r="D198" s="600">
        <f t="shared" si="59"/>
        <v>0</v>
      </c>
      <c r="E198" s="600">
        <f t="shared" si="59"/>
        <v>0</v>
      </c>
      <c r="F198" s="600">
        <f t="shared" si="59"/>
        <v>0</v>
      </c>
      <c r="G198" s="600">
        <f t="shared" si="59"/>
        <v>0</v>
      </c>
      <c r="H198" s="600">
        <f t="shared" si="59"/>
        <v>0</v>
      </c>
      <c r="I198" s="600">
        <f t="shared" si="59"/>
        <v>0</v>
      </c>
      <c r="J198" s="600">
        <f t="shared" si="59"/>
        <v>0</v>
      </c>
      <c r="K198" s="600">
        <f t="shared" si="59"/>
        <v>0</v>
      </c>
      <c r="L198" s="600">
        <f t="shared" si="59"/>
        <v>0</v>
      </c>
      <c r="M198" s="600">
        <f t="shared" si="59"/>
        <v>0</v>
      </c>
      <c r="N198" s="600">
        <f t="shared" si="59"/>
        <v>0</v>
      </c>
      <c r="O198" s="600">
        <f t="shared" si="59"/>
        <v>6</v>
      </c>
      <c r="P198" s="600">
        <f t="shared" si="59"/>
        <v>9</v>
      </c>
      <c r="Q198" s="600">
        <f t="shared" si="59"/>
        <v>7</v>
      </c>
      <c r="R198" s="600"/>
      <c r="S198" s="600">
        <f t="shared" si="50"/>
        <v>22</v>
      </c>
    </row>
    <row r="199" spans="1:20" ht="17.399999999999999">
      <c r="A199" s="602"/>
      <c r="B199" s="603"/>
      <c r="C199" s="604"/>
      <c r="D199" s="604"/>
      <c r="E199" s="604"/>
      <c r="F199" s="604"/>
      <c r="G199" s="604"/>
      <c r="H199" s="604"/>
      <c r="I199" s="604"/>
      <c r="J199" s="604"/>
      <c r="K199" s="604"/>
      <c r="L199" s="604"/>
      <c r="M199" s="604"/>
      <c r="N199" s="604"/>
      <c r="O199" s="604"/>
      <c r="P199" s="604"/>
      <c r="Q199" s="604"/>
      <c r="R199" s="604"/>
      <c r="S199" s="605"/>
    </row>
    <row r="200" spans="1:20" ht="17.399999999999999">
      <c r="A200" s="606" t="s">
        <v>51</v>
      </c>
      <c r="B200" s="607">
        <f t="shared" ref="B200:Q200" si="60">SUM(B185:B198)</f>
        <v>617</v>
      </c>
      <c r="C200" s="607">
        <f t="shared" si="60"/>
        <v>458</v>
      </c>
      <c r="D200" s="607">
        <f t="shared" si="60"/>
        <v>583</v>
      </c>
      <c r="E200" s="607">
        <f t="shared" si="60"/>
        <v>533</v>
      </c>
      <c r="F200" s="607">
        <f t="shared" si="60"/>
        <v>624</v>
      </c>
      <c r="G200" s="607">
        <f t="shared" si="60"/>
        <v>559</v>
      </c>
      <c r="H200" s="607">
        <f t="shared" si="60"/>
        <v>609</v>
      </c>
      <c r="I200" s="607">
        <f t="shared" si="60"/>
        <v>472</v>
      </c>
      <c r="J200" s="607">
        <f t="shared" si="60"/>
        <v>627</v>
      </c>
      <c r="K200" s="607">
        <f t="shared" si="60"/>
        <v>628</v>
      </c>
      <c r="L200" s="607">
        <f t="shared" si="60"/>
        <v>784</v>
      </c>
      <c r="M200" s="607">
        <f t="shared" si="60"/>
        <v>762</v>
      </c>
      <c r="N200" s="607">
        <f t="shared" si="60"/>
        <v>713</v>
      </c>
      <c r="O200" s="607">
        <f t="shared" si="60"/>
        <v>1006</v>
      </c>
      <c r="P200" s="607">
        <f t="shared" si="60"/>
        <v>1581</v>
      </c>
      <c r="Q200" s="607">
        <f t="shared" si="60"/>
        <v>1218</v>
      </c>
      <c r="R200" s="607">
        <f>SUM(R185:R198)</f>
        <v>127</v>
      </c>
      <c r="S200" s="755">
        <f>F103</f>
        <v>11902</v>
      </c>
      <c r="T200" s="609"/>
    </row>
    <row r="201" spans="1:20" ht="17.399999999999999">
      <c r="A201" s="598"/>
      <c r="B201" s="598"/>
      <c r="C201" s="600"/>
      <c r="D201" s="600"/>
      <c r="E201" s="600"/>
      <c r="F201" s="600"/>
      <c r="G201" s="600"/>
      <c r="H201" s="600"/>
      <c r="I201" s="600"/>
      <c r="J201" s="600"/>
      <c r="K201" s="600"/>
      <c r="L201" s="600"/>
      <c r="M201" s="600"/>
      <c r="N201" s="600"/>
      <c r="O201" s="600"/>
      <c r="P201" s="600"/>
      <c r="Q201" s="600"/>
      <c r="R201" s="600"/>
      <c r="S201" s="600"/>
    </row>
    <row r="202" spans="1:20" ht="17.399999999999999">
      <c r="A202" s="601" t="s">
        <v>115</v>
      </c>
      <c r="B202" s="610">
        <f t="shared" ref="B202:J202" si="61">B172</f>
        <v>625</v>
      </c>
      <c r="C202" s="610">
        <f t="shared" si="61"/>
        <v>575</v>
      </c>
      <c r="D202" s="610">
        <f t="shared" si="61"/>
        <v>600</v>
      </c>
      <c r="E202" s="610">
        <f t="shared" si="61"/>
        <v>725</v>
      </c>
      <c r="F202" s="610">
        <f t="shared" si="61"/>
        <v>725</v>
      </c>
      <c r="G202" s="610">
        <f t="shared" si="61"/>
        <v>625</v>
      </c>
      <c r="H202" s="610">
        <f t="shared" si="61"/>
        <v>700</v>
      </c>
      <c r="I202" s="610">
        <f t="shared" si="61"/>
        <v>593</v>
      </c>
      <c r="J202" s="610">
        <f t="shared" si="61"/>
        <v>750</v>
      </c>
      <c r="K202" s="610">
        <f t="shared" ref="K202:R202" si="62">K172</f>
        <v>667</v>
      </c>
      <c r="L202" s="610">
        <f t="shared" si="62"/>
        <v>864</v>
      </c>
      <c r="M202" s="610">
        <f t="shared" si="62"/>
        <v>779</v>
      </c>
      <c r="N202" s="610">
        <f t="shared" si="62"/>
        <v>756</v>
      </c>
      <c r="O202" s="610">
        <f t="shared" si="62"/>
        <v>1267</v>
      </c>
      <c r="P202" s="610">
        <f t="shared" si="62"/>
        <v>1495</v>
      </c>
      <c r="Q202" s="610">
        <f t="shared" si="62"/>
        <v>1019</v>
      </c>
      <c r="R202" s="610">
        <f t="shared" si="62"/>
        <v>100</v>
      </c>
      <c r="S202" s="610">
        <f>SUM(B202:R202)</f>
        <v>12865</v>
      </c>
    </row>
    <row r="203" spans="1:20" ht="17.399999999999999">
      <c r="A203" s="598"/>
      <c r="B203" s="598"/>
      <c r="C203" s="600"/>
      <c r="D203" s="600"/>
      <c r="E203" s="600"/>
      <c r="F203" s="600"/>
      <c r="G203" s="600"/>
      <c r="H203" s="600"/>
      <c r="I203" s="600"/>
      <c r="J203" s="666"/>
      <c r="K203" s="600"/>
      <c r="L203" s="600"/>
      <c r="M203" s="600"/>
      <c r="N203" s="600"/>
      <c r="O203" s="600"/>
      <c r="P203" s="600"/>
      <c r="Q203" s="600"/>
      <c r="R203" s="600"/>
      <c r="S203" s="600"/>
    </row>
    <row r="204" spans="1:20" ht="17.399999999999999">
      <c r="A204" s="601" t="s">
        <v>244</v>
      </c>
      <c r="B204" s="611">
        <f t="shared" ref="B204:N204" si="63">B200/B202</f>
        <v>0.98719999999999997</v>
      </c>
      <c r="C204" s="611">
        <f t="shared" si="63"/>
        <v>0.79652173913043478</v>
      </c>
      <c r="D204" s="611">
        <f t="shared" si="63"/>
        <v>0.97166666666666668</v>
      </c>
      <c r="E204" s="611">
        <f t="shared" si="63"/>
        <v>0.7351724137931035</v>
      </c>
      <c r="F204" s="611">
        <f t="shared" si="63"/>
        <v>0.8606896551724138</v>
      </c>
      <c r="G204" s="611">
        <f t="shared" si="63"/>
        <v>0.89439999999999997</v>
      </c>
      <c r="H204" s="611">
        <f t="shared" si="63"/>
        <v>0.87</v>
      </c>
      <c r="I204" s="611">
        <f t="shared" si="63"/>
        <v>0.79595278246205736</v>
      </c>
      <c r="J204" s="611">
        <f t="shared" si="63"/>
        <v>0.83599999999999997</v>
      </c>
      <c r="K204" s="611">
        <f t="shared" si="63"/>
        <v>0.94152923538230882</v>
      </c>
      <c r="L204" s="611">
        <f t="shared" si="63"/>
        <v>0.90740740740740744</v>
      </c>
      <c r="M204" s="611">
        <f t="shared" si="63"/>
        <v>0.97817715019255458</v>
      </c>
      <c r="N204" s="611">
        <f t="shared" si="63"/>
        <v>0.94312169312169314</v>
      </c>
      <c r="O204" s="611">
        <f>O200/O202</f>
        <v>0.79400157853196529</v>
      </c>
      <c r="P204" s="611">
        <f>P200/P202</f>
        <v>1.0575250836120402</v>
      </c>
      <c r="Q204" s="611">
        <f>Q200/Q202</f>
        <v>1.1952894995093228</v>
      </c>
      <c r="R204" s="611">
        <f>R200/R202</f>
        <v>1.27</v>
      </c>
      <c r="S204" s="611">
        <f>S200/S202</f>
        <v>0.92514574426739216</v>
      </c>
    </row>
    <row r="205" spans="1:20" ht="17.399999999999999">
      <c r="A205" s="598"/>
      <c r="B205" s="598"/>
      <c r="C205" s="600"/>
      <c r="D205" s="600"/>
      <c r="E205" s="600"/>
      <c r="F205" s="600"/>
      <c r="G205" s="600"/>
      <c r="H205" s="600"/>
      <c r="I205" s="600"/>
      <c r="J205" s="600"/>
      <c r="K205" s="600"/>
      <c r="L205" s="600"/>
      <c r="M205" s="600"/>
      <c r="N205" s="600"/>
      <c r="O205" s="600"/>
      <c r="P205" s="600"/>
      <c r="Q205" s="600"/>
    </row>
    <row r="206" spans="1:20" ht="17.399999999999999">
      <c r="A206" s="612"/>
      <c r="B206" s="611"/>
      <c r="C206" s="611"/>
      <c r="D206" s="611"/>
      <c r="E206" s="611"/>
      <c r="F206" s="611"/>
      <c r="G206" s="611"/>
      <c r="H206" s="611"/>
      <c r="I206" s="611"/>
      <c r="J206" s="613"/>
      <c r="K206" s="613"/>
      <c r="L206" s="613"/>
      <c r="M206" s="613"/>
      <c r="N206" s="613"/>
      <c r="O206" s="613"/>
      <c r="P206" s="613"/>
      <c r="Q206" s="611"/>
    </row>
    <row r="207" spans="1:20">
      <c r="C207" s="614"/>
      <c r="D207" s="614"/>
      <c r="E207" s="614"/>
      <c r="F207" s="614"/>
      <c r="G207" s="614"/>
      <c r="H207" s="614"/>
      <c r="I207" s="614"/>
      <c r="J207" s="614"/>
      <c r="K207" s="614"/>
      <c r="L207" s="614"/>
      <c r="M207" s="614"/>
      <c r="N207" s="614"/>
      <c r="O207" s="614"/>
      <c r="P207" s="614"/>
    </row>
    <row r="208" spans="1:20" ht="17.399999999999999">
      <c r="A208" s="821" t="s">
        <v>203</v>
      </c>
      <c r="B208" s="821"/>
      <c r="C208" s="821"/>
      <c r="D208" s="821"/>
      <c r="E208" s="821"/>
      <c r="F208" s="821"/>
      <c r="G208" s="821"/>
      <c r="H208" s="821"/>
      <c r="I208" s="821"/>
      <c r="J208" s="821"/>
      <c r="K208" s="821"/>
      <c r="L208" s="821"/>
      <c r="M208" s="821"/>
    </row>
    <row r="209" spans="1:14" ht="17.399999999999999">
      <c r="A209" s="821" t="str">
        <f>A41</f>
        <v xml:space="preserve">    TEN YEAR AVERAGE PERCENTAGE OF SURVIVAL</v>
      </c>
      <c r="B209" s="821"/>
      <c r="C209" s="821"/>
      <c r="D209" s="821"/>
      <c r="E209" s="821"/>
      <c r="F209" s="821"/>
      <c r="G209" s="821"/>
      <c r="H209" s="821"/>
      <c r="I209" s="821"/>
      <c r="J209" s="821"/>
      <c r="K209" s="821"/>
      <c r="L209" s="821"/>
      <c r="M209" s="821"/>
    </row>
    <row r="210" spans="1:14" ht="17.399999999999999">
      <c r="A210" s="821" t="s">
        <v>245</v>
      </c>
      <c r="B210" s="821"/>
      <c r="C210" s="821"/>
      <c r="D210" s="821"/>
      <c r="E210" s="821"/>
      <c r="F210" s="821"/>
      <c r="G210" s="821"/>
      <c r="H210" s="821"/>
      <c r="I210" s="821"/>
      <c r="J210" s="821"/>
      <c r="K210" s="821"/>
      <c r="L210" s="821"/>
      <c r="M210" s="821"/>
    </row>
    <row r="212" spans="1:14">
      <c r="A212" s="745" t="s">
        <v>119</v>
      </c>
      <c r="B212" s="721"/>
      <c r="C212" s="721" t="s">
        <v>246</v>
      </c>
      <c r="D212" s="745" t="s">
        <v>121</v>
      </c>
      <c r="E212" s="745" t="s">
        <v>247</v>
      </c>
      <c r="F212" s="745" t="s">
        <v>248</v>
      </c>
      <c r="G212" s="745" t="s">
        <v>249</v>
      </c>
      <c r="H212" s="745" t="s">
        <v>250</v>
      </c>
      <c r="I212" s="745" t="s">
        <v>251</v>
      </c>
      <c r="J212" s="745" t="s">
        <v>252</v>
      </c>
      <c r="K212" s="745" t="s">
        <v>253</v>
      </c>
      <c r="L212" s="745" t="s">
        <v>254</v>
      </c>
      <c r="M212" s="745" t="s">
        <v>255</v>
      </c>
    </row>
    <row r="213" spans="1:14">
      <c r="A213" s="722"/>
      <c r="B213" s="745"/>
      <c r="C213" s="722"/>
      <c r="D213" s="722"/>
      <c r="E213" s="722"/>
      <c r="F213" s="722"/>
      <c r="G213" s="722"/>
      <c r="H213" s="722"/>
      <c r="I213" s="722"/>
      <c r="J213" s="722"/>
      <c r="K213" s="722"/>
      <c r="L213" s="722"/>
      <c r="M213" s="722"/>
    </row>
    <row r="214" spans="1:14" ht="17.399999999999999">
      <c r="A214" s="724"/>
      <c r="B214" s="604" t="str">
        <f>B83</f>
        <v xml:space="preserve"> 10 YEAR AVE.</v>
      </c>
      <c r="C214" s="726" t="str">
        <f>C83</f>
        <v>2025-26</v>
      </c>
      <c r="D214" s="756" t="str">
        <f>D83</f>
        <v>2026-27</v>
      </c>
      <c r="E214" s="756" t="str">
        <f t="shared" ref="E214:M214" si="64">E83</f>
        <v>2027-28</v>
      </c>
      <c r="F214" s="756" t="str">
        <f t="shared" si="64"/>
        <v>2028-29</v>
      </c>
      <c r="G214" s="756" t="str">
        <f t="shared" si="64"/>
        <v>2029-30</v>
      </c>
      <c r="H214" s="756" t="str">
        <f t="shared" si="64"/>
        <v>2030-31</v>
      </c>
      <c r="I214" s="756" t="str">
        <f>I83</f>
        <v>2031-32</v>
      </c>
      <c r="J214" s="756" t="str">
        <f t="shared" si="64"/>
        <v>2032-33</v>
      </c>
      <c r="K214" s="756" t="str">
        <f t="shared" si="64"/>
        <v>2033-34</v>
      </c>
      <c r="L214" s="756" t="str">
        <f t="shared" si="64"/>
        <v>2034-35</v>
      </c>
      <c r="M214" s="756" t="str">
        <f t="shared" si="64"/>
        <v>2035-36</v>
      </c>
      <c r="N214" s="485"/>
    </row>
    <row r="215" spans="1:14" ht="17.399999999999999">
      <c r="A215" s="728" t="s">
        <v>24</v>
      </c>
      <c r="B215" s="590" t="str">
        <f>B84</f>
        <v>PERCENT</v>
      </c>
      <c r="C215" s="757" t="str">
        <f>C84</f>
        <v>ACTUAL</v>
      </c>
      <c r="D215" s="594"/>
      <c r="E215" s="594"/>
      <c r="F215" s="594"/>
      <c r="G215" s="594"/>
      <c r="H215" s="594"/>
      <c r="I215" s="594"/>
      <c r="J215" s="594"/>
      <c r="K215" s="594"/>
      <c r="L215" s="594"/>
      <c r="M215" s="729"/>
    </row>
    <row r="216" spans="1:14" ht="17.399999999999999">
      <c r="A216" s="730"/>
      <c r="B216" s="731" t="str">
        <f>B85</f>
        <v>SURVIVAL</v>
      </c>
      <c r="C216" s="733" t="str">
        <f>C85</f>
        <v>ENROLLED</v>
      </c>
      <c r="D216" s="731"/>
      <c r="E216" s="731"/>
      <c r="F216" s="731"/>
      <c r="G216" s="731"/>
      <c r="H216" s="731"/>
      <c r="I216" s="731"/>
      <c r="J216" s="731"/>
      <c r="K216" s="731"/>
      <c r="L216" s="731"/>
      <c r="M216" s="734"/>
    </row>
    <row r="217" spans="1:14" ht="17.399999999999999">
      <c r="A217" s="598"/>
      <c r="B217" s="598"/>
      <c r="C217" s="598"/>
      <c r="D217" s="598"/>
      <c r="E217" s="598"/>
      <c r="F217" s="598"/>
      <c r="G217" s="598"/>
      <c r="H217" s="598"/>
      <c r="I217" s="598"/>
      <c r="J217" s="598"/>
      <c r="K217" s="598"/>
      <c r="L217" s="598"/>
      <c r="M217" s="598"/>
    </row>
    <row r="218" spans="1:14" ht="17.399999999999999">
      <c r="A218" s="601" t="s">
        <v>322</v>
      </c>
      <c r="B218" s="598"/>
      <c r="C218" s="610">
        <f t="shared" ref="C218:M218" si="65">SUM(C87:C92)</f>
        <v>4938</v>
      </c>
      <c r="D218" s="610">
        <f t="shared" si="65"/>
        <v>4973</v>
      </c>
      <c r="E218" s="610">
        <f t="shared" si="65"/>
        <v>5027</v>
      </c>
      <c r="F218" s="610">
        <f t="shared" si="65"/>
        <v>5083</v>
      </c>
      <c r="G218" s="610">
        <f t="shared" si="65"/>
        <v>5171</v>
      </c>
      <c r="H218" s="610">
        <f t="shared" si="65"/>
        <v>5327</v>
      </c>
      <c r="I218" s="610">
        <f t="shared" si="65"/>
        <v>5489</v>
      </c>
      <c r="J218" s="610">
        <f t="shared" si="65"/>
        <v>5529</v>
      </c>
      <c r="K218" s="610">
        <f t="shared" si="65"/>
        <v>5602</v>
      </c>
      <c r="L218" s="610">
        <f t="shared" si="65"/>
        <v>5653</v>
      </c>
      <c r="M218" s="610">
        <f t="shared" si="65"/>
        <v>5737</v>
      </c>
    </row>
    <row r="219" spans="1:14" ht="17.399999999999999">
      <c r="A219" s="598"/>
      <c r="B219" s="598"/>
      <c r="C219" s="600"/>
      <c r="D219" s="600"/>
      <c r="E219" s="600"/>
      <c r="F219" s="600"/>
      <c r="G219" s="600"/>
      <c r="H219" s="600"/>
      <c r="I219" s="600"/>
      <c r="J219" s="600"/>
      <c r="K219" s="600"/>
      <c r="L219" s="600"/>
      <c r="M219" s="600"/>
    </row>
    <row r="220" spans="1:14" ht="17.399999999999999">
      <c r="A220" s="601" t="s">
        <v>257</v>
      </c>
      <c r="B220" s="598"/>
      <c r="C220" s="610">
        <f>ENPRJ3!C389</f>
        <v>5918</v>
      </c>
      <c r="D220" s="610">
        <f>ENPRJ3!D389</f>
        <v>5918</v>
      </c>
      <c r="E220" s="610">
        <f>ENPRJ3!E389</f>
        <v>5918</v>
      </c>
      <c r="F220" s="610">
        <f>ENPRJ3!F389</f>
        <v>5918</v>
      </c>
      <c r="G220" s="610">
        <f>ENPRJ3!G389</f>
        <v>5918</v>
      </c>
      <c r="H220" s="610">
        <f>ENPRJ3!H389</f>
        <v>5918</v>
      </c>
      <c r="I220" s="610">
        <f>ENPRJ3!I389</f>
        <v>5918</v>
      </c>
      <c r="J220" s="610">
        <f>ENPRJ3!J389</f>
        <v>5918</v>
      </c>
      <c r="K220" s="610">
        <f>ENPRJ3!K389</f>
        <v>5918</v>
      </c>
      <c r="L220" s="610">
        <f>ENPRJ3!L389</f>
        <v>5918</v>
      </c>
      <c r="M220" s="610">
        <f>ENPRJ3!M389</f>
        <v>5918</v>
      </c>
    </row>
    <row r="221" spans="1:14" ht="17.399999999999999">
      <c r="A221" s="601" t="s">
        <v>258</v>
      </c>
      <c r="B221" s="598"/>
      <c r="C221" s="610">
        <f>ENPRJ3!C390</f>
        <v>9</v>
      </c>
      <c r="D221" s="610">
        <f>ENPRJ3!D390</f>
        <v>9</v>
      </c>
      <c r="E221" s="610">
        <f>ENPRJ3!E390</f>
        <v>9</v>
      </c>
      <c r="F221" s="610">
        <f>ENPRJ3!F390</f>
        <v>9</v>
      </c>
      <c r="G221" s="610">
        <f>ENPRJ3!G390</f>
        <v>9</v>
      </c>
      <c r="H221" s="610">
        <f>ENPRJ3!H390</f>
        <v>9</v>
      </c>
      <c r="I221" s="610">
        <f>ENPRJ3!I390</f>
        <v>9</v>
      </c>
      <c r="J221" s="610">
        <f>ENPRJ3!J390</f>
        <v>9</v>
      </c>
      <c r="K221" s="610">
        <f>ENPRJ3!K390</f>
        <v>9</v>
      </c>
      <c r="L221" s="610">
        <f>ENPRJ3!L390</f>
        <v>9</v>
      </c>
      <c r="M221" s="610">
        <f>ENPRJ3!M390</f>
        <v>9</v>
      </c>
    </row>
    <row r="222" spans="1:14" ht="17.399999999999999">
      <c r="A222" s="758" t="s">
        <v>259</v>
      </c>
      <c r="B222" s="598"/>
      <c r="C222" s="610">
        <f t="shared" ref="C222:M222" si="66">C218/C221</f>
        <v>548.66666666666663</v>
      </c>
      <c r="D222" s="610">
        <f t="shared" si="66"/>
        <v>552.55555555555554</v>
      </c>
      <c r="E222" s="610">
        <f t="shared" si="66"/>
        <v>558.55555555555554</v>
      </c>
      <c r="F222" s="610">
        <f t="shared" si="66"/>
        <v>564.77777777777783</v>
      </c>
      <c r="G222" s="610">
        <f t="shared" si="66"/>
        <v>574.55555555555554</v>
      </c>
      <c r="H222" s="610">
        <f t="shared" si="66"/>
        <v>591.88888888888891</v>
      </c>
      <c r="I222" s="610">
        <f t="shared" si="66"/>
        <v>609.88888888888891</v>
      </c>
      <c r="J222" s="610">
        <f t="shared" si="66"/>
        <v>614.33333333333337</v>
      </c>
      <c r="K222" s="610">
        <f t="shared" si="66"/>
        <v>622.44444444444446</v>
      </c>
      <c r="L222" s="610">
        <f t="shared" si="66"/>
        <v>628.11111111111109</v>
      </c>
      <c r="M222" s="610">
        <f t="shared" si="66"/>
        <v>637.44444444444446</v>
      </c>
    </row>
    <row r="223" spans="1:14" ht="17.399999999999999">
      <c r="A223" s="601" t="s">
        <v>116</v>
      </c>
      <c r="B223" s="598"/>
      <c r="C223" s="611">
        <f t="shared" ref="C223:M223" si="67">C218/C220</f>
        <v>0.83440351470091245</v>
      </c>
      <c r="D223" s="611">
        <f t="shared" si="67"/>
        <v>0.84031767489016562</v>
      </c>
      <c r="E223" s="611">
        <f t="shared" si="67"/>
        <v>0.84944237918215615</v>
      </c>
      <c r="F223" s="611">
        <f t="shared" si="67"/>
        <v>0.85890503548496111</v>
      </c>
      <c r="G223" s="611">
        <f t="shared" si="67"/>
        <v>0.87377492396079759</v>
      </c>
      <c r="H223" s="611">
        <f t="shared" si="67"/>
        <v>0.90013518080432575</v>
      </c>
      <c r="I223" s="611">
        <f t="shared" si="67"/>
        <v>0.92750929368029744</v>
      </c>
      <c r="J223" s="611">
        <f t="shared" si="67"/>
        <v>0.9342683338965867</v>
      </c>
      <c r="K223" s="611">
        <f t="shared" si="67"/>
        <v>0.94660358229131458</v>
      </c>
      <c r="L223" s="611">
        <f t="shared" si="67"/>
        <v>0.95522135856708346</v>
      </c>
      <c r="M223" s="611">
        <f t="shared" si="67"/>
        <v>0.96941534302129095</v>
      </c>
    </row>
    <row r="224" spans="1:14" ht="17.399999999999999">
      <c r="A224" s="601"/>
      <c r="B224" s="598"/>
      <c r="C224" s="613"/>
      <c r="D224" s="613"/>
      <c r="E224" s="613"/>
      <c r="F224" s="613"/>
      <c r="G224" s="613"/>
      <c r="H224" s="613"/>
      <c r="I224" s="613"/>
      <c r="J224" s="613"/>
      <c r="K224" s="613"/>
      <c r="L224" s="613"/>
      <c r="M224" s="613"/>
    </row>
    <row r="225" spans="1:13" ht="18" thickBot="1">
      <c r="A225" s="612"/>
      <c r="B225" s="598"/>
      <c r="C225" s="611"/>
      <c r="D225" s="611"/>
      <c r="E225" s="611"/>
      <c r="F225" s="611"/>
      <c r="G225" s="611"/>
      <c r="H225" s="611"/>
      <c r="I225" s="611"/>
      <c r="J225" s="611"/>
      <c r="K225" s="611"/>
      <c r="L225" s="611"/>
      <c r="M225" s="611"/>
    </row>
    <row r="226" spans="1:13" ht="18" thickTop="1">
      <c r="A226" s="759"/>
      <c r="B226" s="759"/>
      <c r="C226" s="759"/>
      <c r="D226" s="759"/>
      <c r="E226" s="759"/>
      <c r="F226" s="759"/>
      <c r="G226" s="759"/>
      <c r="H226" s="759"/>
      <c r="I226" s="759"/>
      <c r="J226" s="759"/>
      <c r="K226" s="759"/>
      <c r="L226" s="759"/>
      <c r="M226" s="759"/>
    </row>
    <row r="227" spans="1:13" ht="17.399999999999999">
      <c r="A227" s="601" t="s">
        <v>260</v>
      </c>
      <c r="B227" s="598"/>
      <c r="C227" s="610">
        <f t="shared" ref="C227:M227" si="68">SUM(C93:C95)</f>
        <v>2895</v>
      </c>
      <c r="D227" s="610">
        <f t="shared" si="68"/>
        <v>2939</v>
      </c>
      <c r="E227" s="610">
        <f t="shared" si="68"/>
        <v>2892</v>
      </c>
      <c r="F227" s="610">
        <f t="shared" si="68"/>
        <v>2903</v>
      </c>
      <c r="G227" s="610">
        <f t="shared" si="68"/>
        <v>2853</v>
      </c>
      <c r="H227" s="610">
        <f t="shared" si="68"/>
        <v>2775</v>
      </c>
      <c r="I227" s="610">
        <f t="shared" si="68"/>
        <v>2685</v>
      </c>
      <c r="J227" s="610">
        <f t="shared" si="68"/>
        <v>2785</v>
      </c>
      <c r="K227" s="610">
        <f t="shared" si="68"/>
        <v>2931</v>
      </c>
      <c r="L227" s="610">
        <f t="shared" si="68"/>
        <v>3095</v>
      </c>
      <c r="M227" s="610">
        <f t="shared" si="68"/>
        <v>3094</v>
      </c>
    </row>
    <row r="228" spans="1:13" ht="17.399999999999999">
      <c r="A228" s="598"/>
      <c r="B228" s="598"/>
      <c r="C228" s="600"/>
      <c r="D228" s="600"/>
      <c r="E228" s="600"/>
      <c r="F228" s="600"/>
      <c r="G228" s="600"/>
      <c r="H228" s="600"/>
      <c r="I228" s="600"/>
      <c r="J228" s="600"/>
      <c r="K228" s="600"/>
      <c r="L228" s="600"/>
      <c r="M228" s="600"/>
    </row>
    <row r="229" spans="1:13" ht="17.399999999999999">
      <c r="A229" s="601" t="s">
        <v>261</v>
      </c>
      <c r="B229" s="598"/>
      <c r="C229" s="610">
        <f>ENPRJ3!C398</f>
        <v>3066</v>
      </c>
      <c r="D229" s="610">
        <f>ENPRJ3!D398</f>
        <v>3066</v>
      </c>
      <c r="E229" s="610">
        <f>ENPRJ3!E398</f>
        <v>3066</v>
      </c>
      <c r="F229" s="610">
        <f>ENPRJ3!F398</f>
        <v>3066</v>
      </c>
      <c r="G229" s="610">
        <f>ENPRJ3!G398</f>
        <v>3066</v>
      </c>
      <c r="H229" s="610">
        <f>ENPRJ3!H398</f>
        <v>3066</v>
      </c>
      <c r="I229" s="610">
        <f>ENPRJ3!I398</f>
        <v>3066</v>
      </c>
      <c r="J229" s="610">
        <f>ENPRJ3!J398</f>
        <v>3066</v>
      </c>
      <c r="K229" s="610">
        <f>ENPRJ3!K398</f>
        <v>3066</v>
      </c>
      <c r="L229" s="610">
        <f>ENPRJ3!L398</f>
        <v>3066</v>
      </c>
      <c r="M229" s="610">
        <f>ENPRJ3!M398</f>
        <v>3066</v>
      </c>
    </row>
    <row r="230" spans="1:13" ht="17.399999999999999">
      <c r="A230" s="601" t="s">
        <v>258</v>
      </c>
      <c r="B230" s="598"/>
      <c r="C230" s="610">
        <f>ENPRJ3!C399</f>
        <v>4</v>
      </c>
      <c r="D230" s="610">
        <f>ENPRJ3!D399</f>
        <v>4</v>
      </c>
      <c r="E230" s="610">
        <f>ENPRJ3!E399</f>
        <v>4</v>
      </c>
      <c r="F230" s="610">
        <f>ENPRJ3!F399</f>
        <v>4</v>
      </c>
      <c r="G230" s="610">
        <f>ENPRJ3!G399</f>
        <v>4</v>
      </c>
      <c r="H230" s="610">
        <f>ENPRJ3!H399</f>
        <v>4</v>
      </c>
      <c r="I230" s="610">
        <f>ENPRJ3!I399</f>
        <v>4</v>
      </c>
      <c r="J230" s="610">
        <f>ENPRJ3!J399</f>
        <v>4</v>
      </c>
      <c r="K230" s="610">
        <f>ENPRJ3!K399</f>
        <v>4</v>
      </c>
      <c r="L230" s="610">
        <f>ENPRJ3!L399</f>
        <v>4</v>
      </c>
      <c r="M230" s="610">
        <f>ENPRJ3!M399</f>
        <v>4</v>
      </c>
    </row>
    <row r="231" spans="1:13" ht="17.399999999999999">
      <c r="A231" s="758" t="s">
        <v>259</v>
      </c>
      <c r="B231" s="598"/>
      <c r="C231" s="610">
        <f t="shared" ref="C231:M231" si="69">C227/C230</f>
        <v>723.75</v>
      </c>
      <c r="D231" s="610">
        <f t="shared" si="69"/>
        <v>734.75</v>
      </c>
      <c r="E231" s="610">
        <f t="shared" si="69"/>
        <v>723</v>
      </c>
      <c r="F231" s="610">
        <f t="shared" si="69"/>
        <v>725.75</v>
      </c>
      <c r="G231" s="610">
        <f t="shared" si="69"/>
        <v>713.25</v>
      </c>
      <c r="H231" s="610">
        <f t="shared" si="69"/>
        <v>693.75</v>
      </c>
      <c r="I231" s="610">
        <f t="shared" si="69"/>
        <v>671.25</v>
      </c>
      <c r="J231" s="610">
        <f t="shared" si="69"/>
        <v>696.25</v>
      </c>
      <c r="K231" s="610">
        <f t="shared" si="69"/>
        <v>732.75</v>
      </c>
      <c r="L231" s="610">
        <f t="shared" si="69"/>
        <v>773.75</v>
      </c>
      <c r="M231" s="610">
        <f t="shared" si="69"/>
        <v>773.5</v>
      </c>
    </row>
    <row r="232" spans="1:13" ht="18" thickBot="1">
      <c r="A232" s="601" t="s">
        <v>116</v>
      </c>
      <c r="B232" s="598"/>
      <c r="C232" s="611">
        <f t="shared" ref="C232:M232" si="70">C227/C229</f>
        <v>0.94422700587084152</v>
      </c>
      <c r="D232" s="611">
        <f t="shared" si="70"/>
        <v>0.95857795172863669</v>
      </c>
      <c r="E232" s="611">
        <f t="shared" si="70"/>
        <v>0.94324853228962813</v>
      </c>
      <c r="F232" s="611">
        <f t="shared" si="70"/>
        <v>0.946836268754077</v>
      </c>
      <c r="G232" s="611">
        <f t="shared" si="70"/>
        <v>0.93052837573385516</v>
      </c>
      <c r="H232" s="611">
        <f t="shared" si="70"/>
        <v>0.90508806262230923</v>
      </c>
      <c r="I232" s="611">
        <f t="shared" si="70"/>
        <v>0.87573385518590996</v>
      </c>
      <c r="J232" s="611">
        <f t="shared" si="70"/>
        <v>0.90834964122635353</v>
      </c>
      <c r="K232" s="611">
        <f t="shared" si="70"/>
        <v>0.9559686888454012</v>
      </c>
      <c r="L232" s="611">
        <f t="shared" si="70"/>
        <v>1.0094585779517287</v>
      </c>
      <c r="M232" s="611">
        <f t="shared" si="70"/>
        <v>1.0091324200913243</v>
      </c>
    </row>
    <row r="233" spans="1:13" ht="18" thickTop="1">
      <c r="A233" s="759"/>
      <c r="B233" s="759"/>
      <c r="C233" s="759"/>
      <c r="D233" s="759"/>
      <c r="E233" s="759"/>
      <c r="F233" s="759"/>
      <c r="G233" s="759"/>
      <c r="H233" s="759"/>
      <c r="I233" s="759"/>
      <c r="J233" s="759"/>
      <c r="K233" s="759"/>
      <c r="L233" s="759"/>
      <c r="M233" s="759"/>
    </row>
    <row r="234" spans="1:13" ht="17.399999999999999">
      <c r="A234" s="601" t="s">
        <v>262</v>
      </c>
      <c r="B234" s="598"/>
      <c r="C234" s="610">
        <f t="shared" ref="C234:M234" si="71">SUM(C96:C99)</f>
        <v>3927</v>
      </c>
      <c r="D234" s="610">
        <f t="shared" si="71"/>
        <v>3823</v>
      </c>
      <c r="E234" s="610">
        <f t="shared" si="71"/>
        <v>3870</v>
      </c>
      <c r="F234" s="610">
        <f t="shared" si="71"/>
        <v>3894</v>
      </c>
      <c r="G234" s="610">
        <f t="shared" si="71"/>
        <v>3879</v>
      </c>
      <c r="H234" s="610">
        <f t="shared" si="71"/>
        <v>3886</v>
      </c>
      <c r="I234" s="610">
        <f t="shared" si="71"/>
        <v>3872</v>
      </c>
      <c r="J234" s="610">
        <f t="shared" si="71"/>
        <v>3832</v>
      </c>
      <c r="K234" s="610">
        <f t="shared" si="71"/>
        <v>3720</v>
      </c>
      <c r="L234" s="610">
        <f t="shared" si="71"/>
        <v>3660</v>
      </c>
      <c r="M234" s="610">
        <f t="shared" si="71"/>
        <v>3722</v>
      </c>
    </row>
    <row r="235" spans="1:13" ht="17.399999999999999">
      <c r="A235" s="598"/>
      <c r="B235" s="598"/>
      <c r="C235" s="600"/>
      <c r="D235" s="600"/>
      <c r="E235" s="600"/>
      <c r="F235" s="600"/>
      <c r="G235" s="600"/>
      <c r="H235" s="600"/>
      <c r="I235" s="600"/>
      <c r="J235" s="600"/>
      <c r="K235" s="600"/>
      <c r="L235" s="600"/>
      <c r="M235" s="600"/>
    </row>
    <row r="236" spans="1:13" ht="17.399999999999999">
      <c r="A236" s="601" t="s">
        <v>263</v>
      </c>
      <c r="B236" s="598"/>
      <c r="C236" s="610">
        <f>ENPRJ3!C405</f>
        <v>3769</v>
      </c>
      <c r="D236" s="610">
        <f>ENPRJ3!D405</f>
        <v>3769</v>
      </c>
      <c r="E236" s="610">
        <f>ENPRJ3!E405</f>
        <v>3769</v>
      </c>
      <c r="F236" s="610">
        <f>ENPRJ3!F405</f>
        <v>3769</v>
      </c>
      <c r="G236" s="610">
        <f>ENPRJ3!G405</f>
        <v>3769</v>
      </c>
      <c r="H236" s="610">
        <f>ENPRJ3!H405</f>
        <v>3769</v>
      </c>
      <c r="I236" s="610">
        <f>ENPRJ3!I405</f>
        <v>3769</v>
      </c>
      <c r="J236" s="610">
        <f>ENPRJ3!J405</f>
        <v>3769</v>
      </c>
      <c r="K236" s="610">
        <f>ENPRJ3!K405</f>
        <v>3769</v>
      </c>
      <c r="L236" s="610">
        <f>ENPRJ3!L405</f>
        <v>3769</v>
      </c>
      <c r="M236" s="610">
        <f>ENPRJ3!M405</f>
        <v>3769</v>
      </c>
    </row>
    <row r="237" spans="1:13" ht="17.399999999999999">
      <c r="A237" s="601" t="s">
        <v>264</v>
      </c>
      <c r="B237" s="598"/>
      <c r="C237" s="610">
        <f>ENPRJ3!C406</f>
        <v>3</v>
      </c>
      <c r="D237" s="610">
        <f>ENPRJ3!D406</f>
        <v>3</v>
      </c>
      <c r="E237" s="610">
        <f>ENPRJ3!E406</f>
        <v>3</v>
      </c>
      <c r="F237" s="610">
        <f>ENPRJ3!F406</f>
        <v>3</v>
      </c>
      <c r="G237" s="610">
        <f>ENPRJ3!G406</f>
        <v>3</v>
      </c>
      <c r="H237" s="610">
        <f>ENPRJ3!H406</f>
        <v>3</v>
      </c>
      <c r="I237" s="610">
        <f>ENPRJ3!I406</f>
        <v>3</v>
      </c>
      <c r="J237" s="610">
        <f>ENPRJ3!J406</f>
        <v>3</v>
      </c>
      <c r="K237" s="610">
        <f>ENPRJ3!K406</f>
        <v>3</v>
      </c>
      <c r="L237" s="610">
        <f>ENPRJ3!L406</f>
        <v>3</v>
      </c>
      <c r="M237" s="610">
        <f>ENPRJ3!M406</f>
        <v>3</v>
      </c>
    </row>
    <row r="238" spans="1:13" ht="17.399999999999999">
      <c r="A238" s="758" t="s">
        <v>259</v>
      </c>
      <c r="B238" s="598"/>
      <c r="C238" s="610">
        <f t="shared" ref="C238:M238" si="72">C234/C237</f>
        <v>1309</v>
      </c>
      <c r="D238" s="610">
        <f t="shared" si="72"/>
        <v>1274.3333333333333</v>
      </c>
      <c r="E238" s="610">
        <f t="shared" si="72"/>
        <v>1290</v>
      </c>
      <c r="F238" s="610">
        <f t="shared" si="72"/>
        <v>1298</v>
      </c>
      <c r="G238" s="610">
        <f t="shared" si="72"/>
        <v>1293</v>
      </c>
      <c r="H238" s="610">
        <f t="shared" si="72"/>
        <v>1295.3333333333333</v>
      </c>
      <c r="I238" s="610">
        <f t="shared" si="72"/>
        <v>1290.6666666666667</v>
      </c>
      <c r="J238" s="610">
        <f t="shared" si="72"/>
        <v>1277.3333333333333</v>
      </c>
      <c r="K238" s="610">
        <f t="shared" si="72"/>
        <v>1240</v>
      </c>
      <c r="L238" s="610">
        <f t="shared" si="72"/>
        <v>1220</v>
      </c>
      <c r="M238" s="610">
        <f t="shared" si="72"/>
        <v>1240.6666666666667</v>
      </c>
    </row>
    <row r="239" spans="1:13" ht="18" thickBot="1">
      <c r="A239" s="601" t="s">
        <v>116</v>
      </c>
      <c r="B239" s="598"/>
      <c r="C239" s="611">
        <f t="shared" ref="C239:M239" si="73">C234/C236</f>
        <v>1.0419209339347306</v>
      </c>
      <c r="D239" s="611">
        <f t="shared" si="73"/>
        <v>1.0143274078004776</v>
      </c>
      <c r="E239" s="611">
        <f t="shared" si="73"/>
        <v>1.0267975590342266</v>
      </c>
      <c r="F239" s="611">
        <f t="shared" si="73"/>
        <v>1.0331652958344388</v>
      </c>
      <c r="G239" s="611">
        <f t="shared" si="73"/>
        <v>1.0291854603343062</v>
      </c>
      <c r="H239" s="611">
        <f t="shared" si="73"/>
        <v>1.0310427169010348</v>
      </c>
      <c r="I239" s="611">
        <f t="shared" si="73"/>
        <v>1.0273282037675775</v>
      </c>
      <c r="J239" s="611">
        <f t="shared" si="73"/>
        <v>1.0167153091005572</v>
      </c>
      <c r="K239" s="611">
        <f t="shared" si="73"/>
        <v>0.98699920403289998</v>
      </c>
      <c r="L239" s="611">
        <f t="shared" si="73"/>
        <v>0.97107986203236929</v>
      </c>
      <c r="M239" s="611">
        <f t="shared" si="73"/>
        <v>0.98752984876625094</v>
      </c>
    </row>
    <row r="240" spans="1:13" ht="18" thickTop="1">
      <c r="A240" s="759"/>
      <c r="B240" s="759"/>
      <c r="C240" s="759"/>
      <c r="D240" s="759"/>
      <c r="E240" s="759"/>
      <c r="F240" s="759"/>
      <c r="G240" s="759"/>
      <c r="H240" s="759"/>
      <c r="I240" s="759"/>
      <c r="J240" s="759"/>
      <c r="K240" s="759"/>
      <c r="L240" s="759"/>
      <c r="M240" s="759"/>
    </row>
    <row r="241" spans="1:13" ht="17.399999999999999">
      <c r="A241" s="601" t="s">
        <v>324</v>
      </c>
      <c r="B241" s="598"/>
      <c r="C241" s="610">
        <f t="shared" ref="C241:M241" si="74">C103</f>
        <v>11782</v>
      </c>
      <c r="D241" s="610">
        <f t="shared" si="74"/>
        <v>11757</v>
      </c>
      <c r="E241" s="610">
        <f t="shared" si="74"/>
        <v>11811</v>
      </c>
      <c r="F241" s="610">
        <f t="shared" si="74"/>
        <v>11902</v>
      </c>
      <c r="G241" s="610">
        <f t="shared" si="74"/>
        <v>11925</v>
      </c>
      <c r="H241" s="610">
        <f t="shared" si="74"/>
        <v>12010</v>
      </c>
      <c r="I241" s="610">
        <f t="shared" si="74"/>
        <v>12068</v>
      </c>
      <c r="J241" s="610">
        <f t="shared" si="74"/>
        <v>12168</v>
      </c>
      <c r="K241" s="610">
        <f t="shared" si="74"/>
        <v>12275</v>
      </c>
      <c r="L241" s="610">
        <f t="shared" si="74"/>
        <v>12430</v>
      </c>
      <c r="M241" s="610">
        <f t="shared" si="74"/>
        <v>12575</v>
      </c>
    </row>
    <row r="242" spans="1:13" ht="17.399999999999999">
      <c r="A242" s="598"/>
      <c r="B242" s="598"/>
      <c r="C242" s="600"/>
      <c r="D242" s="600"/>
      <c r="E242" s="600"/>
      <c r="F242" s="600"/>
      <c r="G242" s="600"/>
      <c r="H242" s="600"/>
      <c r="I242" s="600"/>
      <c r="J242" s="600"/>
      <c r="K242" s="600"/>
      <c r="L242" s="600"/>
      <c r="M242" s="600"/>
    </row>
    <row r="243" spans="1:13" ht="17.399999999999999">
      <c r="A243" s="601" t="s">
        <v>266</v>
      </c>
      <c r="B243" s="598"/>
      <c r="C243" s="610">
        <f>C236+C229+C220+100</f>
        <v>12853</v>
      </c>
      <c r="D243" s="610">
        <f t="shared" ref="D243:M243" si="75">D236+D229+D220+100</f>
        <v>12853</v>
      </c>
      <c r="E243" s="610">
        <f t="shared" si="75"/>
        <v>12853</v>
      </c>
      <c r="F243" s="610">
        <f t="shared" si="75"/>
        <v>12853</v>
      </c>
      <c r="G243" s="610">
        <f t="shared" si="75"/>
        <v>12853</v>
      </c>
      <c r="H243" s="610">
        <f t="shared" si="75"/>
        <v>12853</v>
      </c>
      <c r="I243" s="610">
        <f t="shared" si="75"/>
        <v>12853</v>
      </c>
      <c r="J243" s="610">
        <f t="shared" si="75"/>
        <v>12853</v>
      </c>
      <c r="K243" s="610">
        <f t="shared" si="75"/>
        <v>12853</v>
      </c>
      <c r="L243" s="610">
        <f t="shared" si="75"/>
        <v>12853</v>
      </c>
      <c r="M243" s="610">
        <f t="shared" si="75"/>
        <v>12853</v>
      </c>
    </row>
    <row r="244" spans="1:13" ht="17.399999999999999">
      <c r="A244" s="598"/>
      <c r="B244" s="598"/>
      <c r="C244" s="600"/>
      <c r="D244" s="600"/>
      <c r="E244" s="600"/>
      <c r="F244" s="600"/>
      <c r="G244" s="600"/>
      <c r="H244" s="600"/>
      <c r="I244" s="600"/>
      <c r="J244" s="600"/>
      <c r="K244" s="600"/>
      <c r="L244" s="600"/>
      <c r="M244" s="600"/>
    </row>
    <row r="245" spans="1:13" ht="17.399999999999999">
      <c r="A245" s="601" t="s">
        <v>116</v>
      </c>
      <c r="B245" s="598"/>
      <c r="C245" s="611">
        <f t="shared" ref="C245:M245" si="76">C241/C243</f>
        <v>0.91667315023729867</v>
      </c>
      <c r="D245" s="611">
        <f t="shared" si="76"/>
        <v>0.91472807904769315</v>
      </c>
      <c r="E245" s="611">
        <f t="shared" si="76"/>
        <v>0.91892943281724115</v>
      </c>
      <c r="F245" s="611">
        <f t="shared" si="76"/>
        <v>0.92600949194740523</v>
      </c>
      <c r="G245" s="611">
        <f t="shared" si="76"/>
        <v>0.92779895744184238</v>
      </c>
      <c r="H245" s="611">
        <f t="shared" si="76"/>
        <v>0.93441219948650123</v>
      </c>
      <c r="I245" s="611">
        <f t="shared" si="76"/>
        <v>0.93892476464638608</v>
      </c>
      <c r="J245" s="611">
        <f t="shared" si="76"/>
        <v>0.94670504940480826</v>
      </c>
      <c r="K245" s="611">
        <f t="shared" si="76"/>
        <v>0.95502995409631997</v>
      </c>
      <c r="L245" s="611">
        <f t="shared" si="76"/>
        <v>0.96708939547187422</v>
      </c>
      <c r="M245" s="611">
        <f t="shared" si="76"/>
        <v>0.97837080837158641</v>
      </c>
    </row>
    <row r="246" spans="1:13" ht="17.399999999999999">
      <c r="A246" s="598"/>
      <c r="B246" s="598"/>
      <c r="C246" s="600"/>
      <c r="D246" s="600"/>
      <c r="E246" s="600"/>
      <c r="F246" s="600"/>
      <c r="G246" s="600"/>
      <c r="H246" s="600"/>
      <c r="I246" s="600"/>
      <c r="J246" s="600"/>
      <c r="K246" s="600"/>
      <c r="L246" s="600"/>
      <c r="M246" s="600"/>
    </row>
    <row r="247" spans="1:13" ht="17.399999999999999">
      <c r="A247" s="612"/>
      <c r="B247" s="598"/>
      <c r="C247" s="611"/>
      <c r="D247" s="611"/>
      <c r="E247" s="611"/>
      <c r="F247" s="611"/>
      <c r="G247" s="611"/>
      <c r="H247" s="611"/>
      <c r="I247" s="611"/>
      <c r="J247" s="611"/>
      <c r="K247" s="611"/>
      <c r="L247" s="611"/>
      <c r="M247" s="611"/>
    </row>
    <row r="248" spans="1:13" ht="17.399999999999999">
      <c r="A248" s="612"/>
      <c r="B248" s="598"/>
      <c r="C248" s="611"/>
      <c r="D248" s="611"/>
      <c r="E248" s="611"/>
      <c r="F248" s="611"/>
      <c r="G248" s="611"/>
      <c r="H248" s="611"/>
      <c r="I248" s="611"/>
      <c r="J248" s="611"/>
      <c r="K248" s="611"/>
      <c r="L248" s="611"/>
      <c r="M248" s="611"/>
    </row>
    <row r="249" spans="1:13" ht="17.399999999999999">
      <c r="A249" s="28"/>
      <c r="B249" s="28"/>
      <c r="C249" s="28"/>
      <c r="D249" s="28"/>
      <c r="E249" s="28"/>
      <c r="F249" s="28"/>
      <c r="G249" s="28"/>
      <c r="H249" s="28"/>
      <c r="I249" s="345"/>
      <c r="J249" s="345"/>
      <c r="K249" s="345"/>
      <c r="L249" s="345"/>
      <c r="M249" s="345"/>
    </row>
    <row r="250" spans="1:13" ht="17.399999999999999">
      <c r="A250" s="28"/>
      <c r="B250" s="28"/>
      <c r="C250" s="28"/>
      <c r="D250" s="28"/>
      <c r="E250" s="28"/>
      <c r="F250" s="28"/>
      <c r="G250" s="28"/>
      <c r="H250" s="28"/>
      <c r="I250" s="345"/>
      <c r="J250" s="345"/>
      <c r="K250" s="345"/>
      <c r="L250" s="345"/>
      <c r="M250" s="345"/>
    </row>
    <row r="251" spans="1:13" ht="17.399999999999999">
      <c r="A251" s="28"/>
      <c r="B251" s="28"/>
      <c r="C251" s="777"/>
      <c r="D251" s="28"/>
      <c r="E251" s="777"/>
      <c r="F251" s="28"/>
      <c r="G251" s="777"/>
      <c r="H251" s="28"/>
      <c r="I251" s="345"/>
      <c r="J251" s="345"/>
      <c r="K251" s="345"/>
      <c r="L251" s="345"/>
      <c r="M251" s="345"/>
    </row>
    <row r="252" spans="1:13" ht="17.399999999999999">
      <c r="A252" s="28"/>
      <c r="B252" s="28"/>
      <c r="C252" s="777"/>
      <c r="D252" s="28"/>
      <c r="E252" s="777"/>
      <c r="F252" s="28"/>
      <c r="G252" s="777"/>
      <c r="H252" s="28"/>
      <c r="I252" s="345"/>
      <c r="J252" s="345"/>
      <c r="K252" s="345"/>
      <c r="L252" s="345"/>
      <c r="M252" s="345"/>
    </row>
    <row r="253" spans="1:13" ht="17.399999999999999">
      <c r="A253" s="28"/>
      <c r="B253" s="28"/>
      <c r="C253" s="777"/>
      <c r="D253" s="28"/>
      <c r="E253" s="777"/>
      <c r="F253" s="28"/>
      <c r="G253" s="777"/>
      <c r="H253" s="28"/>
      <c r="I253" s="345"/>
      <c r="J253" s="345"/>
      <c r="K253" s="345"/>
      <c r="L253" s="345"/>
      <c r="M253" s="345"/>
    </row>
    <row r="254" spans="1:13" ht="17.399999999999999">
      <c r="A254" s="28"/>
      <c r="B254" s="28"/>
      <c r="C254" s="777"/>
      <c r="D254" s="28"/>
      <c r="E254" s="777"/>
      <c r="F254" s="28"/>
      <c r="G254" s="777"/>
      <c r="H254" s="28"/>
      <c r="I254" s="346"/>
      <c r="J254" s="346"/>
      <c r="K254" s="346"/>
      <c r="L254" s="346"/>
      <c r="M254" s="346"/>
    </row>
    <row r="255" spans="1:13" ht="17.399999999999999">
      <c r="A255" s="28"/>
      <c r="B255" s="28"/>
      <c r="C255" s="777"/>
      <c r="D255" s="28"/>
      <c r="E255" s="777"/>
      <c r="F255" s="28"/>
      <c r="G255" s="777"/>
      <c r="H255" s="28"/>
      <c r="I255" s="345"/>
      <c r="J255" s="345"/>
      <c r="K255" s="345"/>
      <c r="L255" s="345"/>
      <c r="M255" s="345"/>
    </row>
    <row r="256" spans="1:13" ht="17.399999999999999">
      <c r="A256" s="28"/>
      <c r="B256" s="28"/>
      <c r="C256" s="777"/>
      <c r="D256" s="28"/>
      <c r="E256" s="777"/>
      <c r="F256" s="28"/>
      <c r="G256" s="777"/>
      <c r="H256" s="28"/>
      <c r="I256" s="345"/>
      <c r="J256" s="345"/>
      <c r="K256" s="345"/>
      <c r="L256" s="345"/>
      <c r="M256" s="345"/>
    </row>
    <row r="257" spans="1:13" ht="17.399999999999999">
      <c r="A257" s="28"/>
      <c r="B257" s="28"/>
      <c r="C257" s="777"/>
      <c r="D257" s="28"/>
      <c r="E257" s="777"/>
      <c r="F257" s="28"/>
      <c r="G257" s="777"/>
      <c r="H257" s="28"/>
      <c r="I257" s="345"/>
      <c r="J257" s="345"/>
      <c r="K257" s="345"/>
      <c r="L257" s="345"/>
      <c r="M257" s="345"/>
    </row>
    <row r="258" spans="1:13" ht="17.399999999999999">
      <c r="A258" s="345"/>
      <c r="B258" s="345"/>
      <c r="C258" s="667"/>
      <c r="D258" s="667"/>
      <c r="E258" s="667"/>
      <c r="F258" s="667"/>
      <c r="G258" s="667"/>
      <c r="H258" s="667"/>
      <c r="I258" s="667"/>
      <c r="J258" s="667"/>
      <c r="K258" s="667"/>
      <c r="L258" s="667"/>
      <c r="M258" s="667"/>
    </row>
    <row r="259" spans="1:13" ht="17.399999999999999">
      <c r="A259" s="345"/>
      <c r="B259" s="345"/>
      <c r="C259" s="714"/>
      <c r="D259" s="714"/>
      <c r="E259" s="714"/>
      <c r="F259" s="714"/>
      <c r="G259" s="714"/>
      <c r="H259" s="714"/>
      <c r="I259" s="714"/>
      <c r="J259" s="714"/>
      <c r="K259" s="714"/>
      <c r="L259" s="714"/>
      <c r="M259" s="714"/>
    </row>
    <row r="260" spans="1:13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</row>
    <row r="261" spans="1:13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</row>
    <row r="262" spans="1:13" ht="17.399999999999999">
      <c r="A262" s="345"/>
      <c r="B262" s="345"/>
      <c r="C262" s="345"/>
      <c r="D262" s="345"/>
      <c r="E262" s="345"/>
      <c r="F262" s="345"/>
      <c r="G262" s="345"/>
      <c r="H262" s="345"/>
      <c r="I262" s="345"/>
      <c r="J262" s="345"/>
      <c r="K262" s="345"/>
      <c r="L262" s="345"/>
      <c r="M262" s="345"/>
    </row>
    <row r="263" spans="1:13" ht="17.399999999999999">
      <c r="A263" s="345"/>
      <c r="B263" s="345"/>
      <c r="C263" s="345"/>
      <c r="D263" s="345"/>
      <c r="E263" s="345"/>
      <c r="F263" s="345"/>
      <c r="G263" s="345"/>
      <c r="H263" s="345"/>
      <c r="I263" s="345"/>
      <c r="J263" s="345"/>
      <c r="K263" s="345"/>
      <c r="L263" s="345"/>
      <c r="M263" s="345"/>
    </row>
    <row r="264" spans="1:13" ht="17.399999999999999">
      <c r="A264" s="345"/>
      <c r="B264" s="345"/>
      <c r="C264" s="345"/>
      <c r="D264" s="345"/>
      <c r="E264" s="345"/>
      <c r="F264" s="345"/>
      <c r="G264" s="345"/>
      <c r="H264" s="345"/>
      <c r="I264" s="345"/>
      <c r="J264" s="345"/>
      <c r="K264" s="345"/>
      <c r="L264" s="345"/>
      <c r="M264" s="345"/>
    </row>
    <row r="265" spans="1:13" ht="17.399999999999999">
      <c r="A265" s="345"/>
      <c r="B265" s="345"/>
      <c r="C265" s="345"/>
      <c r="D265" s="345"/>
      <c r="E265" s="345"/>
      <c r="F265" s="345"/>
      <c r="G265" s="345"/>
      <c r="H265" s="345"/>
      <c r="I265" s="345"/>
      <c r="J265" s="345"/>
      <c r="K265" s="345"/>
      <c r="L265" s="345"/>
      <c r="M265" s="345"/>
    </row>
    <row r="266" spans="1:13" ht="17.399999999999999">
      <c r="A266" s="345"/>
      <c r="B266" s="345"/>
      <c r="C266" s="345"/>
      <c r="D266" s="345"/>
      <c r="E266" s="345"/>
      <c r="F266" s="345"/>
      <c r="G266" s="345"/>
      <c r="H266" s="345"/>
      <c r="I266" s="345"/>
      <c r="J266" s="345"/>
      <c r="K266" s="345"/>
      <c r="L266" s="345"/>
      <c r="M266" s="345"/>
    </row>
    <row r="267" spans="1:13" ht="17.399999999999999">
      <c r="A267" s="345"/>
      <c r="B267" s="345"/>
      <c r="C267" s="346"/>
      <c r="D267" s="346"/>
      <c r="E267" s="346"/>
      <c r="F267" s="346"/>
      <c r="G267" s="346"/>
      <c r="H267" s="346"/>
      <c r="I267" s="346"/>
      <c r="J267" s="346"/>
      <c r="K267" s="346"/>
      <c r="L267" s="346"/>
      <c r="M267" s="346"/>
    </row>
    <row r="268" spans="1:13" ht="17.399999999999999">
      <c r="A268" s="345"/>
      <c r="B268" s="345"/>
      <c r="C268" s="345"/>
      <c r="D268" s="345"/>
      <c r="E268" s="345"/>
      <c r="F268" s="345"/>
      <c r="G268" s="345"/>
      <c r="H268" s="345"/>
      <c r="I268" s="345"/>
      <c r="J268" s="345"/>
      <c r="K268" s="345"/>
      <c r="L268" s="345"/>
      <c r="M268" s="345"/>
    </row>
    <row r="269" spans="1:13" ht="17.399999999999999">
      <c r="A269" s="345"/>
      <c r="B269" s="345"/>
      <c r="C269" s="345"/>
      <c r="D269" s="345"/>
      <c r="E269" s="345"/>
      <c r="F269" s="345"/>
      <c r="G269" s="345"/>
      <c r="H269" s="345"/>
      <c r="I269" s="345"/>
      <c r="J269" s="345"/>
      <c r="K269" s="345"/>
      <c r="L269" s="345"/>
      <c r="M269" s="345"/>
    </row>
    <row r="270" spans="1:13" ht="17.399999999999999">
      <c r="A270" s="345"/>
      <c r="B270" s="345"/>
      <c r="C270" s="345"/>
      <c r="D270" s="345"/>
      <c r="E270" s="345"/>
      <c r="F270" s="345"/>
      <c r="G270" s="345"/>
      <c r="H270" s="345"/>
      <c r="I270" s="345"/>
      <c r="J270" s="345"/>
      <c r="K270" s="345"/>
      <c r="L270" s="345"/>
      <c r="M270" s="345"/>
    </row>
    <row r="271" spans="1:13" ht="17.399999999999999">
      <c r="A271" s="345"/>
      <c r="B271" s="345"/>
      <c r="C271" s="667"/>
      <c r="D271" s="667"/>
      <c r="E271" s="667"/>
      <c r="F271" s="667"/>
      <c r="G271" s="667"/>
      <c r="H271" s="667"/>
      <c r="I271" s="667"/>
      <c r="J271" s="667"/>
      <c r="K271" s="667"/>
      <c r="L271" s="667"/>
      <c r="M271" s="667"/>
    </row>
    <row r="272" spans="1:13" ht="17.399999999999999">
      <c r="A272" s="345"/>
      <c r="B272" s="345"/>
      <c r="C272" s="714"/>
      <c r="D272" s="714"/>
      <c r="E272" s="714"/>
      <c r="F272" s="714"/>
      <c r="G272" s="714"/>
      <c r="H272" s="714"/>
      <c r="I272" s="714"/>
      <c r="J272" s="714"/>
      <c r="K272" s="714"/>
      <c r="L272" s="714"/>
      <c r="M272" s="714"/>
    </row>
    <row r="273" spans="1:13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</row>
    <row r="274" spans="1:13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</row>
    <row r="275" spans="1:13" ht="17.399999999999999">
      <c r="A275" s="345"/>
      <c r="B275" s="345"/>
      <c r="C275" s="669"/>
      <c r="D275" s="345"/>
      <c r="E275" s="345"/>
      <c r="F275" s="345"/>
      <c r="G275" s="345"/>
      <c r="H275" s="345"/>
      <c r="I275" s="345"/>
      <c r="J275" s="345"/>
      <c r="K275" s="345"/>
      <c r="L275" s="345"/>
      <c r="M275" s="345"/>
    </row>
    <row r="276" spans="1:13" ht="17.399999999999999">
      <c r="A276" s="345"/>
      <c r="B276" s="345"/>
      <c r="C276" s="345"/>
      <c r="D276" s="345"/>
      <c r="E276" s="345"/>
      <c r="F276" s="345"/>
      <c r="G276" s="345"/>
      <c r="H276" s="345"/>
      <c r="I276" s="345"/>
      <c r="J276" s="345"/>
      <c r="K276" s="345"/>
      <c r="L276" s="345"/>
      <c r="M276" s="345"/>
    </row>
    <row r="277" spans="1:13" ht="17.399999999999999">
      <c r="A277" s="345"/>
      <c r="B277" s="345"/>
      <c r="C277" s="345"/>
      <c r="D277" s="345"/>
      <c r="E277" s="345"/>
      <c r="F277" s="345"/>
      <c r="G277" s="345"/>
      <c r="H277" s="345"/>
      <c r="I277" s="345"/>
      <c r="J277" s="345"/>
      <c r="K277" s="345"/>
      <c r="L277" s="345"/>
      <c r="M277" s="345"/>
    </row>
    <row r="278" spans="1:13" ht="17.399999999999999">
      <c r="A278" s="345"/>
      <c r="B278" s="345"/>
      <c r="C278" s="345"/>
      <c r="D278" s="345"/>
      <c r="E278" s="345"/>
      <c r="F278" s="345"/>
      <c r="G278" s="345"/>
      <c r="H278" s="345"/>
      <c r="I278" s="345"/>
      <c r="J278" s="345"/>
      <c r="K278" s="345"/>
      <c r="L278" s="345"/>
      <c r="M278" s="345"/>
    </row>
    <row r="279" spans="1:13" ht="17.399999999999999">
      <c r="A279" s="345"/>
      <c r="B279" s="345"/>
      <c r="C279" s="345"/>
      <c r="D279" s="345"/>
      <c r="E279" s="345"/>
      <c r="F279" s="345"/>
      <c r="G279" s="345"/>
      <c r="H279" s="345"/>
      <c r="I279" s="345"/>
      <c r="J279" s="345"/>
      <c r="K279" s="345"/>
      <c r="L279" s="345"/>
      <c r="M279" s="345"/>
    </row>
    <row r="280" spans="1:13" ht="17.399999999999999">
      <c r="A280" s="345"/>
      <c r="B280" s="345"/>
      <c r="C280" s="346"/>
      <c r="D280" s="346"/>
      <c r="E280" s="346"/>
      <c r="F280" s="346"/>
      <c r="G280" s="346"/>
      <c r="H280" s="346"/>
      <c r="I280" s="346"/>
      <c r="J280" s="346"/>
      <c r="K280" s="346"/>
      <c r="L280" s="346"/>
      <c r="M280" s="346"/>
    </row>
    <row r="281" spans="1:13" ht="17.399999999999999">
      <c r="A281" s="345"/>
      <c r="B281" s="345"/>
      <c r="C281" s="345"/>
      <c r="D281" s="345"/>
      <c r="E281" s="345"/>
      <c r="F281" s="345"/>
      <c r="G281" s="345"/>
      <c r="H281" s="345"/>
      <c r="I281" s="345"/>
      <c r="J281" s="345"/>
      <c r="K281" s="345"/>
      <c r="L281" s="345"/>
      <c r="M281" s="345"/>
    </row>
    <row r="282" spans="1:13" ht="17.399999999999999">
      <c r="A282" s="345"/>
      <c r="B282" s="345"/>
      <c r="C282" s="345"/>
      <c r="D282" s="345"/>
      <c r="E282" s="345"/>
      <c r="F282" s="345"/>
      <c r="G282" s="345"/>
      <c r="H282" s="345"/>
      <c r="I282" s="345"/>
      <c r="J282" s="345"/>
      <c r="K282" s="345"/>
      <c r="L282" s="345"/>
      <c r="M282" s="345"/>
    </row>
    <row r="283" spans="1:13" ht="17.399999999999999">
      <c r="A283" s="345"/>
      <c r="B283" s="345"/>
      <c r="C283" s="345"/>
      <c r="D283" s="345"/>
      <c r="E283" s="345"/>
      <c r="F283" s="345"/>
      <c r="G283" s="345"/>
      <c r="H283" s="345"/>
      <c r="I283" s="345"/>
      <c r="J283" s="345"/>
      <c r="K283" s="345"/>
      <c r="L283" s="345"/>
      <c r="M283" s="345"/>
    </row>
    <row r="284" spans="1:13" ht="17.399999999999999">
      <c r="A284" s="345"/>
      <c r="B284" s="345"/>
      <c r="C284" s="667"/>
      <c r="D284" s="667"/>
      <c r="E284" s="667"/>
      <c r="F284" s="667"/>
      <c r="G284" s="667"/>
      <c r="H284" s="667"/>
      <c r="I284" s="667"/>
      <c r="J284" s="667"/>
      <c r="K284" s="667"/>
      <c r="L284" s="667"/>
      <c r="M284" s="667"/>
    </row>
    <row r="285" spans="1:13" ht="17.399999999999999">
      <c r="A285" s="345"/>
      <c r="B285" s="345"/>
      <c r="C285" s="714"/>
      <c r="D285" s="714"/>
      <c r="E285" s="714"/>
      <c r="F285" s="714"/>
      <c r="G285" s="714"/>
      <c r="H285" s="714"/>
      <c r="I285" s="714"/>
      <c r="J285" s="714"/>
      <c r="K285" s="714"/>
      <c r="L285" s="714"/>
      <c r="M285" s="714"/>
    </row>
    <row r="286" spans="1:13" ht="17.399999999999999">
      <c r="A286" s="612"/>
      <c r="B286" s="598"/>
      <c r="C286" s="611"/>
      <c r="D286" s="611"/>
      <c r="E286" s="611"/>
      <c r="F286" s="611"/>
      <c r="G286" s="611"/>
      <c r="H286" s="611"/>
      <c r="I286" s="611"/>
      <c r="J286" s="611"/>
      <c r="K286" s="611"/>
      <c r="L286" s="611"/>
      <c r="M286" s="611"/>
    </row>
    <row r="287" spans="1:13" ht="17.399999999999999">
      <c r="A287" s="612"/>
      <c r="B287" s="598"/>
      <c r="C287" s="611"/>
      <c r="D287" s="611"/>
      <c r="E287" s="611"/>
      <c r="F287" s="611"/>
      <c r="G287" s="611"/>
      <c r="H287" s="611"/>
      <c r="I287" s="611"/>
      <c r="J287" s="611"/>
      <c r="K287" s="611"/>
      <c r="L287" s="611"/>
      <c r="M287" s="611"/>
    </row>
    <row r="288" spans="1:13" ht="17.399999999999999">
      <c r="A288" s="612"/>
      <c r="B288" s="598"/>
      <c r="C288" s="611"/>
      <c r="D288" s="611"/>
      <c r="E288" s="611"/>
      <c r="F288" s="611"/>
      <c r="G288" s="611"/>
      <c r="H288" s="611"/>
      <c r="I288" s="611"/>
      <c r="J288" s="611"/>
      <c r="K288" s="611"/>
      <c r="L288" s="611"/>
      <c r="M288" s="611"/>
    </row>
    <row r="289" spans="1:13" ht="17.399999999999999">
      <c r="A289" s="612"/>
      <c r="B289" s="598"/>
      <c r="C289" s="611"/>
      <c r="D289" s="611"/>
      <c r="E289" s="611"/>
      <c r="F289" s="611"/>
      <c r="G289" s="611"/>
      <c r="H289" s="611"/>
      <c r="I289" s="611"/>
      <c r="J289" s="611"/>
      <c r="K289" s="611"/>
      <c r="L289" s="611"/>
      <c r="M289" s="611"/>
    </row>
    <row r="290" spans="1:13" ht="17.399999999999999">
      <c r="A290" s="612"/>
      <c r="B290" s="598"/>
      <c r="C290" s="611"/>
      <c r="D290" s="611"/>
      <c r="E290" s="611"/>
      <c r="F290" s="611"/>
      <c r="G290" s="611"/>
      <c r="H290" s="611"/>
      <c r="I290" s="611"/>
      <c r="J290" s="611"/>
      <c r="K290" s="611"/>
      <c r="L290" s="611"/>
      <c r="M290" s="611"/>
    </row>
    <row r="291" spans="1:13" ht="17.399999999999999">
      <c r="A291" s="612"/>
      <c r="B291" s="598"/>
      <c r="C291" s="611"/>
      <c r="D291" s="611"/>
      <c r="E291" s="611"/>
      <c r="F291" s="611"/>
      <c r="G291" s="611"/>
      <c r="H291" s="611"/>
      <c r="I291" s="611"/>
      <c r="J291" s="611"/>
      <c r="K291" s="611"/>
      <c r="L291" s="611"/>
      <c r="M291" s="611"/>
    </row>
    <row r="292" spans="1:13" ht="17.399999999999999">
      <c r="A292" s="612"/>
      <c r="B292" s="598"/>
      <c r="C292" s="611"/>
      <c r="D292" s="611"/>
      <c r="E292" s="611"/>
      <c r="F292" s="611"/>
      <c r="G292" s="611"/>
      <c r="H292" s="611"/>
      <c r="I292" s="611"/>
      <c r="J292" s="611"/>
      <c r="K292" s="611"/>
      <c r="L292" s="611"/>
      <c r="M292" s="611"/>
    </row>
    <row r="293" spans="1:13" ht="17.399999999999999">
      <c r="A293" s="612"/>
      <c r="B293" s="598"/>
      <c r="C293" s="611"/>
      <c r="D293" s="611"/>
      <c r="E293" s="611"/>
      <c r="F293" s="611"/>
      <c r="G293" s="611"/>
      <c r="H293" s="611"/>
      <c r="I293" s="611"/>
      <c r="J293" s="611"/>
      <c r="K293" s="611"/>
      <c r="L293" s="611"/>
      <c r="M293" s="611"/>
    </row>
    <row r="294" spans="1:13" ht="17.399999999999999">
      <c r="A294" s="612"/>
      <c r="B294" s="598"/>
      <c r="C294" s="611"/>
      <c r="D294" s="611"/>
      <c r="E294" s="611"/>
      <c r="F294" s="611"/>
      <c r="G294" s="611"/>
      <c r="H294" s="611"/>
      <c r="I294" s="611"/>
      <c r="J294" s="611"/>
      <c r="K294" s="611"/>
      <c r="L294" s="611"/>
      <c r="M294" s="611"/>
    </row>
    <row r="295" spans="1:13" ht="17.399999999999999">
      <c r="A295" s="612"/>
      <c r="B295" s="598"/>
      <c r="C295" s="611"/>
      <c r="D295" s="611"/>
      <c r="E295" s="611"/>
      <c r="F295" s="611"/>
      <c r="G295" s="611"/>
      <c r="H295" s="611"/>
      <c r="I295" s="611"/>
      <c r="J295" s="611"/>
      <c r="K295" s="611"/>
      <c r="L295" s="611"/>
      <c r="M295" s="611"/>
    </row>
    <row r="296" spans="1:13" ht="17.399999999999999">
      <c r="A296" s="612"/>
      <c r="B296" s="598"/>
      <c r="C296" s="611"/>
      <c r="D296" s="611"/>
      <c r="E296" s="611"/>
      <c r="F296" s="611"/>
      <c r="G296" s="611"/>
      <c r="H296" s="611"/>
      <c r="I296" s="611"/>
      <c r="J296" s="611"/>
      <c r="K296" s="611"/>
      <c r="L296" s="611"/>
      <c r="M296" s="611"/>
    </row>
    <row r="297" spans="1:13" ht="17.399999999999999">
      <c r="A297" s="612"/>
      <c r="B297" s="598"/>
      <c r="C297" s="611"/>
      <c r="D297" s="611"/>
      <c r="E297" s="611"/>
      <c r="F297" s="611"/>
      <c r="G297" s="611"/>
      <c r="H297" s="611"/>
      <c r="I297" s="611"/>
      <c r="J297" s="611"/>
      <c r="K297" s="611"/>
      <c r="L297" s="611"/>
      <c r="M297" s="611"/>
    </row>
    <row r="298" spans="1:13" ht="17.399999999999999">
      <c r="A298" s="612"/>
      <c r="B298" s="598"/>
      <c r="C298" s="611"/>
      <c r="D298" s="611"/>
      <c r="E298" s="611"/>
      <c r="F298" s="611"/>
      <c r="G298" s="611"/>
      <c r="H298" s="611"/>
      <c r="I298" s="611"/>
      <c r="J298" s="611"/>
      <c r="K298" s="611"/>
      <c r="L298" s="611"/>
      <c r="M298" s="611"/>
    </row>
    <row r="299" spans="1:13" ht="17.399999999999999">
      <c r="A299" s="612"/>
      <c r="B299" s="598"/>
      <c r="C299" s="611"/>
      <c r="D299" s="611"/>
      <c r="E299" s="611"/>
      <c r="F299" s="611"/>
      <c r="G299" s="611"/>
      <c r="H299" s="611"/>
      <c r="I299" s="611"/>
      <c r="J299" s="611"/>
      <c r="K299" s="611"/>
      <c r="L299" s="611"/>
      <c r="M299" s="611"/>
    </row>
    <row r="300" spans="1:13" ht="17.399999999999999">
      <c r="A300" s="612"/>
      <c r="B300" s="598"/>
      <c r="C300" s="611"/>
      <c r="D300" s="611"/>
      <c r="E300" s="611"/>
      <c r="F300" s="611"/>
      <c r="G300" s="611"/>
      <c r="H300" s="611"/>
      <c r="I300" s="611"/>
      <c r="J300" s="611"/>
      <c r="K300" s="611"/>
      <c r="L300" s="611"/>
      <c r="M300" s="611"/>
    </row>
    <row r="301" spans="1:13" ht="17.399999999999999">
      <c r="A301" s="612"/>
      <c r="B301" s="598"/>
      <c r="C301" s="611"/>
      <c r="D301" s="611"/>
      <c r="E301" s="611"/>
      <c r="F301" s="611"/>
      <c r="G301" s="611"/>
      <c r="H301" s="611"/>
      <c r="I301" s="611"/>
      <c r="J301" s="611"/>
      <c r="K301" s="611"/>
      <c r="L301" s="611"/>
      <c r="M301" s="611"/>
    </row>
    <row r="302" spans="1:13" ht="17.399999999999999">
      <c r="A302" s="612"/>
      <c r="B302" s="598"/>
      <c r="C302" s="611"/>
      <c r="D302" s="611"/>
      <c r="E302" s="611"/>
      <c r="F302" s="611"/>
      <c r="G302" s="611"/>
      <c r="H302" s="611"/>
      <c r="I302" s="611"/>
      <c r="J302" s="611"/>
      <c r="K302" s="611"/>
      <c r="L302" s="611"/>
      <c r="M302" s="611"/>
    </row>
    <row r="303" spans="1:13" ht="17.399999999999999">
      <c r="A303" s="612"/>
      <c r="B303" s="598"/>
      <c r="C303" s="611"/>
      <c r="D303" s="611"/>
      <c r="E303" s="611"/>
      <c r="F303" s="611"/>
      <c r="G303" s="611"/>
      <c r="H303" s="611"/>
      <c r="I303" s="611"/>
      <c r="J303" s="611"/>
      <c r="K303" s="611"/>
      <c r="L303" s="611"/>
      <c r="M303" s="611"/>
    </row>
    <row r="304" spans="1:13" ht="17.399999999999999">
      <c r="A304" s="612"/>
      <c r="B304" s="598"/>
      <c r="C304" s="611"/>
      <c r="D304" s="611"/>
      <c r="E304" s="611"/>
      <c r="F304" s="611"/>
      <c r="G304" s="611"/>
      <c r="H304" s="611"/>
      <c r="I304" s="611"/>
      <c r="J304" s="611"/>
      <c r="K304" s="611"/>
      <c r="L304" s="611"/>
      <c r="M304" s="611"/>
    </row>
    <row r="306" spans="1:20" ht="17.399999999999999">
      <c r="C306" s="590" t="s">
        <v>227</v>
      </c>
      <c r="D306" s="591"/>
      <c r="E306" s="591"/>
      <c r="F306" s="591"/>
      <c r="G306" s="591"/>
      <c r="H306" s="591"/>
      <c r="I306" s="592"/>
      <c r="J306" s="592"/>
      <c r="K306" s="592"/>
      <c r="L306" s="592"/>
      <c r="M306" s="591"/>
      <c r="N306" s="594" t="str">
        <f>G83</f>
        <v>2029-30</v>
      </c>
      <c r="O306" s="592"/>
    </row>
    <row r="307" spans="1:20" ht="17.399999999999999">
      <c r="C307" s="590" t="s">
        <v>240</v>
      </c>
      <c r="D307" s="591"/>
      <c r="E307" s="591"/>
      <c r="F307" s="591"/>
      <c r="G307" s="591"/>
      <c r="H307" s="591"/>
      <c r="I307" s="591"/>
      <c r="J307" s="591"/>
      <c r="K307" s="591"/>
      <c r="L307" s="591"/>
      <c r="M307" s="592"/>
      <c r="N307" s="592"/>
      <c r="O307" s="592"/>
    </row>
    <row r="308" spans="1:20" ht="17.399999999999999">
      <c r="C308" s="591"/>
      <c r="D308" s="594">
        <f>C113</f>
        <v>0</v>
      </c>
      <c r="E308" s="591"/>
      <c r="F308" s="591"/>
      <c r="G308" s="591"/>
      <c r="H308" s="591"/>
      <c r="I308" s="591"/>
      <c r="J308" s="591"/>
      <c r="K308" s="591"/>
      <c r="L308" s="591"/>
      <c r="M308" s="592"/>
      <c r="N308" s="592"/>
      <c r="O308" s="592"/>
    </row>
    <row r="310" spans="1:20" ht="17.399999999999999">
      <c r="A310" s="543" t="s">
        <v>24</v>
      </c>
      <c r="B310" s="813" t="s">
        <v>25</v>
      </c>
      <c r="C310" s="813"/>
      <c r="D310" s="813"/>
      <c r="E310" s="813"/>
      <c r="F310" s="813"/>
      <c r="G310" s="813"/>
      <c r="H310" s="813"/>
      <c r="I310" s="813"/>
      <c r="J310" s="813"/>
      <c r="K310" s="544"/>
      <c r="L310" s="557" t="s">
        <v>241</v>
      </c>
      <c r="M310" s="557"/>
      <c r="N310" s="557"/>
      <c r="O310" s="557"/>
      <c r="P310" s="813" t="s">
        <v>242</v>
      </c>
      <c r="Q310" s="813"/>
      <c r="R310" s="813"/>
      <c r="S310" s="595"/>
      <c r="T310" s="546" t="s">
        <v>243</v>
      </c>
    </row>
    <row r="311" spans="1:20" ht="17.399999999999999">
      <c r="A311" s="596"/>
      <c r="B311" s="550" t="s">
        <v>289</v>
      </c>
      <c r="C311" s="550" t="s">
        <v>357</v>
      </c>
      <c r="D311" s="550" t="s">
        <v>358</v>
      </c>
      <c r="E311" s="550" t="s">
        <v>359</v>
      </c>
      <c r="F311" s="550" t="s">
        <v>360</v>
      </c>
      <c r="G311" s="550" t="s">
        <v>370</v>
      </c>
      <c r="H311" s="550" t="s">
        <v>356</v>
      </c>
      <c r="I311" s="550" t="s">
        <v>361</v>
      </c>
      <c r="J311" s="550" t="s">
        <v>362</v>
      </c>
      <c r="K311" s="550" t="s">
        <v>406</v>
      </c>
      <c r="L311" s="550" t="s">
        <v>363</v>
      </c>
      <c r="M311" s="550" t="s">
        <v>36</v>
      </c>
      <c r="N311" s="550" t="s">
        <v>86</v>
      </c>
      <c r="O311" s="550" t="s">
        <v>99</v>
      </c>
      <c r="P311" s="550" t="s">
        <v>346</v>
      </c>
      <c r="Q311" s="550" t="s">
        <v>90</v>
      </c>
      <c r="R311" s="550" t="s">
        <v>103</v>
      </c>
      <c r="S311" s="550" t="s">
        <v>343</v>
      </c>
      <c r="T311" s="597"/>
    </row>
    <row r="312" spans="1:20" ht="17.399999999999999">
      <c r="A312" s="598"/>
      <c r="B312" s="598"/>
      <c r="C312" s="598"/>
      <c r="D312" s="598"/>
      <c r="E312" s="598"/>
      <c r="F312" s="598"/>
      <c r="G312" s="598"/>
      <c r="H312" s="598"/>
      <c r="I312" s="598"/>
      <c r="J312" s="598"/>
      <c r="K312" s="598"/>
      <c r="L312" s="598"/>
      <c r="M312" s="598"/>
      <c r="N312" s="598"/>
      <c r="O312" s="598"/>
      <c r="P312" s="598"/>
      <c r="Q312" s="598"/>
      <c r="R312" s="598"/>
      <c r="S312" s="598"/>
      <c r="T312" s="598"/>
    </row>
    <row r="313" spans="1:20" ht="17.399999999999999">
      <c r="A313" s="599" t="s">
        <v>391</v>
      </c>
      <c r="B313" s="600">
        <f t="shared" ref="B313:J313" si="77">ROUND(B200/(SUM($B$200:$J$200))*($T$313),0)</f>
        <v>102</v>
      </c>
      <c r="C313" s="600">
        <f t="shared" si="77"/>
        <v>76</v>
      </c>
      <c r="D313" s="600">
        <f t="shared" si="77"/>
        <v>96</v>
      </c>
      <c r="E313" s="600">
        <f t="shared" si="77"/>
        <v>88</v>
      </c>
      <c r="F313" s="600">
        <f t="shared" si="77"/>
        <v>103</v>
      </c>
      <c r="G313" s="600">
        <f t="shared" si="77"/>
        <v>92</v>
      </c>
      <c r="H313" s="600">
        <f t="shared" si="77"/>
        <v>100</v>
      </c>
      <c r="I313" s="600">
        <f t="shared" si="77"/>
        <v>78</v>
      </c>
      <c r="J313" s="600">
        <f t="shared" si="77"/>
        <v>103</v>
      </c>
      <c r="K313" s="600" t="e">
        <f>ROUND(#REF!/(SUM($B$200:$J$200))*($T$313),0)</f>
        <v>#REF!</v>
      </c>
      <c r="L313" s="600"/>
      <c r="M313" s="600"/>
      <c r="N313" s="600"/>
      <c r="O313" s="600"/>
      <c r="P313" s="600"/>
      <c r="Q313" s="600"/>
      <c r="R313" s="600"/>
      <c r="S313" s="600"/>
      <c r="T313" s="600">
        <f t="shared" ref="T313:T326" si="78">G87</f>
        <v>838</v>
      </c>
    </row>
    <row r="314" spans="1:20" ht="17.399999999999999">
      <c r="A314" s="599">
        <v>1</v>
      </c>
      <c r="B314" s="600">
        <f t="shared" ref="B314:I318" si="79">ROUND((B185/$S185)*($T314),0)</f>
        <v>107</v>
      </c>
      <c r="C314" s="600">
        <f t="shared" si="79"/>
        <v>80</v>
      </c>
      <c r="D314" s="600">
        <f t="shared" si="79"/>
        <v>101</v>
      </c>
      <c r="E314" s="600">
        <f t="shared" si="79"/>
        <v>92</v>
      </c>
      <c r="F314" s="600">
        <f t="shared" si="79"/>
        <v>109</v>
      </c>
      <c r="G314" s="600">
        <f t="shared" si="79"/>
        <v>99</v>
      </c>
      <c r="H314" s="600">
        <f t="shared" si="79"/>
        <v>109</v>
      </c>
      <c r="I314" s="600">
        <f t="shared" si="79"/>
        <v>82</v>
      </c>
      <c r="J314" s="600" t="e">
        <f>T314-(SUM(B314:I314,K314))</f>
        <v>#REF!</v>
      </c>
      <c r="K314" s="600" t="e">
        <f>ROUND((#REF!/$S185)*($T314),0)</f>
        <v>#REF!</v>
      </c>
      <c r="L314" s="600"/>
      <c r="M314" s="600"/>
      <c r="N314" s="600"/>
      <c r="O314" s="600"/>
      <c r="P314" s="600"/>
      <c r="Q314" s="600"/>
      <c r="R314" s="600"/>
      <c r="S314" s="600"/>
      <c r="T314" s="600">
        <f t="shared" si="78"/>
        <v>889</v>
      </c>
    </row>
    <row r="315" spans="1:20" ht="17.399999999999999">
      <c r="A315" s="599">
        <v>2</v>
      </c>
      <c r="B315" s="600">
        <f t="shared" si="79"/>
        <v>110</v>
      </c>
      <c r="C315" s="600">
        <f t="shared" si="79"/>
        <v>80</v>
      </c>
      <c r="D315" s="600">
        <f t="shared" si="79"/>
        <v>98</v>
      </c>
      <c r="E315" s="600">
        <f t="shared" si="79"/>
        <v>93</v>
      </c>
      <c r="F315" s="600">
        <f t="shared" si="79"/>
        <v>108</v>
      </c>
      <c r="G315" s="600">
        <f t="shared" si="79"/>
        <v>96</v>
      </c>
      <c r="H315" s="600">
        <f t="shared" si="79"/>
        <v>107</v>
      </c>
      <c r="I315" s="600">
        <f t="shared" si="79"/>
        <v>83</v>
      </c>
      <c r="J315" s="600" t="e">
        <f>T315-(SUM(B315:I315,K315))</f>
        <v>#REF!</v>
      </c>
      <c r="K315" s="600" t="e">
        <f>ROUND((#REF!/$S186)*($T315),0)</f>
        <v>#REF!</v>
      </c>
      <c r="L315" s="600"/>
      <c r="M315" s="600"/>
      <c r="N315" s="600"/>
      <c r="O315" s="600"/>
      <c r="P315" s="600"/>
      <c r="Q315" s="600"/>
      <c r="R315" s="600"/>
      <c r="S315" s="600"/>
      <c r="T315" s="600">
        <f t="shared" si="78"/>
        <v>881</v>
      </c>
    </row>
    <row r="316" spans="1:20" ht="17.399999999999999">
      <c r="A316" s="599">
        <v>3</v>
      </c>
      <c r="B316" s="600">
        <f t="shared" si="79"/>
        <v>115</v>
      </c>
      <c r="C316" s="600">
        <f t="shared" si="79"/>
        <v>84</v>
      </c>
      <c r="D316" s="600">
        <f t="shared" si="79"/>
        <v>102</v>
      </c>
      <c r="E316" s="600">
        <f t="shared" si="79"/>
        <v>99</v>
      </c>
      <c r="F316" s="600">
        <f t="shared" si="79"/>
        <v>114</v>
      </c>
      <c r="G316" s="600">
        <f t="shared" si="79"/>
        <v>103</v>
      </c>
      <c r="H316" s="600">
        <f t="shared" si="79"/>
        <v>112</v>
      </c>
      <c r="I316" s="600">
        <f t="shared" si="79"/>
        <v>83</v>
      </c>
      <c r="J316" s="600" t="e">
        <f>T316-(SUM(B316:I316,K316))</f>
        <v>#REF!</v>
      </c>
      <c r="K316" s="600" t="e">
        <f>ROUND((#REF!/$S187)*($T316),0)</f>
        <v>#REF!</v>
      </c>
      <c r="L316" s="600"/>
      <c r="M316" s="600"/>
      <c r="N316" s="600"/>
      <c r="O316" s="600"/>
      <c r="P316" s="600"/>
      <c r="Q316" s="600"/>
      <c r="R316" s="600"/>
      <c r="S316" s="600"/>
      <c r="T316" s="600">
        <f t="shared" si="78"/>
        <v>924</v>
      </c>
    </row>
    <row r="317" spans="1:20" ht="17.399999999999999">
      <c r="A317" s="598" t="s">
        <v>41</v>
      </c>
      <c r="B317" s="600">
        <f t="shared" si="79"/>
        <v>95</v>
      </c>
      <c r="C317" s="600">
        <f t="shared" si="79"/>
        <v>70</v>
      </c>
      <c r="D317" s="600">
        <f t="shared" si="79"/>
        <v>97</v>
      </c>
      <c r="E317" s="600">
        <f t="shared" si="79"/>
        <v>78</v>
      </c>
      <c r="F317" s="600">
        <f t="shared" si="79"/>
        <v>101</v>
      </c>
      <c r="G317" s="600">
        <f t="shared" si="79"/>
        <v>90</v>
      </c>
      <c r="H317" s="600">
        <f t="shared" si="79"/>
        <v>90</v>
      </c>
      <c r="I317" s="600">
        <f t="shared" si="79"/>
        <v>83</v>
      </c>
      <c r="J317" s="600" t="e">
        <f>T317-(SUM(B317:I317,K317))</f>
        <v>#REF!</v>
      </c>
      <c r="K317" s="600" t="e">
        <f>ROUND((#REF!/$S188)*($T317),0)</f>
        <v>#REF!</v>
      </c>
      <c r="L317" s="600"/>
      <c r="M317" s="600"/>
      <c r="N317" s="600"/>
      <c r="O317" s="600"/>
      <c r="P317" s="600"/>
      <c r="Q317" s="600"/>
      <c r="R317" s="600"/>
      <c r="S317" s="600"/>
      <c r="T317" s="600">
        <f t="shared" si="78"/>
        <v>820</v>
      </c>
    </row>
    <row r="318" spans="1:20" ht="17.399999999999999">
      <c r="A318" s="598" t="s">
        <v>42</v>
      </c>
      <c r="B318" s="600">
        <f t="shared" si="79"/>
        <v>94</v>
      </c>
      <c r="C318" s="600">
        <f t="shared" si="79"/>
        <v>76</v>
      </c>
      <c r="D318" s="600">
        <f t="shared" si="79"/>
        <v>97</v>
      </c>
      <c r="E318" s="600">
        <f t="shared" si="79"/>
        <v>83</v>
      </c>
      <c r="F318" s="600">
        <f t="shared" si="79"/>
        <v>96</v>
      </c>
      <c r="G318" s="600">
        <f t="shared" si="79"/>
        <v>99</v>
      </c>
      <c r="H318" s="600">
        <f t="shared" si="79"/>
        <v>101</v>
      </c>
      <c r="I318" s="600">
        <f t="shared" si="79"/>
        <v>80</v>
      </c>
      <c r="J318" s="600" t="e">
        <f>T318-(SUM(B318:I318,K318))</f>
        <v>#REF!</v>
      </c>
      <c r="K318" s="600" t="e">
        <f>ROUND((#REF!/$S189)*($T318),0)</f>
        <v>#REF!</v>
      </c>
      <c r="L318" s="600"/>
      <c r="M318" s="600"/>
      <c r="N318" s="600"/>
      <c r="O318" s="600"/>
      <c r="P318" s="600"/>
      <c r="Q318" s="600"/>
      <c r="R318" s="600"/>
      <c r="S318" s="600"/>
      <c r="T318" s="600">
        <f t="shared" si="78"/>
        <v>819</v>
      </c>
    </row>
    <row r="319" spans="1:20" ht="17.399999999999999">
      <c r="A319" s="598" t="s">
        <v>43</v>
      </c>
      <c r="B319" s="598"/>
      <c r="C319" s="600"/>
      <c r="D319" s="600"/>
      <c r="E319" s="600"/>
      <c r="F319" s="600"/>
      <c r="G319" s="600"/>
      <c r="H319" s="600"/>
      <c r="I319" s="600"/>
      <c r="J319" s="600"/>
      <c r="K319" s="600"/>
      <c r="L319" s="610">
        <f>ROUND((ENRHIST!N1013)/($S190)*$T319,0)+22</f>
        <v>216</v>
      </c>
      <c r="M319" s="610">
        <f>ROUND((ENRHIST!O1013)/($S190)*$T319,0)+23</f>
        <v>267</v>
      </c>
      <c r="N319" s="610">
        <f>ROUND((ENRHIST!P1013)/($S190)*$T319,0)+23</f>
        <v>256</v>
      </c>
      <c r="O319" s="610">
        <f>ROUND((ENRHIST!Q1013)/($S190)*$T319,0)+23</f>
        <v>243</v>
      </c>
      <c r="P319" s="600"/>
      <c r="Q319" s="600"/>
      <c r="R319" s="600"/>
      <c r="S319" s="666">
        <f>T319-L319-M319-N319-O319</f>
        <v>-67</v>
      </c>
      <c r="T319" s="600">
        <f t="shared" si="78"/>
        <v>915</v>
      </c>
    </row>
    <row r="320" spans="1:20" ht="17.399999999999999">
      <c r="A320" s="598" t="s">
        <v>44</v>
      </c>
      <c r="B320" s="598"/>
      <c r="C320" s="600"/>
      <c r="D320" s="600"/>
      <c r="E320" s="600"/>
      <c r="F320" s="600"/>
      <c r="G320" s="600"/>
      <c r="H320" s="600"/>
      <c r="I320" s="600"/>
      <c r="J320" s="600"/>
      <c r="K320" s="600"/>
      <c r="L320" s="610">
        <f t="shared" ref="L320:O321" si="80">ROUND((K191/$S191)*$T320,0)</f>
        <v>211</v>
      </c>
      <c r="M320" s="610">
        <f t="shared" si="80"/>
        <v>265</v>
      </c>
      <c r="N320" s="610">
        <f t="shared" si="80"/>
        <v>254</v>
      </c>
      <c r="O320" s="610">
        <f t="shared" si="80"/>
        <v>240</v>
      </c>
      <c r="P320" s="600"/>
      <c r="Q320" s="600"/>
      <c r="R320" s="600"/>
      <c r="S320" s="666">
        <f>T320-L320-M320-N320-O320</f>
        <v>9</v>
      </c>
      <c r="T320" s="600">
        <f t="shared" si="78"/>
        <v>979</v>
      </c>
    </row>
    <row r="321" spans="1:21" ht="17.399999999999999">
      <c r="A321" s="598" t="s">
        <v>45</v>
      </c>
      <c r="B321" s="598"/>
      <c r="C321" s="600"/>
      <c r="D321" s="600"/>
      <c r="E321" s="600"/>
      <c r="F321" s="600"/>
      <c r="G321" s="600"/>
      <c r="H321" s="600"/>
      <c r="I321" s="600"/>
      <c r="J321" s="600"/>
      <c r="K321" s="600"/>
      <c r="L321" s="610">
        <f t="shared" si="80"/>
        <v>207</v>
      </c>
      <c r="M321" s="610">
        <f t="shared" si="80"/>
        <v>259</v>
      </c>
      <c r="N321" s="610">
        <f t="shared" si="80"/>
        <v>252</v>
      </c>
      <c r="O321" s="610">
        <f t="shared" si="80"/>
        <v>235</v>
      </c>
      <c r="P321" s="600"/>
      <c r="Q321" s="600"/>
      <c r="R321" s="600"/>
      <c r="S321" s="666">
        <f>T321-L321-M321-N321-O321</f>
        <v>6</v>
      </c>
      <c r="T321" s="600">
        <f t="shared" si="78"/>
        <v>959</v>
      </c>
    </row>
    <row r="322" spans="1:21" ht="17.399999999999999">
      <c r="A322" s="598" t="s">
        <v>46</v>
      </c>
      <c r="B322" s="598"/>
      <c r="C322" s="600"/>
      <c r="D322" s="600"/>
      <c r="E322" s="600"/>
      <c r="F322" s="600"/>
      <c r="G322" s="600"/>
      <c r="H322" s="600"/>
      <c r="I322" s="600"/>
      <c r="J322" s="600"/>
      <c r="K322" s="600"/>
      <c r="L322" s="600"/>
      <c r="M322" s="600"/>
      <c r="N322" s="600"/>
      <c r="O322" s="600"/>
      <c r="P322" s="610">
        <f>ROUND((ENRHIST!N1176/$S193)*$T322,0)+20</f>
        <v>304</v>
      </c>
      <c r="Q322" s="610">
        <f>ROUND((ENRHIST!O1176/$S193)*$T322,0)+20</f>
        <v>427</v>
      </c>
      <c r="R322" s="610">
        <f>ROUND((ENRHIST!P1176/$S193)*$T322,0)+20</f>
        <v>302</v>
      </c>
      <c r="S322" s="610">
        <f>T322-R322-Q322-P322</f>
        <v>-14</v>
      </c>
      <c r="T322" s="600">
        <f t="shared" si="78"/>
        <v>1019</v>
      </c>
    </row>
    <row r="323" spans="1:21" ht="17.399999999999999">
      <c r="A323" s="598" t="s">
        <v>47</v>
      </c>
      <c r="B323" s="598"/>
      <c r="C323" s="600"/>
      <c r="D323" s="600"/>
      <c r="E323" s="600"/>
      <c r="F323" s="600"/>
      <c r="G323" s="600"/>
      <c r="H323" s="600"/>
      <c r="I323" s="600"/>
      <c r="J323" s="600"/>
      <c r="K323" s="600"/>
      <c r="L323" s="600"/>
      <c r="M323" s="600"/>
      <c r="N323" s="600"/>
      <c r="O323" s="600"/>
      <c r="P323" s="610">
        <f>ROUND((O194/$S194)*$T323,0)+8</f>
        <v>273</v>
      </c>
      <c r="Q323" s="610">
        <f>ROUND((P194/$S194)*$T323,0)+10</f>
        <v>403</v>
      </c>
      <c r="R323" s="610">
        <f>ROUND((Q194/$S194)*$T323,0)+5</f>
        <v>283</v>
      </c>
      <c r="S323" s="610">
        <f>T323-R323-Q323-P323</f>
        <v>21</v>
      </c>
      <c r="T323" s="600">
        <f t="shared" si="78"/>
        <v>980</v>
      </c>
    </row>
    <row r="324" spans="1:21" ht="17.399999999999999">
      <c r="A324" s="598" t="s">
        <v>48</v>
      </c>
      <c r="B324" s="598"/>
      <c r="C324" s="600"/>
      <c r="D324" s="600"/>
      <c r="E324" s="600"/>
      <c r="F324" s="600"/>
      <c r="G324" s="600"/>
      <c r="H324" s="600"/>
      <c r="I324" s="600"/>
      <c r="J324" s="600"/>
      <c r="K324" s="600"/>
      <c r="L324" s="600"/>
      <c r="M324" s="600"/>
      <c r="N324" s="600"/>
      <c r="O324" s="600"/>
      <c r="P324" s="610">
        <f>ROUND((O195/$S195)*$T324,0)</f>
        <v>260</v>
      </c>
      <c r="Q324" s="610">
        <f>ROUND((P195/$S195)*$T324,0)+10</f>
        <v>409</v>
      </c>
      <c r="R324" s="610">
        <f>ROUND((Q195/$S195)*$T324,0)</f>
        <v>290</v>
      </c>
      <c r="S324" s="610">
        <f>T324-R324-Q324-P324</f>
        <v>28</v>
      </c>
      <c r="T324" s="600">
        <f t="shared" si="78"/>
        <v>987</v>
      </c>
    </row>
    <row r="325" spans="1:21" ht="17.399999999999999">
      <c r="A325" s="598" t="s">
        <v>49</v>
      </c>
      <c r="B325" s="598"/>
      <c r="C325" s="600"/>
      <c r="D325" s="600"/>
      <c r="E325" s="600"/>
      <c r="F325" s="600"/>
      <c r="G325" s="600"/>
      <c r="H325" s="600"/>
      <c r="I325" s="600"/>
      <c r="J325" s="600"/>
      <c r="K325" s="600"/>
      <c r="L325" s="600"/>
      <c r="M325" s="600"/>
      <c r="N325" s="600"/>
      <c r="O325" s="600"/>
      <c r="P325" s="610">
        <f>ROUND((O196/$S196)*$T325,0)</f>
        <v>233</v>
      </c>
      <c r="Q325" s="610">
        <f>ROUND((P196/$S196)*$T325,0)</f>
        <v>368</v>
      </c>
      <c r="R325" s="610">
        <f>ROUND((Q196/$S196)*$T325,0)</f>
        <v>279</v>
      </c>
      <c r="S325" s="610">
        <f>T325-R325-Q325-P325</f>
        <v>13</v>
      </c>
      <c r="T325" s="600">
        <f t="shared" si="78"/>
        <v>893</v>
      </c>
    </row>
    <row r="326" spans="1:21" ht="17.399999999999999">
      <c r="A326" s="601" t="s">
        <v>50</v>
      </c>
      <c r="B326" s="600">
        <f t="shared" ref="B326:J326" si="81">ROUND((B23/$S$23)*$S$198,0)</f>
        <v>0</v>
      </c>
      <c r="C326" s="600">
        <f t="shared" si="81"/>
        <v>0</v>
      </c>
      <c r="D326" s="600">
        <f t="shared" si="81"/>
        <v>0</v>
      </c>
      <c r="E326" s="600">
        <f t="shared" si="81"/>
        <v>0</v>
      </c>
      <c r="F326" s="600">
        <f t="shared" si="81"/>
        <v>0</v>
      </c>
      <c r="G326" s="600">
        <f t="shared" si="81"/>
        <v>0</v>
      </c>
      <c r="H326" s="600">
        <f t="shared" si="81"/>
        <v>0</v>
      </c>
      <c r="I326" s="600">
        <f t="shared" si="81"/>
        <v>0</v>
      </c>
      <c r="J326" s="600">
        <f t="shared" si="81"/>
        <v>0</v>
      </c>
      <c r="K326" s="600" t="e">
        <f>ROUND((#REF!/$S$23)*$S$198,0)</f>
        <v>#REF!</v>
      </c>
      <c r="L326" s="600">
        <f t="shared" ref="L326:R326" si="82">ROUND((K23/$S$23)*$S$198,0)</f>
        <v>0</v>
      </c>
      <c r="M326" s="600">
        <f t="shared" si="82"/>
        <v>0</v>
      </c>
      <c r="N326" s="600">
        <f t="shared" si="82"/>
        <v>0</v>
      </c>
      <c r="O326" s="600">
        <f t="shared" si="82"/>
        <v>0</v>
      </c>
      <c r="P326" s="600">
        <f t="shared" si="82"/>
        <v>6</v>
      </c>
      <c r="Q326" s="600">
        <f t="shared" si="82"/>
        <v>9</v>
      </c>
      <c r="R326" s="600">
        <f t="shared" si="82"/>
        <v>7</v>
      </c>
      <c r="S326" s="600"/>
      <c r="T326" s="600">
        <f t="shared" si="78"/>
        <v>22</v>
      </c>
    </row>
    <row r="327" spans="1:21" ht="17.399999999999999">
      <c r="A327" s="602"/>
      <c r="B327" s="603"/>
      <c r="C327" s="604"/>
      <c r="D327" s="604"/>
      <c r="E327" s="604"/>
      <c r="F327" s="604"/>
      <c r="G327" s="604"/>
      <c r="H327" s="604"/>
      <c r="I327" s="604"/>
      <c r="J327" s="604"/>
      <c r="K327" s="604"/>
      <c r="L327" s="604"/>
      <c r="M327" s="604"/>
      <c r="N327" s="604"/>
      <c r="O327" s="604"/>
      <c r="P327" s="604"/>
      <c r="Q327" s="604"/>
      <c r="R327" s="604"/>
      <c r="S327" s="604"/>
      <c r="T327" s="605"/>
    </row>
    <row r="328" spans="1:21" ht="17.399999999999999">
      <c r="A328" s="606" t="s">
        <v>51</v>
      </c>
      <c r="B328" s="607">
        <f t="shared" ref="B328:R328" si="83">SUM(B313:B326)</f>
        <v>623</v>
      </c>
      <c r="C328" s="607">
        <f t="shared" si="83"/>
        <v>466</v>
      </c>
      <c r="D328" s="607">
        <f t="shared" si="83"/>
        <v>591</v>
      </c>
      <c r="E328" s="607">
        <f t="shared" si="83"/>
        <v>533</v>
      </c>
      <c r="F328" s="607">
        <f t="shared" si="83"/>
        <v>631</v>
      </c>
      <c r="G328" s="607">
        <f t="shared" si="83"/>
        <v>579</v>
      </c>
      <c r="H328" s="607">
        <f t="shared" si="83"/>
        <v>619</v>
      </c>
      <c r="I328" s="607">
        <f t="shared" si="83"/>
        <v>489</v>
      </c>
      <c r="J328" s="607" t="e">
        <f t="shared" si="83"/>
        <v>#REF!</v>
      </c>
      <c r="K328" s="607" t="e">
        <f t="shared" si="83"/>
        <v>#REF!</v>
      </c>
      <c r="L328" s="607">
        <f t="shared" si="83"/>
        <v>634</v>
      </c>
      <c r="M328" s="607">
        <f t="shared" si="83"/>
        <v>791</v>
      </c>
      <c r="N328" s="607">
        <f t="shared" si="83"/>
        <v>762</v>
      </c>
      <c r="O328" s="607">
        <f t="shared" si="83"/>
        <v>718</v>
      </c>
      <c r="P328" s="607">
        <f t="shared" si="83"/>
        <v>1076</v>
      </c>
      <c r="Q328" s="607">
        <f t="shared" si="83"/>
        <v>1616</v>
      </c>
      <c r="R328" s="607">
        <f t="shared" si="83"/>
        <v>1161</v>
      </c>
      <c r="S328" s="607">
        <f>SUM(S313:S326)</f>
        <v>-4</v>
      </c>
      <c r="T328" s="755">
        <f>G103</f>
        <v>11925</v>
      </c>
      <c r="U328" s="609"/>
    </row>
    <row r="329" spans="1:21" ht="17.399999999999999">
      <c r="A329" s="598"/>
      <c r="B329" s="598"/>
      <c r="C329" s="600"/>
      <c r="D329" s="600"/>
      <c r="E329" s="600"/>
      <c r="F329" s="600"/>
      <c r="G329" s="600"/>
      <c r="H329" s="600"/>
      <c r="I329" s="600"/>
      <c r="J329" s="600"/>
      <c r="K329" s="600"/>
      <c r="L329" s="600"/>
      <c r="M329" s="600"/>
      <c r="N329" s="600"/>
      <c r="O329" s="600"/>
      <c r="P329" s="600"/>
      <c r="Q329" s="600"/>
      <c r="R329" s="600"/>
      <c r="S329" s="600"/>
      <c r="T329" s="600"/>
    </row>
    <row r="330" spans="1:21" ht="17.399999999999999">
      <c r="A330" s="601" t="s">
        <v>115</v>
      </c>
      <c r="B330" s="610">
        <f>B202</f>
        <v>625</v>
      </c>
      <c r="C330" s="610">
        <f t="shared" ref="C330:J330" si="84">C202</f>
        <v>575</v>
      </c>
      <c r="D330" s="610">
        <f t="shared" si="84"/>
        <v>600</v>
      </c>
      <c r="E330" s="610">
        <f t="shared" si="84"/>
        <v>725</v>
      </c>
      <c r="F330" s="610">
        <f t="shared" si="84"/>
        <v>725</v>
      </c>
      <c r="G330" s="610">
        <f t="shared" si="84"/>
        <v>625</v>
      </c>
      <c r="H330" s="610">
        <f t="shared" si="84"/>
        <v>700</v>
      </c>
      <c r="I330" s="610">
        <f t="shared" si="84"/>
        <v>593</v>
      </c>
      <c r="J330" s="610">
        <f t="shared" si="84"/>
        <v>750</v>
      </c>
      <c r="K330" s="610" t="e">
        <f>#REF!</f>
        <v>#REF!</v>
      </c>
      <c r="L330" s="610">
        <f t="shared" ref="L330:R330" si="85">K202</f>
        <v>667</v>
      </c>
      <c r="M330" s="610">
        <f t="shared" si="85"/>
        <v>864</v>
      </c>
      <c r="N330" s="610">
        <f t="shared" si="85"/>
        <v>779</v>
      </c>
      <c r="O330" s="610">
        <f t="shared" si="85"/>
        <v>756</v>
      </c>
      <c r="P330" s="610">
        <f t="shared" si="85"/>
        <v>1267</v>
      </c>
      <c r="Q330" s="610">
        <f t="shared" si="85"/>
        <v>1495</v>
      </c>
      <c r="R330" s="610">
        <f t="shared" si="85"/>
        <v>1019</v>
      </c>
      <c r="S330" s="610">
        <f>R202</f>
        <v>100</v>
      </c>
      <c r="T330" s="610" t="e">
        <f>SUM(B330:S330)</f>
        <v>#REF!</v>
      </c>
    </row>
    <row r="331" spans="1:21" ht="17.399999999999999">
      <c r="A331" s="598"/>
      <c r="B331" s="598"/>
      <c r="C331" s="600"/>
      <c r="D331" s="600"/>
      <c r="E331" s="600"/>
      <c r="F331" s="600"/>
      <c r="G331" s="600"/>
      <c r="H331" s="600"/>
      <c r="I331" s="600"/>
      <c r="J331" s="666" t="s">
        <v>408</v>
      </c>
      <c r="K331" s="600"/>
      <c r="L331" s="600"/>
      <c r="M331" s="600"/>
      <c r="N331" s="600"/>
      <c r="O331" s="600"/>
      <c r="P331" s="600"/>
      <c r="Q331" s="600"/>
      <c r="R331" s="600"/>
      <c r="S331" s="600"/>
      <c r="T331" s="600"/>
    </row>
    <row r="332" spans="1:21" ht="17.399999999999999">
      <c r="A332" s="601" t="s">
        <v>244</v>
      </c>
      <c r="B332" s="611">
        <f t="shared" ref="B332:J332" si="86">B328/B330</f>
        <v>0.99680000000000002</v>
      </c>
      <c r="C332" s="611">
        <f t="shared" si="86"/>
        <v>0.81043478260869561</v>
      </c>
      <c r="D332" s="611">
        <f t="shared" si="86"/>
        <v>0.98499999999999999</v>
      </c>
      <c r="E332" s="611">
        <f t="shared" si="86"/>
        <v>0.7351724137931035</v>
      </c>
      <c r="F332" s="611">
        <f t="shared" si="86"/>
        <v>0.8703448275862069</v>
      </c>
      <c r="G332" s="611">
        <f t="shared" si="86"/>
        <v>0.9264</v>
      </c>
      <c r="H332" s="611">
        <f t="shared" si="86"/>
        <v>0.88428571428571423</v>
      </c>
      <c r="I332" s="611">
        <f t="shared" si="86"/>
        <v>0.82462057335581784</v>
      </c>
      <c r="J332" s="611" t="e">
        <f t="shared" si="86"/>
        <v>#REF!</v>
      </c>
      <c r="K332" s="611" t="e">
        <f t="shared" ref="K332:T332" si="87">K328/K330</f>
        <v>#REF!</v>
      </c>
      <c r="L332" s="611">
        <f t="shared" si="87"/>
        <v>0.95052473763118439</v>
      </c>
      <c r="M332" s="611">
        <f t="shared" si="87"/>
        <v>0.9155092592592593</v>
      </c>
      <c r="N332" s="611">
        <f t="shared" si="87"/>
        <v>0.97817715019255458</v>
      </c>
      <c r="O332" s="611">
        <f t="shared" si="87"/>
        <v>0.94973544973544977</v>
      </c>
      <c r="P332" s="611">
        <f t="shared" si="87"/>
        <v>0.84925019731649565</v>
      </c>
      <c r="Q332" s="611">
        <f t="shared" si="87"/>
        <v>1.0809364548494984</v>
      </c>
      <c r="R332" s="611">
        <f t="shared" si="87"/>
        <v>1.1393523061825319</v>
      </c>
      <c r="S332" s="611">
        <f t="shared" si="87"/>
        <v>-0.04</v>
      </c>
      <c r="T332" s="611" t="e">
        <f t="shared" si="87"/>
        <v>#REF!</v>
      </c>
    </row>
    <row r="333" spans="1:21" ht="17.399999999999999">
      <c r="A333" s="598"/>
      <c r="B333" s="598"/>
      <c r="C333" s="600"/>
      <c r="D333" s="600"/>
      <c r="E333" s="600"/>
      <c r="F333" s="600"/>
      <c r="G333" s="600"/>
      <c r="H333" s="600"/>
      <c r="I333" s="600"/>
      <c r="J333" s="600"/>
      <c r="K333" s="600"/>
      <c r="L333" s="600"/>
      <c r="M333" s="600"/>
      <c r="N333" s="600"/>
      <c r="O333" s="600"/>
      <c r="P333" s="600"/>
      <c r="Q333" s="600"/>
    </row>
    <row r="334" spans="1:21" ht="17.399999999999999">
      <c r="C334" s="590" t="s">
        <v>227</v>
      </c>
      <c r="D334" s="591"/>
      <c r="E334" s="591"/>
      <c r="F334" s="591"/>
      <c r="G334" s="591"/>
      <c r="H334" s="591"/>
      <c r="I334" s="592"/>
      <c r="J334" s="592"/>
      <c r="K334" s="592"/>
      <c r="L334" s="592"/>
      <c r="M334" s="591"/>
      <c r="N334" s="594" t="str">
        <f>H83</f>
        <v>2030-31</v>
      </c>
      <c r="O334" s="592"/>
    </row>
    <row r="335" spans="1:21" ht="17.399999999999999">
      <c r="C335" s="590" t="s">
        <v>240</v>
      </c>
      <c r="D335" s="591"/>
      <c r="E335" s="591"/>
      <c r="F335" s="591"/>
      <c r="G335" s="591"/>
      <c r="H335" s="591"/>
      <c r="I335" s="591"/>
      <c r="J335" s="591"/>
      <c r="K335" s="591"/>
      <c r="L335" s="591"/>
      <c r="M335" s="592"/>
      <c r="N335" s="592"/>
      <c r="O335" s="592"/>
    </row>
    <row r="336" spans="1:21" ht="17.399999999999999">
      <c r="C336" s="591"/>
      <c r="D336" s="594">
        <f>C141</f>
        <v>0</v>
      </c>
      <c r="E336" s="591"/>
      <c r="F336" s="591"/>
      <c r="G336" s="591"/>
      <c r="H336" s="591"/>
      <c r="I336" s="591"/>
      <c r="J336" s="591"/>
      <c r="K336" s="591"/>
      <c r="L336" s="591"/>
      <c r="M336" s="592"/>
      <c r="N336" s="592"/>
      <c r="O336" s="592"/>
    </row>
    <row r="338" spans="1:20" ht="17.399999999999999">
      <c r="A338" s="543" t="s">
        <v>24</v>
      </c>
      <c r="B338" s="813" t="s">
        <v>25</v>
      </c>
      <c r="C338" s="813"/>
      <c r="D338" s="813"/>
      <c r="E338" s="813"/>
      <c r="F338" s="813"/>
      <c r="G338" s="813"/>
      <c r="H338" s="813"/>
      <c r="I338" s="813"/>
      <c r="J338" s="813"/>
      <c r="K338" s="544"/>
      <c r="L338" s="557" t="s">
        <v>241</v>
      </c>
      <c r="M338" s="557"/>
      <c r="N338" s="557"/>
      <c r="O338" s="557"/>
      <c r="P338" s="813" t="s">
        <v>242</v>
      </c>
      <c r="Q338" s="813"/>
      <c r="R338" s="813"/>
      <c r="S338" s="595"/>
      <c r="T338" s="546" t="s">
        <v>243</v>
      </c>
    </row>
    <row r="339" spans="1:20" ht="17.399999999999999">
      <c r="A339" s="596"/>
      <c r="B339" s="550" t="s">
        <v>289</v>
      </c>
      <c r="C339" s="550" t="s">
        <v>357</v>
      </c>
      <c r="D339" s="550" t="s">
        <v>358</v>
      </c>
      <c r="E339" s="550" t="s">
        <v>359</v>
      </c>
      <c r="F339" s="550" t="s">
        <v>360</v>
      </c>
      <c r="G339" s="550" t="s">
        <v>370</v>
      </c>
      <c r="H339" s="550" t="s">
        <v>356</v>
      </c>
      <c r="I339" s="550" t="s">
        <v>361</v>
      </c>
      <c r="J339" s="550" t="s">
        <v>362</v>
      </c>
      <c r="K339" s="550" t="s">
        <v>406</v>
      </c>
      <c r="L339" s="550" t="s">
        <v>363</v>
      </c>
      <c r="M339" s="550" t="s">
        <v>36</v>
      </c>
      <c r="N339" s="550" t="s">
        <v>86</v>
      </c>
      <c r="O339" s="550" t="s">
        <v>99</v>
      </c>
      <c r="P339" s="550" t="s">
        <v>346</v>
      </c>
      <c r="Q339" s="550" t="s">
        <v>90</v>
      </c>
      <c r="R339" s="550" t="s">
        <v>103</v>
      </c>
      <c r="S339" s="550" t="s">
        <v>343</v>
      </c>
      <c r="T339" s="597"/>
    </row>
    <row r="340" spans="1:20" ht="17.399999999999999">
      <c r="A340" s="598"/>
      <c r="B340" s="598"/>
      <c r="C340" s="598"/>
      <c r="D340" s="598"/>
      <c r="E340" s="598"/>
      <c r="F340" s="598"/>
      <c r="G340" s="598"/>
      <c r="H340" s="598"/>
      <c r="I340" s="598"/>
      <c r="J340" s="598"/>
      <c r="K340" s="598"/>
      <c r="L340" s="598"/>
      <c r="M340" s="598"/>
      <c r="N340" s="598"/>
      <c r="O340" s="598"/>
      <c r="P340" s="598"/>
      <c r="Q340" s="598"/>
      <c r="R340" s="598"/>
      <c r="S340" s="598"/>
      <c r="T340" s="598"/>
    </row>
    <row r="341" spans="1:20" ht="17.399999999999999">
      <c r="A341" s="599" t="s">
        <v>391</v>
      </c>
      <c r="B341" s="600" t="e">
        <f>ROUND(B328/(SUM($B$328:$K$328))*($T341),0)</f>
        <v>#REF!</v>
      </c>
      <c r="C341" s="600" t="e">
        <f t="shared" ref="C341:K341" si="88">ROUND(C328/(SUM($B$328:$K$328))*($T341),0)</f>
        <v>#REF!</v>
      </c>
      <c r="D341" s="600" t="e">
        <f t="shared" si="88"/>
        <v>#REF!</v>
      </c>
      <c r="E341" s="600" t="e">
        <f t="shared" si="88"/>
        <v>#REF!</v>
      </c>
      <c r="F341" s="600" t="e">
        <f>ROUND(F328/(SUM($B$328:$K$328))*($T341),0)</f>
        <v>#REF!</v>
      </c>
      <c r="G341" s="600" t="e">
        <f t="shared" si="88"/>
        <v>#REF!</v>
      </c>
      <c r="H341" s="600" t="e">
        <f t="shared" si="88"/>
        <v>#REF!</v>
      </c>
      <c r="I341" s="600" t="e">
        <f t="shared" si="88"/>
        <v>#REF!</v>
      </c>
      <c r="J341" s="600" t="e">
        <f t="shared" si="88"/>
        <v>#REF!</v>
      </c>
      <c r="K341" s="600" t="e">
        <f t="shared" si="88"/>
        <v>#REF!</v>
      </c>
      <c r="L341" s="600"/>
      <c r="M341" s="600"/>
      <c r="N341" s="600"/>
      <c r="O341" s="600"/>
      <c r="P341" s="600"/>
      <c r="Q341" s="600"/>
      <c r="R341" s="600"/>
      <c r="S341" s="600"/>
      <c r="T341" s="600">
        <f t="shared" ref="T341:T354" si="89">H87</f>
        <v>844</v>
      </c>
    </row>
    <row r="342" spans="1:20" ht="17.399999999999999">
      <c r="A342" s="599">
        <v>1</v>
      </c>
      <c r="B342" s="600">
        <f>ROUND((B313/$T313)*($T342),0)</f>
        <v>106</v>
      </c>
      <c r="C342" s="600">
        <f t="shared" ref="C342:K342" si="90">ROUND((C313/$T313)*($T342),0)</f>
        <v>79</v>
      </c>
      <c r="D342" s="600">
        <f t="shared" si="90"/>
        <v>100</v>
      </c>
      <c r="E342" s="600">
        <f t="shared" si="90"/>
        <v>91</v>
      </c>
      <c r="F342" s="600">
        <f t="shared" si="90"/>
        <v>107</v>
      </c>
      <c r="G342" s="600">
        <f t="shared" si="90"/>
        <v>96</v>
      </c>
      <c r="H342" s="600">
        <f t="shared" si="90"/>
        <v>104</v>
      </c>
      <c r="I342" s="600">
        <f t="shared" si="90"/>
        <v>81</v>
      </c>
      <c r="J342" s="600" t="e">
        <f>T342-(SUM(B342:I342,K342))</f>
        <v>#REF!</v>
      </c>
      <c r="K342" s="600" t="e">
        <f t="shared" si="90"/>
        <v>#REF!</v>
      </c>
      <c r="L342" s="600"/>
      <c r="M342" s="600"/>
      <c r="N342" s="600"/>
      <c r="O342" s="600"/>
      <c r="P342" s="600"/>
      <c r="Q342" s="600"/>
      <c r="R342" s="600"/>
      <c r="S342" s="600"/>
      <c r="T342" s="600">
        <f t="shared" si="89"/>
        <v>871</v>
      </c>
    </row>
    <row r="343" spans="1:20" ht="17.399999999999999">
      <c r="A343" s="599">
        <v>2</v>
      </c>
      <c r="B343" s="600">
        <f>ROUND((B314/$T314)*($T343),0)</f>
        <v>110</v>
      </c>
      <c r="C343" s="600">
        <f t="shared" ref="C343:I344" si="91">ROUND((C314/$T314)*($T343),0)</f>
        <v>82</v>
      </c>
      <c r="D343" s="600">
        <f t="shared" si="91"/>
        <v>104</v>
      </c>
      <c r="E343" s="600">
        <f t="shared" si="91"/>
        <v>95</v>
      </c>
      <c r="F343" s="600">
        <f t="shared" si="91"/>
        <v>112</v>
      </c>
      <c r="G343" s="600">
        <f t="shared" si="91"/>
        <v>102</v>
      </c>
      <c r="H343" s="600">
        <f t="shared" si="91"/>
        <v>112</v>
      </c>
      <c r="I343" s="600">
        <f t="shared" si="91"/>
        <v>84</v>
      </c>
      <c r="J343" s="600" t="e">
        <f>T343-(SUM(B343:I343,K343))</f>
        <v>#REF!</v>
      </c>
      <c r="K343" s="600" t="e">
        <f>ROUND((K314/$T314)*($T343),0)</f>
        <v>#REF!</v>
      </c>
      <c r="L343" s="600"/>
      <c r="M343" s="600"/>
      <c r="N343" s="600"/>
      <c r="O343" s="600"/>
      <c r="P343" s="600"/>
      <c r="Q343" s="600"/>
      <c r="R343" s="600"/>
      <c r="S343" s="600"/>
      <c r="T343" s="600">
        <f t="shared" si="89"/>
        <v>914</v>
      </c>
    </row>
    <row r="344" spans="1:20" ht="17.399999999999999">
      <c r="A344" s="599">
        <v>3</v>
      </c>
      <c r="B344" s="600">
        <f>ROUND((B315/$T315)*($T344),0)</f>
        <v>113</v>
      </c>
      <c r="C344" s="600">
        <f t="shared" si="91"/>
        <v>82</v>
      </c>
      <c r="D344" s="600">
        <f t="shared" si="91"/>
        <v>101</v>
      </c>
      <c r="E344" s="600">
        <f t="shared" si="91"/>
        <v>96</v>
      </c>
      <c r="F344" s="600">
        <f t="shared" si="91"/>
        <v>111</v>
      </c>
      <c r="G344" s="600">
        <f t="shared" si="91"/>
        <v>99</v>
      </c>
      <c r="H344" s="600">
        <f t="shared" si="91"/>
        <v>110</v>
      </c>
      <c r="I344" s="600">
        <f t="shared" si="91"/>
        <v>86</v>
      </c>
      <c r="J344" s="600" t="e">
        <f>T344-(SUM(B344:I344,K344))</f>
        <v>#REF!</v>
      </c>
      <c r="K344" s="600" t="e">
        <f>ROUND((K315/$T315)*($T344),0)</f>
        <v>#REF!</v>
      </c>
      <c r="L344" s="600"/>
      <c r="M344" s="600"/>
      <c r="N344" s="600"/>
      <c r="O344" s="600"/>
      <c r="P344" s="600"/>
      <c r="Q344" s="600"/>
      <c r="R344" s="600"/>
      <c r="S344" s="600"/>
      <c r="T344" s="600">
        <f t="shared" si="89"/>
        <v>908</v>
      </c>
    </row>
    <row r="345" spans="1:20" ht="17.399999999999999">
      <c r="A345" s="598" t="s">
        <v>41</v>
      </c>
      <c r="B345" s="600">
        <f t="shared" ref="B345:I345" si="92">ROUND((B316/$T316)*($T345),0)</f>
        <v>119</v>
      </c>
      <c r="C345" s="600">
        <f t="shared" si="92"/>
        <v>87</v>
      </c>
      <c r="D345" s="600">
        <f t="shared" si="92"/>
        <v>105</v>
      </c>
      <c r="E345" s="600">
        <f t="shared" si="92"/>
        <v>102</v>
      </c>
      <c r="F345" s="600">
        <f t="shared" si="92"/>
        <v>118</v>
      </c>
      <c r="G345" s="600">
        <f t="shared" si="92"/>
        <v>106</v>
      </c>
      <c r="H345" s="600">
        <f t="shared" si="92"/>
        <v>116</v>
      </c>
      <c r="I345" s="600">
        <f t="shared" si="92"/>
        <v>86</v>
      </c>
      <c r="J345" s="600" t="e">
        <f>T345-(SUM(B345:I345,K345))</f>
        <v>#REF!</v>
      </c>
      <c r="K345" s="600" t="e">
        <f>ROUND((K316/$T316)*($T345),0)</f>
        <v>#REF!</v>
      </c>
      <c r="L345" s="600"/>
      <c r="M345" s="600"/>
      <c r="N345" s="600"/>
      <c r="O345" s="600"/>
      <c r="P345" s="600"/>
      <c r="Q345" s="600"/>
      <c r="R345" s="600"/>
      <c r="S345" s="600"/>
      <c r="T345" s="600">
        <f t="shared" si="89"/>
        <v>953</v>
      </c>
    </row>
    <row r="346" spans="1:20" ht="17.399999999999999">
      <c r="A346" s="598" t="s">
        <v>42</v>
      </c>
      <c r="B346" s="600">
        <f t="shared" ref="B346:I346" si="93">ROUND((B317/$T317)*($T346),0)</f>
        <v>97</v>
      </c>
      <c r="C346" s="600">
        <f t="shared" si="93"/>
        <v>71</v>
      </c>
      <c r="D346" s="600">
        <f t="shared" si="93"/>
        <v>99</v>
      </c>
      <c r="E346" s="600">
        <f t="shared" si="93"/>
        <v>80</v>
      </c>
      <c r="F346" s="600">
        <f t="shared" si="93"/>
        <v>103</v>
      </c>
      <c r="G346" s="600">
        <f t="shared" si="93"/>
        <v>92</v>
      </c>
      <c r="H346" s="600">
        <f t="shared" si="93"/>
        <v>92</v>
      </c>
      <c r="I346" s="600">
        <f t="shared" si="93"/>
        <v>85</v>
      </c>
      <c r="J346" s="600" t="e">
        <f>T346-(SUM(B346:I346,K346))</f>
        <v>#REF!</v>
      </c>
      <c r="K346" s="600" t="e">
        <f>ROUND((K317/$T317)*($T346),0)</f>
        <v>#REF!</v>
      </c>
      <c r="L346" s="600"/>
      <c r="M346" s="600"/>
      <c r="N346" s="600"/>
      <c r="O346" s="600"/>
      <c r="P346" s="600"/>
      <c r="Q346" s="600"/>
      <c r="R346" s="600"/>
      <c r="S346" s="600"/>
      <c r="T346" s="600">
        <f t="shared" si="89"/>
        <v>837</v>
      </c>
    </row>
    <row r="347" spans="1:20" ht="17.399999999999999">
      <c r="A347" s="598" t="s">
        <v>43</v>
      </c>
      <c r="B347" s="598"/>
      <c r="C347" s="600"/>
      <c r="D347" s="600"/>
      <c r="E347" s="600"/>
      <c r="F347" s="600"/>
      <c r="G347" s="600"/>
      <c r="H347" s="600"/>
      <c r="I347" s="600"/>
      <c r="J347" s="600"/>
      <c r="K347" s="600"/>
      <c r="L347" s="610">
        <f>ROUND((ENRHIST!N1013)/($T318)*$T347,0)+29</f>
        <v>223</v>
      </c>
      <c r="M347" s="610">
        <f>ROUND((ENRHIST!O1013)/($T318)*$T347,0)+30</f>
        <v>274</v>
      </c>
      <c r="N347" s="610">
        <f>ROUND((ENRHIST!P1013)/($T318)*$T347,0)+30</f>
        <v>262</v>
      </c>
      <c r="O347" s="610">
        <f>ROUND((ENRHIST!Q1013)/($T318)*$T347,0)+29</f>
        <v>249</v>
      </c>
      <c r="P347" s="600"/>
      <c r="Q347" s="600"/>
      <c r="R347" s="600"/>
      <c r="S347" s="666">
        <f>T347-L347-M347-N347-O347</f>
        <v>-152</v>
      </c>
      <c r="T347" s="600">
        <f t="shared" si="89"/>
        <v>856</v>
      </c>
    </row>
    <row r="348" spans="1:20" ht="17.399999999999999">
      <c r="A348" s="598" t="s">
        <v>44</v>
      </c>
      <c r="B348" s="598"/>
      <c r="C348" s="600"/>
      <c r="D348" s="600"/>
      <c r="E348" s="600"/>
      <c r="F348" s="600"/>
      <c r="G348" s="600"/>
      <c r="H348" s="600"/>
      <c r="I348" s="600"/>
      <c r="J348" s="600"/>
      <c r="K348" s="600"/>
      <c r="L348" s="610">
        <f t="shared" ref="L348:O349" si="94">ROUND((L319/$T319)*$T348,0)</f>
        <v>220</v>
      </c>
      <c r="M348" s="610">
        <f t="shared" si="94"/>
        <v>271</v>
      </c>
      <c r="N348" s="610">
        <f t="shared" si="94"/>
        <v>260</v>
      </c>
      <c r="O348" s="610">
        <f>ROUND((O319/$T319)*$T348,0)-1</f>
        <v>246</v>
      </c>
      <c r="P348" s="600"/>
      <c r="Q348" s="600"/>
      <c r="R348" s="600"/>
      <c r="S348" s="666">
        <f>T348-L348-M348-N348-O348</f>
        <v>-67</v>
      </c>
      <c r="T348" s="600">
        <f t="shared" si="89"/>
        <v>930</v>
      </c>
    </row>
    <row r="349" spans="1:20" ht="17.399999999999999">
      <c r="A349" s="598" t="s">
        <v>45</v>
      </c>
      <c r="B349" s="598"/>
      <c r="C349" s="600"/>
      <c r="D349" s="600"/>
      <c r="E349" s="600"/>
      <c r="F349" s="600"/>
      <c r="G349" s="600"/>
      <c r="H349" s="600"/>
      <c r="I349" s="600"/>
      <c r="J349" s="600"/>
      <c r="K349" s="600"/>
      <c r="L349" s="610">
        <f t="shared" si="94"/>
        <v>213</v>
      </c>
      <c r="M349" s="610">
        <f t="shared" si="94"/>
        <v>268</v>
      </c>
      <c r="N349" s="610">
        <f t="shared" si="94"/>
        <v>257</v>
      </c>
      <c r="O349" s="610">
        <f t="shared" si="94"/>
        <v>242</v>
      </c>
      <c r="P349" s="600"/>
      <c r="Q349" s="600"/>
      <c r="R349" s="600"/>
      <c r="S349" s="666">
        <f>T349-L349-M349-N349-O349</f>
        <v>9</v>
      </c>
      <c r="T349" s="600">
        <f t="shared" si="89"/>
        <v>989</v>
      </c>
    </row>
    <row r="350" spans="1:20" ht="17.399999999999999">
      <c r="A350" s="598" t="s">
        <v>46</v>
      </c>
      <c r="B350" s="598"/>
      <c r="C350" s="600"/>
      <c r="D350" s="600"/>
      <c r="E350" s="600"/>
      <c r="F350" s="600"/>
      <c r="G350" s="600"/>
      <c r="H350" s="600"/>
      <c r="I350" s="600"/>
      <c r="J350" s="600"/>
      <c r="K350" s="600"/>
      <c r="L350" s="600"/>
      <c r="M350" s="600"/>
      <c r="N350" s="600"/>
      <c r="O350" s="600"/>
      <c r="P350" s="610">
        <f>ROUND((ENRHIST!N1176/$T321)*$T350,0)+30</f>
        <v>314</v>
      </c>
      <c r="Q350" s="610">
        <f>ROUND((ENRHIST!O1176/$T321)*$T350,0)+30</f>
        <v>437</v>
      </c>
      <c r="R350" s="610">
        <f>ROUND((ENRHIST!P1176/$T321)*$T350,0)+30</f>
        <v>312</v>
      </c>
      <c r="S350" s="610">
        <f>T350-R350-Q350-P350</f>
        <v>-77</v>
      </c>
      <c r="T350" s="600">
        <f t="shared" si="89"/>
        <v>986</v>
      </c>
    </row>
    <row r="351" spans="1:20" ht="17.399999999999999">
      <c r="A351" s="598" t="s">
        <v>47</v>
      </c>
      <c r="B351" s="598"/>
      <c r="C351" s="600"/>
      <c r="D351" s="600"/>
      <c r="E351" s="600"/>
      <c r="F351" s="600"/>
      <c r="G351" s="600"/>
      <c r="H351" s="600"/>
      <c r="I351" s="600"/>
      <c r="J351" s="600"/>
      <c r="K351" s="600"/>
      <c r="L351" s="600"/>
      <c r="M351" s="600"/>
      <c r="N351" s="600"/>
      <c r="O351" s="600"/>
      <c r="P351" s="610">
        <f t="shared" ref="P351:R353" si="95">ROUND((P322/$T322)*$T351,0)</f>
        <v>297</v>
      </c>
      <c r="Q351" s="610">
        <f t="shared" si="95"/>
        <v>417</v>
      </c>
      <c r="R351" s="610">
        <f t="shared" si="95"/>
        <v>295</v>
      </c>
      <c r="S351" s="610">
        <f>T351-R351-Q351-P351</f>
        <v>-15</v>
      </c>
      <c r="T351" s="600">
        <f t="shared" si="89"/>
        <v>994</v>
      </c>
    </row>
    <row r="352" spans="1:20" ht="17.399999999999999">
      <c r="A352" s="598" t="s">
        <v>48</v>
      </c>
      <c r="B352" s="598"/>
      <c r="C352" s="600"/>
      <c r="D352" s="600"/>
      <c r="E352" s="600"/>
      <c r="F352" s="600"/>
      <c r="G352" s="600"/>
      <c r="H352" s="600"/>
      <c r="I352" s="600"/>
      <c r="J352" s="600"/>
      <c r="K352" s="600"/>
      <c r="L352" s="600"/>
      <c r="M352" s="600"/>
      <c r="N352" s="600"/>
      <c r="O352" s="600"/>
      <c r="P352" s="610">
        <f t="shared" si="95"/>
        <v>267</v>
      </c>
      <c r="Q352" s="610">
        <f t="shared" si="95"/>
        <v>394</v>
      </c>
      <c r="R352" s="610">
        <f t="shared" si="95"/>
        <v>277</v>
      </c>
      <c r="S352" s="610">
        <f>T352-R352-Q352-P352</f>
        <v>21</v>
      </c>
      <c r="T352" s="600">
        <f t="shared" si="89"/>
        <v>959</v>
      </c>
    </row>
    <row r="353" spans="1:20" ht="17.399999999999999">
      <c r="A353" s="598" t="s">
        <v>49</v>
      </c>
      <c r="B353" s="598"/>
      <c r="C353" s="600"/>
      <c r="D353" s="600"/>
      <c r="E353" s="600"/>
      <c r="F353" s="600"/>
      <c r="G353" s="600"/>
      <c r="H353" s="600"/>
      <c r="I353" s="600"/>
      <c r="J353" s="600"/>
      <c r="K353" s="600"/>
      <c r="L353" s="600"/>
      <c r="M353" s="600"/>
      <c r="N353" s="600"/>
      <c r="O353" s="600"/>
      <c r="P353" s="610">
        <f t="shared" si="95"/>
        <v>249</v>
      </c>
      <c r="Q353" s="610">
        <f t="shared" si="95"/>
        <v>392</v>
      </c>
      <c r="R353" s="610">
        <f t="shared" si="95"/>
        <v>278</v>
      </c>
      <c r="S353" s="610">
        <f>T353-R353-Q353-P353</f>
        <v>28</v>
      </c>
      <c r="T353" s="600">
        <f t="shared" si="89"/>
        <v>947</v>
      </c>
    </row>
    <row r="354" spans="1:20" ht="17.399999999999999">
      <c r="A354" s="601" t="s">
        <v>50</v>
      </c>
      <c r="B354" s="600">
        <f t="shared" ref="B354:J354" si="96">ROUND((B23/$S$23)*$S$198,0)</f>
        <v>0</v>
      </c>
      <c r="C354" s="600">
        <f t="shared" si="96"/>
        <v>0</v>
      </c>
      <c r="D354" s="600">
        <f t="shared" si="96"/>
        <v>0</v>
      </c>
      <c r="E354" s="600">
        <f t="shared" si="96"/>
        <v>0</v>
      </c>
      <c r="F354" s="600">
        <f t="shared" si="96"/>
        <v>0</v>
      </c>
      <c r="G354" s="600">
        <f t="shared" si="96"/>
        <v>0</v>
      </c>
      <c r="H354" s="600">
        <f t="shared" si="96"/>
        <v>0</v>
      </c>
      <c r="I354" s="600">
        <f t="shared" si="96"/>
        <v>0</v>
      </c>
      <c r="J354" s="600">
        <f t="shared" si="96"/>
        <v>0</v>
      </c>
      <c r="K354" s="600" t="e">
        <f>ROUND((#REF!/$S$23)*$S$198,0)</f>
        <v>#REF!</v>
      </c>
      <c r="L354" s="600">
        <f t="shared" ref="L354:R354" si="97">ROUND((K23/$S$23)*$S$198,0)</f>
        <v>0</v>
      </c>
      <c r="M354" s="600">
        <f t="shared" si="97"/>
        <v>0</v>
      </c>
      <c r="N354" s="600">
        <f t="shared" si="97"/>
        <v>0</v>
      </c>
      <c r="O354" s="600">
        <f t="shared" si="97"/>
        <v>0</v>
      </c>
      <c r="P354" s="600">
        <f t="shared" si="97"/>
        <v>6</v>
      </c>
      <c r="Q354" s="600">
        <f t="shared" si="97"/>
        <v>9</v>
      </c>
      <c r="R354" s="600">
        <f t="shared" si="97"/>
        <v>7</v>
      </c>
      <c r="S354" s="600"/>
      <c r="T354" s="600">
        <f t="shared" si="89"/>
        <v>22</v>
      </c>
    </row>
    <row r="355" spans="1:20" ht="17.399999999999999">
      <c r="A355" s="602"/>
      <c r="B355" s="603"/>
      <c r="C355" s="604"/>
      <c r="D355" s="604"/>
      <c r="E355" s="604"/>
      <c r="F355" s="604"/>
      <c r="G355" s="604"/>
      <c r="H355" s="604"/>
      <c r="I355" s="604"/>
      <c r="J355" s="604"/>
      <c r="K355" s="604"/>
      <c r="L355" s="604"/>
      <c r="M355" s="604"/>
      <c r="N355" s="604"/>
      <c r="O355" s="604"/>
      <c r="P355" s="604"/>
      <c r="Q355" s="604"/>
      <c r="R355" s="604"/>
      <c r="S355" s="604"/>
      <c r="T355" s="605"/>
    </row>
    <row r="356" spans="1:20" ht="17.399999999999999">
      <c r="A356" s="606" t="s">
        <v>51</v>
      </c>
      <c r="B356" s="607" t="e">
        <f t="shared" ref="B356:R356" si="98">SUM(B341:B354)</f>
        <v>#REF!</v>
      </c>
      <c r="C356" s="607" t="e">
        <f t="shared" si="98"/>
        <v>#REF!</v>
      </c>
      <c r="D356" s="607" t="e">
        <f t="shared" si="98"/>
        <v>#REF!</v>
      </c>
      <c r="E356" s="607" t="e">
        <f t="shared" si="98"/>
        <v>#REF!</v>
      </c>
      <c r="F356" s="607" t="e">
        <f t="shared" si="98"/>
        <v>#REF!</v>
      </c>
      <c r="G356" s="607" t="e">
        <f t="shared" si="98"/>
        <v>#REF!</v>
      </c>
      <c r="H356" s="607" t="e">
        <f t="shared" si="98"/>
        <v>#REF!</v>
      </c>
      <c r="I356" s="607" t="e">
        <f t="shared" si="98"/>
        <v>#REF!</v>
      </c>
      <c r="J356" s="607" t="e">
        <f t="shared" si="98"/>
        <v>#REF!</v>
      </c>
      <c r="K356" s="607" t="e">
        <f t="shared" si="98"/>
        <v>#REF!</v>
      </c>
      <c r="L356" s="607">
        <f t="shared" si="98"/>
        <v>656</v>
      </c>
      <c r="M356" s="607">
        <f t="shared" si="98"/>
        <v>813</v>
      </c>
      <c r="N356" s="607">
        <f t="shared" si="98"/>
        <v>779</v>
      </c>
      <c r="O356" s="607">
        <f t="shared" si="98"/>
        <v>737</v>
      </c>
      <c r="P356" s="607">
        <f t="shared" si="98"/>
        <v>1133</v>
      </c>
      <c r="Q356" s="607">
        <f t="shared" si="98"/>
        <v>1649</v>
      </c>
      <c r="R356" s="607">
        <f t="shared" si="98"/>
        <v>1169</v>
      </c>
      <c r="S356" s="607">
        <f>SUM(S341:S354)</f>
        <v>-253</v>
      </c>
      <c r="T356" s="755">
        <f>H103</f>
        <v>12010</v>
      </c>
    </row>
    <row r="357" spans="1:20" ht="17.399999999999999">
      <c r="A357" s="598"/>
      <c r="B357" s="598"/>
      <c r="C357" s="600"/>
      <c r="D357" s="600"/>
      <c r="E357" s="600"/>
      <c r="F357" s="600"/>
      <c r="G357" s="600"/>
      <c r="H357" s="600"/>
      <c r="I357" s="600"/>
      <c r="J357" s="600"/>
      <c r="K357" s="600"/>
      <c r="L357" s="600"/>
      <c r="M357" s="600"/>
      <c r="N357" s="600"/>
      <c r="O357" s="600"/>
      <c r="P357" s="600"/>
      <c r="Q357" s="600"/>
      <c r="R357" s="600"/>
      <c r="S357" s="600"/>
      <c r="T357" s="600"/>
    </row>
    <row r="358" spans="1:20" ht="17.399999999999999">
      <c r="A358" s="601" t="s">
        <v>115</v>
      </c>
      <c r="B358" s="610">
        <v>600</v>
      </c>
      <c r="C358" s="610">
        <v>602</v>
      </c>
      <c r="D358" s="610">
        <v>529</v>
      </c>
      <c r="E358" s="610">
        <v>700</v>
      </c>
      <c r="F358" s="610">
        <v>700</v>
      </c>
      <c r="G358" s="610">
        <v>600</v>
      </c>
      <c r="H358" s="610">
        <v>625</v>
      </c>
      <c r="I358" s="610">
        <v>610</v>
      </c>
      <c r="J358" s="610">
        <v>462</v>
      </c>
      <c r="K358" s="610">
        <v>700</v>
      </c>
      <c r="L358" s="610">
        <f t="shared" ref="L358:S358" si="99">L328</f>
        <v>634</v>
      </c>
      <c r="M358" s="610">
        <f t="shared" si="99"/>
        <v>791</v>
      </c>
      <c r="N358" s="610">
        <f t="shared" si="99"/>
        <v>762</v>
      </c>
      <c r="O358" s="610">
        <f t="shared" si="99"/>
        <v>718</v>
      </c>
      <c r="P358" s="610">
        <f t="shared" si="99"/>
        <v>1076</v>
      </c>
      <c r="Q358" s="610">
        <f t="shared" si="99"/>
        <v>1616</v>
      </c>
      <c r="R358" s="610">
        <f t="shared" si="99"/>
        <v>1161</v>
      </c>
      <c r="S358" s="610">
        <f t="shared" si="99"/>
        <v>-4</v>
      </c>
      <c r="T358" s="610">
        <f>SUM(B358:S358)</f>
        <v>12882</v>
      </c>
    </row>
    <row r="359" spans="1:20" ht="17.399999999999999">
      <c r="A359" s="598"/>
      <c r="B359" s="598"/>
      <c r="C359" s="600"/>
      <c r="D359" s="600"/>
      <c r="E359" s="600"/>
      <c r="F359" s="600"/>
      <c r="G359" s="600"/>
      <c r="H359" s="600"/>
      <c r="I359" s="600"/>
      <c r="J359" s="666" t="s">
        <v>408</v>
      </c>
      <c r="K359" s="600"/>
      <c r="L359" s="600"/>
      <c r="M359" s="600"/>
      <c r="N359" s="600"/>
      <c r="O359" s="600"/>
      <c r="P359" s="600"/>
      <c r="Q359" s="600"/>
      <c r="R359" s="600"/>
      <c r="S359" s="600"/>
      <c r="T359" s="600"/>
    </row>
    <row r="360" spans="1:20" ht="17.399999999999999">
      <c r="A360" s="601" t="s">
        <v>244</v>
      </c>
      <c r="B360" s="611" t="e">
        <f t="shared" ref="B360:J360" si="100">B356/B358</f>
        <v>#REF!</v>
      </c>
      <c r="C360" s="611" t="e">
        <f t="shared" si="100"/>
        <v>#REF!</v>
      </c>
      <c r="D360" s="611" t="e">
        <f t="shared" si="100"/>
        <v>#REF!</v>
      </c>
      <c r="E360" s="611" t="e">
        <f t="shared" si="100"/>
        <v>#REF!</v>
      </c>
      <c r="F360" s="611" t="e">
        <f t="shared" si="100"/>
        <v>#REF!</v>
      </c>
      <c r="G360" s="611" t="e">
        <f t="shared" si="100"/>
        <v>#REF!</v>
      </c>
      <c r="H360" s="611" t="e">
        <f t="shared" si="100"/>
        <v>#REF!</v>
      </c>
      <c r="I360" s="611" t="e">
        <f t="shared" si="100"/>
        <v>#REF!</v>
      </c>
      <c r="J360" s="611" t="e">
        <f t="shared" si="100"/>
        <v>#REF!</v>
      </c>
      <c r="K360" s="611" t="e">
        <f t="shared" ref="K360:T360" si="101">K356/K358</f>
        <v>#REF!</v>
      </c>
      <c r="L360" s="611">
        <f t="shared" si="101"/>
        <v>1.0347003154574133</v>
      </c>
      <c r="M360" s="611">
        <f t="shared" si="101"/>
        <v>1.0278128950695322</v>
      </c>
      <c r="N360" s="611">
        <f t="shared" si="101"/>
        <v>1.0223097112860893</v>
      </c>
      <c r="O360" s="611">
        <f t="shared" si="101"/>
        <v>1.0264623955431755</v>
      </c>
      <c r="P360" s="611">
        <f t="shared" si="101"/>
        <v>1.0529739776951672</v>
      </c>
      <c r="Q360" s="611">
        <f t="shared" si="101"/>
        <v>1.0204207920792079</v>
      </c>
      <c r="R360" s="611">
        <f t="shared" si="101"/>
        <v>1.0068906115417744</v>
      </c>
      <c r="S360" s="611">
        <f t="shared" si="101"/>
        <v>63.25</v>
      </c>
      <c r="T360" s="611">
        <f t="shared" si="101"/>
        <v>0.93230864772550848</v>
      </c>
    </row>
    <row r="362" spans="1:20" ht="17.399999999999999">
      <c r="C362" s="590"/>
      <c r="D362" s="591"/>
      <c r="E362" s="591"/>
      <c r="F362" s="591"/>
      <c r="G362" s="591"/>
      <c r="H362" s="591"/>
      <c r="I362" s="592"/>
      <c r="J362" s="592"/>
      <c r="K362" s="592"/>
      <c r="L362" s="592"/>
      <c r="M362" s="591"/>
      <c r="N362" s="594"/>
      <c r="O362" s="592"/>
    </row>
    <row r="363" spans="1:20" ht="17.399999999999999">
      <c r="C363" s="590"/>
      <c r="D363" s="591"/>
      <c r="E363" s="591"/>
      <c r="F363" s="591"/>
      <c r="G363" s="591"/>
      <c r="H363" s="591"/>
      <c r="I363" s="591"/>
      <c r="J363" s="591"/>
      <c r="K363" s="591"/>
      <c r="L363" s="591"/>
      <c r="M363" s="592"/>
      <c r="N363" s="592"/>
      <c r="O363" s="592"/>
    </row>
    <row r="364" spans="1:20" ht="17.399999999999999">
      <c r="C364" s="591"/>
      <c r="D364" s="594"/>
      <c r="E364" s="591"/>
      <c r="F364" s="591"/>
      <c r="G364" s="591"/>
      <c r="H364" s="591"/>
      <c r="I364" s="591"/>
      <c r="J364" s="591"/>
      <c r="K364" s="591"/>
      <c r="L364" s="591"/>
      <c r="M364" s="592"/>
      <c r="N364" s="592"/>
      <c r="O364" s="592"/>
    </row>
    <row r="366" spans="1:20" ht="17.399999999999999">
      <c r="A366" s="543"/>
      <c r="B366" s="813"/>
      <c r="C366" s="813"/>
      <c r="D366" s="813"/>
      <c r="E366" s="813"/>
      <c r="F366" s="813"/>
      <c r="G366" s="813"/>
      <c r="H366" s="813"/>
      <c r="I366" s="813"/>
      <c r="J366" s="813"/>
      <c r="K366" s="544"/>
      <c r="L366" s="557"/>
      <c r="M366" s="557"/>
      <c r="N366" s="557"/>
      <c r="O366" s="557"/>
      <c r="P366" s="813"/>
      <c r="Q366" s="813"/>
      <c r="R366" s="813"/>
      <c r="S366" s="595"/>
      <c r="T366" s="546"/>
    </row>
    <row r="367" spans="1:20" ht="17.399999999999999">
      <c r="A367" s="596"/>
      <c r="B367" s="550"/>
      <c r="C367" s="550"/>
      <c r="D367" s="550"/>
      <c r="E367" s="550"/>
      <c r="F367" s="550"/>
      <c r="G367" s="550"/>
      <c r="H367" s="550"/>
      <c r="I367" s="550"/>
      <c r="J367" s="550"/>
      <c r="K367" s="550"/>
      <c r="L367" s="550"/>
      <c r="M367" s="550"/>
      <c r="N367" s="550"/>
      <c r="O367" s="550"/>
      <c r="P367" s="550"/>
      <c r="Q367" s="550"/>
      <c r="R367" s="550"/>
      <c r="S367" s="550"/>
      <c r="T367" s="597"/>
    </row>
    <row r="368" spans="1:20" ht="17.399999999999999">
      <c r="A368" s="598"/>
      <c r="B368" s="598"/>
      <c r="C368" s="598"/>
      <c r="D368" s="598"/>
      <c r="E368" s="598"/>
      <c r="F368" s="598"/>
      <c r="G368" s="598"/>
      <c r="H368" s="598"/>
      <c r="I368" s="598"/>
      <c r="J368" s="598"/>
      <c r="K368" s="598"/>
      <c r="L368" s="598"/>
      <c r="M368" s="598"/>
      <c r="N368" s="598"/>
      <c r="O368" s="598"/>
      <c r="P368" s="598"/>
      <c r="Q368" s="598"/>
      <c r="R368" s="598"/>
      <c r="S368" s="598"/>
      <c r="T368" s="598"/>
    </row>
    <row r="369" spans="1:20" ht="17.399999999999999">
      <c r="A369" s="599"/>
      <c r="B369" s="600"/>
      <c r="C369" s="600"/>
      <c r="D369" s="600"/>
      <c r="E369" s="600"/>
      <c r="F369" s="600"/>
      <c r="G369" s="600"/>
      <c r="H369" s="600"/>
      <c r="I369" s="600"/>
      <c r="J369" s="600"/>
      <c r="K369" s="600"/>
      <c r="L369" s="600"/>
      <c r="M369" s="600"/>
      <c r="N369" s="600"/>
      <c r="O369" s="600"/>
      <c r="P369" s="600"/>
      <c r="Q369" s="600"/>
      <c r="R369" s="600"/>
      <c r="S369" s="600"/>
      <c r="T369" s="600"/>
    </row>
    <row r="370" spans="1:20" ht="17.399999999999999">
      <c r="A370" s="599"/>
      <c r="B370" s="600"/>
      <c r="C370" s="600"/>
      <c r="D370" s="600"/>
      <c r="E370" s="600"/>
      <c r="F370" s="600"/>
      <c r="G370" s="600"/>
      <c r="H370" s="600"/>
      <c r="I370" s="600"/>
      <c r="J370" s="600"/>
      <c r="K370" s="600"/>
      <c r="L370" s="600"/>
      <c r="M370" s="600"/>
      <c r="N370" s="600"/>
      <c r="O370" s="600"/>
      <c r="P370" s="600"/>
      <c r="Q370" s="600"/>
      <c r="R370" s="600"/>
      <c r="S370" s="600"/>
      <c r="T370" s="600"/>
    </row>
    <row r="371" spans="1:20" ht="17.399999999999999">
      <c r="A371" s="599"/>
      <c r="B371" s="600"/>
      <c r="C371" s="600"/>
      <c r="D371" s="600"/>
      <c r="E371" s="600"/>
      <c r="F371" s="600"/>
      <c r="G371" s="600"/>
      <c r="H371" s="600"/>
      <c r="I371" s="600"/>
      <c r="J371" s="600"/>
      <c r="K371" s="600"/>
      <c r="L371" s="600"/>
      <c r="M371" s="600"/>
      <c r="N371" s="600"/>
      <c r="O371" s="600"/>
      <c r="P371" s="600"/>
      <c r="Q371" s="600"/>
      <c r="R371" s="600"/>
      <c r="S371" s="600"/>
      <c r="T371" s="600"/>
    </row>
    <row r="372" spans="1:20" ht="17.399999999999999">
      <c r="A372" s="599"/>
      <c r="B372" s="600"/>
      <c r="C372" s="600"/>
      <c r="D372" s="600"/>
      <c r="E372" s="600"/>
      <c r="F372" s="600"/>
      <c r="G372" s="600"/>
      <c r="H372" s="600"/>
      <c r="I372" s="600"/>
      <c r="J372" s="600"/>
      <c r="K372" s="600"/>
      <c r="L372" s="600"/>
      <c r="M372" s="600"/>
      <c r="N372" s="600"/>
      <c r="O372" s="600"/>
      <c r="P372" s="600"/>
      <c r="Q372" s="600"/>
      <c r="R372" s="600"/>
      <c r="S372" s="600"/>
      <c r="T372" s="600"/>
    </row>
    <row r="373" spans="1:20" ht="17.399999999999999">
      <c r="A373" s="598"/>
      <c r="B373" s="600"/>
      <c r="C373" s="600"/>
      <c r="D373" s="600"/>
      <c r="E373" s="600"/>
      <c r="F373" s="600"/>
      <c r="G373" s="600"/>
      <c r="H373" s="600"/>
      <c r="I373" s="600"/>
      <c r="J373" s="600"/>
      <c r="K373" s="600"/>
      <c r="L373" s="600"/>
      <c r="M373" s="600"/>
      <c r="N373" s="600"/>
      <c r="O373" s="600"/>
      <c r="P373" s="600"/>
      <c r="Q373" s="600"/>
      <c r="R373" s="600"/>
      <c r="S373" s="600"/>
      <c r="T373" s="600"/>
    </row>
    <row r="374" spans="1:20" ht="17.399999999999999">
      <c r="A374" s="598"/>
      <c r="B374" s="600"/>
      <c r="C374" s="600"/>
      <c r="D374" s="600"/>
      <c r="E374" s="600"/>
      <c r="F374" s="600"/>
      <c r="G374" s="600"/>
      <c r="H374" s="600"/>
      <c r="I374" s="600"/>
      <c r="J374" s="600"/>
      <c r="K374" s="600"/>
      <c r="L374" s="600"/>
      <c r="M374" s="600"/>
      <c r="N374" s="600"/>
      <c r="O374" s="600"/>
      <c r="P374" s="600"/>
      <c r="Q374" s="600"/>
      <c r="R374" s="600"/>
      <c r="S374" s="600"/>
      <c r="T374" s="600"/>
    </row>
    <row r="375" spans="1:20" ht="17.399999999999999">
      <c r="A375" s="598"/>
      <c r="B375" s="598"/>
      <c r="C375" s="600"/>
      <c r="D375" s="600"/>
      <c r="E375" s="600"/>
      <c r="F375" s="600"/>
      <c r="G375" s="600"/>
      <c r="H375" s="600"/>
      <c r="I375" s="600"/>
      <c r="J375" s="600"/>
      <c r="K375" s="600"/>
      <c r="L375" s="610"/>
      <c r="M375" s="610"/>
      <c r="N375" s="610"/>
      <c r="O375" s="610"/>
      <c r="P375" s="600"/>
      <c r="Q375" s="600"/>
      <c r="R375" s="600"/>
      <c r="S375" s="600"/>
      <c r="T375" s="600"/>
    </row>
    <row r="376" spans="1:20" ht="17.399999999999999">
      <c r="A376" s="598"/>
      <c r="B376" s="598"/>
      <c r="C376" s="600"/>
      <c r="D376" s="600"/>
      <c r="E376" s="600"/>
      <c r="F376" s="600"/>
      <c r="G376" s="600"/>
      <c r="H376" s="600"/>
      <c r="I376" s="600"/>
      <c r="J376" s="600"/>
      <c r="K376" s="600"/>
      <c r="L376" s="610"/>
      <c r="M376" s="610"/>
      <c r="N376" s="610"/>
      <c r="O376" s="610"/>
      <c r="P376" s="600"/>
      <c r="Q376" s="600"/>
      <c r="R376" s="600"/>
      <c r="S376" s="600"/>
      <c r="T376" s="600"/>
    </row>
    <row r="377" spans="1:20" ht="17.399999999999999">
      <c r="A377" s="598"/>
      <c r="B377" s="598"/>
      <c r="C377" s="600"/>
      <c r="D377" s="600"/>
      <c r="E377" s="600"/>
      <c r="F377" s="600"/>
      <c r="G377" s="600"/>
      <c r="H377" s="600"/>
      <c r="I377" s="600"/>
      <c r="J377" s="600"/>
      <c r="K377" s="600"/>
      <c r="L377" s="610"/>
      <c r="M377" s="610"/>
      <c r="N377" s="610"/>
      <c r="O377" s="610"/>
      <c r="P377" s="600"/>
      <c r="Q377" s="600"/>
      <c r="R377" s="600"/>
      <c r="S377" s="600"/>
      <c r="T377" s="600"/>
    </row>
    <row r="378" spans="1:20" ht="17.399999999999999">
      <c r="A378" s="598"/>
      <c r="B378" s="598"/>
      <c r="C378" s="600"/>
      <c r="D378" s="600"/>
      <c r="E378" s="600"/>
      <c r="F378" s="600"/>
      <c r="G378" s="600"/>
      <c r="H378" s="600"/>
      <c r="I378" s="600"/>
      <c r="J378" s="600"/>
      <c r="K378" s="600"/>
      <c r="L378" s="600"/>
      <c r="M378" s="600"/>
      <c r="N378" s="600"/>
      <c r="O378" s="600"/>
      <c r="P378" s="610"/>
      <c r="Q378" s="610"/>
      <c r="R378" s="610"/>
      <c r="S378" s="610"/>
      <c r="T378" s="600"/>
    </row>
    <row r="379" spans="1:20" ht="17.399999999999999">
      <c r="A379" s="598"/>
      <c r="B379" s="598"/>
      <c r="C379" s="600"/>
      <c r="D379" s="600"/>
      <c r="E379" s="600"/>
      <c r="F379" s="600"/>
      <c r="G379" s="600"/>
      <c r="H379" s="600"/>
      <c r="I379" s="600"/>
      <c r="J379" s="600"/>
      <c r="K379" s="600"/>
      <c r="L379" s="600"/>
      <c r="M379" s="600"/>
      <c r="N379" s="600"/>
      <c r="O379" s="600"/>
      <c r="P379" s="610"/>
      <c r="Q379" s="610"/>
      <c r="R379" s="610"/>
      <c r="S379" s="610"/>
      <c r="T379" s="600"/>
    </row>
    <row r="380" spans="1:20" ht="17.399999999999999">
      <c r="A380" s="598"/>
      <c r="B380" s="598"/>
      <c r="C380" s="600"/>
      <c r="D380" s="600"/>
      <c r="E380" s="600"/>
      <c r="F380" s="600"/>
      <c r="G380" s="600"/>
      <c r="H380" s="600"/>
      <c r="I380" s="600"/>
      <c r="J380" s="600"/>
      <c r="K380" s="600"/>
      <c r="L380" s="600"/>
      <c r="M380" s="600"/>
      <c r="N380" s="600"/>
      <c r="O380" s="600"/>
      <c r="P380" s="610"/>
      <c r="Q380" s="610"/>
      <c r="R380" s="610"/>
      <c r="S380" s="610"/>
      <c r="T380" s="600"/>
    </row>
    <row r="381" spans="1:20" ht="17.399999999999999">
      <c r="A381" s="598"/>
      <c r="B381" s="598"/>
      <c r="C381" s="600"/>
      <c r="D381" s="600"/>
      <c r="E381" s="600"/>
      <c r="F381" s="600"/>
      <c r="G381" s="600"/>
      <c r="H381" s="600"/>
      <c r="I381" s="600"/>
      <c r="J381" s="600"/>
      <c r="K381" s="600"/>
      <c r="L381" s="600"/>
      <c r="M381" s="600"/>
      <c r="N381" s="600"/>
      <c r="O381" s="600"/>
      <c r="P381" s="610"/>
      <c r="Q381" s="610"/>
      <c r="R381" s="610"/>
      <c r="S381" s="610"/>
      <c r="T381" s="600"/>
    </row>
    <row r="382" spans="1:20" ht="17.399999999999999">
      <c r="A382" s="601"/>
      <c r="B382" s="600"/>
      <c r="C382" s="600"/>
      <c r="D382" s="600"/>
      <c r="E382" s="600"/>
      <c r="F382" s="600"/>
      <c r="G382" s="600"/>
      <c r="H382" s="600"/>
      <c r="I382" s="600"/>
      <c r="J382" s="600"/>
      <c r="K382" s="600"/>
      <c r="L382" s="600"/>
      <c r="M382" s="600"/>
      <c r="N382" s="600"/>
      <c r="O382" s="600"/>
      <c r="P382" s="600"/>
      <c r="Q382" s="600"/>
      <c r="R382" s="600"/>
      <c r="S382" s="600"/>
      <c r="T382" s="600"/>
    </row>
    <row r="383" spans="1:20" ht="17.399999999999999">
      <c r="A383" s="602"/>
      <c r="B383" s="603"/>
      <c r="C383" s="604"/>
      <c r="D383" s="604"/>
      <c r="E383" s="604"/>
      <c r="F383" s="604"/>
      <c r="G383" s="604"/>
      <c r="H383" s="604"/>
      <c r="I383" s="604"/>
      <c r="J383" s="604"/>
      <c r="K383" s="604"/>
      <c r="L383" s="604"/>
      <c r="M383" s="604"/>
      <c r="N383" s="604"/>
      <c r="O383" s="604"/>
      <c r="P383" s="604"/>
      <c r="Q383" s="604"/>
      <c r="R383" s="604"/>
      <c r="S383" s="604"/>
      <c r="T383" s="605"/>
    </row>
    <row r="384" spans="1:20" ht="17.399999999999999">
      <c r="A384" s="606"/>
      <c r="B384" s="607"/>
      <c r="C384" s="607"/>
      <c r="D384" s="607"/>
      <c r="E384" s="607"/>
      <c r="F384" s="607"/>
      <c r="G384" s="607"/>
      <c r="H384" s="607"/>
      <c r="I384" s="607"/>
      <c r="J384" s="607"/>
      <c r="K384" s="607"/>
      <c r="L384" s="607"/>
      <c r="M384" s="607"/>
      <c r="N384" s="607"/>
      <c r="O384" s="607"/>
      <c r="P384" s="607"/>
      <c r="Q384" s="607"/>
      <c r="R384" s="607"/>
      <c r="S384" s="607"/>
      <c r="T384" s="755"/>
    </row>
    <row r="385" spans="1:20" ht="17.399999999999999">
      <c r="A385" s="598"/>
      <c r="B385" s="598"/>
      <c r="C385" s="600"/>
      <c r="D385" s="600"/>
      <c r="E385" s="600"/>
      <c r="F385" s="600"/>
      <c r="G385" s="600"/>
      <c r="H385" s="600"/>
      <c r="I385" s="600"/>
      <c r="J385" s="600"/>
      <c r="K385" s="600"/>
      <c r="L385" s="600"/>
      <c r="M385" s="600"/>
      <c r="N385" s="600"/>
      <c r="O385" s="600"/>
      <c r="P385" s="600"/>
      <c r="Q385" s="600"/>
      <c r="R385" s="600"/>
      <c r="S385" s="600"/>
      <c r="T385" s="600"/>
    </row>
    <row r="386" spans="1:20" ht="17.399999999999999">
      <c r="A386" s="601"/>
      <c r="B386" s="610"/>
      <c r="C386" s="610"/>
      <c r="D386" s="610"/>
      <c r="E386" s="610"/>
      <c r="F386" s="610"/>
      <c r="G386" s="610"/>
      <c r="H386" s="610"/>
      <c r="I386" s="610"/>
      <c r="J386" s="610"/>
      <c r="K386" s="610"/>
      <c r="L386" s="610"/>
      <c r="M386" s="610"/>
      <c r="N386" s="610"/>
      <c r="O386" s="610"/>
      <c r="P386" s="610"/>
      <c r="Q386" s="610"/>
      <c r="R386" s="610"/>
      <c r="S386" s="610"/>
      <c r="T386" s="610"/>
    </row>
    <row r="387" spans="1:20" ht="17.399999999999999">
      <c r="A387" s="598"/>
      <c r="B387" s="598"/>
      <c r="C387" s="600"/>
      <c r="D387" s="600"/>
      <c r="E387" s="600"/>
      <c r="F387" s="600"/>
      <c r="G387" s="600"/>
      <c r="H387" s="600"/>
      <c r="I387" s="600"/>
      <c r="J387" s="666"/>
      <c r="K387" s="600"/>
      <c r="L387" s="600"/>
      <c r="M387" s="600"/>
      <c r="N387" s="600"/>
      <c r="O387" s="600"/>
      <c r="P387" s="600"/>
      <c r="Q387" s="600"/>
      <c r="R387" s="600"/>
      <c r="S387" s="600"/>
      <c r="T387" s="600"/>
    </row>
    <row r="388" spans="1:20" ht="17.399999999999999">
      <c r="A388" s="601"/>
      <c r="B388" s="611"/>
      <c r="C388" s="611"/>
      <c r="D388" s="611"/>
      <c r="E388" s="611"/>
      <c r="F388" s="611"/>
      <c r="G388" s="611"/>
      <c r="H388" s="611"/>
      <c r="I388" s="611"/>
      <c r="J388" s="611"/>
      <c r="K388" s="611"/>
      <c r="L388" s="611"/>
      <c r="M388" s="611"/>
      <c r="N388" s="611"/>
      <c r="O388" s="611"/>
      <c r="P388" s="611"/>
      <c r="Q388" s="611"/>
      <c r="R388" s="611"/>
      <c r="S388" s="611"/>
      <c r="T388" s="611"/>
    </row>
    <row r="390" spans="1:20" ht="17.399999999999999">
      <c r="C390" s="590"/>
      <c r="D390" s="591"/>
      <c r="E390" s="591"/>
      <c r="F390" s="591"/>
      <c r="G390" s="591"/>
      <c r="H390" s="591"/>
      <c r="I390" s="592"/>
      <c r="J390" s="592"/>
      <c r="K390" s="592"/>
      <c r="L390" s="592"/>
      <c r="M390" s="591"/>
      <c r="N390" s="594"/>
      <c r="O390" s="592"/>
    </row>
    <row r="391" spans="1:20" ht="17.399999999999999">
      <c r="C391" s="590"/>
      <c r="D391" s="591"/>
      <c r="E391" s="591"/>
      <c r="F391" s="591"/>
      <c r="G391" s="591"/>
      <c r="H391" s="591"/>
      <c r="I391" s="591"/>
      <c r="J391" s="591"/>
      <c r="K391" s="591"/>
      <c r="L391" s="591"/>
      <c r="M391" s="592"/>
      <c r="N391" s="592"/>
      <c r="O391" s="592"/>
    </row>
    <row r="392" spans="1:20" ht="17.399999999999999">
      <c r="C392" s="591"/>
      <c r="D392" s="594"/>
      <c r="E392" s="591"/>
      <c r="F392" s="591"/>
      <c r="G392" s="591"/>
      <c r="H392" s="591"/>
      <c r="I392" s="591"/>
      <c r="J392" s="591"/>
      <c r="K392" s="591"/>
      <c r="L392" s="591"/>
      <c r="M392" s="592"/>
      <c r="N392" s="592"/>
      <c r="O392" s="592"/>
    </row>
    <row r="394" spans="1:20" ht="17.399999999999999">
      <c r="A394" s="543"/>
      <c r="B394" s="813"/>
      <c r="C394" s="813"/>
      <c r="D394" s="813"/>
      <c r="E394" s="813"/>
      <c r="F394" s="813"/>
      <c r="G394" s="813"/>
      <c r="H394" s="813"/>
      <c r="I394" s="813"/>
      <c r="J394" s="813"/>
      <c r="K394" s="544"/>
      <c r="L394" s="557"/>
      <c r="M394" s="557"/>
      <c r="N394" s="557"/>
      <c r="O394" s="557"/>
      <c r="P394" s="813"/>
      <c r="Q394" s="813"/>
      <c r="R394" s="813"/>
      <c r="S394" s="595"/>
      <c r="T394" s="546"/>
    </row>
    <row r="395" spans="1:20" ht="17.399999999999999">
      <c r="A395" s="596"/>
      <c r="B395" s="550"/>
      <c r="C395" s="550"/>
      <c r="D395" s="550"/>
      <c r="E395" s="550"/>
      <c r="F395" s="550"/>
      <c r="G395" s="550"/>
      <c r="H395" s="550"/>
      <c r="I395" s="550"/>
      <c r="J395" s="550"/>
      <c r="K395" s="550"/>
      <c r="L395" s="550"/>
      <c r="M395" s="550"/>
      <c r="N395" s="550"/>
      <c r="O395" s="550"/>
      <c r="P395" s="550"/>
      <c r="Q395" s="550"/>
      <c r="R395" s="550"/>
      <c r="S395" s="550"/>
      <c r="T395" s="597"/>
    </row>
    <row r="396" spans="1:20" ht="17.399999999999999">
      <c r="A396" s="598"/>
      <c r="B396" s="598"/>
      <c r="C396" s="598"/>
      <c r="D396" s="598"/>
      <c r="E396" s="598"/>
      <c r="F396" s="598"/>
      <c r="G396" s="598"/>
      <c r="H396" s="598"/>
      <c r="I396" s="598"/>
      <c r="J396" s="598"/>
      <c r="K396" s="598"/>
      <c r="L396" s="598"/>
      <c r="M396" s="598"/>
      <c r="N396" s="598"/>
      <c r="O396" s="598"/>
      <c r="P396" s="598"/>
      <c r="Q396" s="598"/>
      <c r="R396" s="598"/>
      <c r="S396" s="598"/>
      <c r="T396" s="598"/>
    </row>
    <row r="397" spans="1:20" ht="17.399999999999999">
      <c r="A397" s="599"/>
      <c r="B397" s="600"/>
      <c r="C397" s="600"/>
      <c r="D397" s="600"/>
      <c r="E397" s="600"/>
      <c r="F397" s="600"/>
      <c r="G397" s="600"/>
      <c r="H397" s="600"/>
      <c r="I397" s="600"/>
      <c r="J397" s="600"/>
      <c r="K397" s="600"/>
      <c r="L397" s="600"/>
      <c r="M397" s="600"/>
      <c r="N397" s="600"/>
      <c r="O397" s="600"/>
      <c r="P397" s="600"/>
      <c r="Q397" s="600"/>
      <c r="R397" s="600"/>
      <c r="S397" s="600"/>
      <c r="T397" s="600"/>
    </row>
    <row r="398" spans="1:20" ht="17.399999999999999">
      <c r="A398" s="599"/>
      <c r="B398" s="600"/>
      <c r="C398" s="600"/>
      <c r="D398" s="600"/>
      <c r="E398" s="600"/>
      <c r="F398" s="600"/>
      <c r="G398" s="600"/>
      <c r="H398" s="600"/>
      <c r="I398" s="600"/>
      <c r="J398" s="600"/>
      <c r="K398" s="600"/>
      <c r="L398" s="600"/>
      <c r="M398" s="600"/>
      <c r="N398" s="600"/>
      <c r="O398" s="600"/>
      <c r="P398" s="600"/>
      <c r="Q398" s="600"/>
      <c r="R398" s="600"/>
      <c r="S398" s="600"/>
      <c r="T398" s="600"/>
    </row>
    <row r="399" spans="1:20" ht="17.399999999999999">
      <c r="A399" s="599"/>
      <c r="B399" s="600"/>
      <c r="C399" s="600"/>
      <c r="D399" s="600"/>
      <c r="E399" s="600"/>
      <c r="F399" s="600"/>
      <c r="G399" s="600"/>
      <c r="H399" s="600"/>
      <c r="I399" s="600"/>
      <c r="J399" s="600"/>
      <c r="K399" s="600"/>
      <c r="L399" s="600"/>
      <c r="M399" s="600"/>
      <c r="N399" s="600"/>
      <c r="O399" s="600"/>
      <c r="P399" s="600"/>
      <c r="Q399" s="600"/>
      <c r="R399" s="600"/>
      <c r="S399" s="600"/>
      <c r="T399" s="600"/>
    </row>
    <row r="400" spans="1:20" ht="17.399999999999999">
      <c r="A400" s="599"/>
      <c r="B400" s="600"/>
      <c r="C400" s="600"/>
      <c r="D400" s="600"/>
      <c r="E400" s="600"/>
      <c r="F400" s="600"/>
      <c r="G400" s="600"/>
      <c r="H400" s="600"/>
      <c r="I400" s="600"/>
      <c r="J400" s="600"/>
      <c r="K400" s="600"/>
      <c r="L400" s="600"/>
      <c r="M400" s="600"/>
      <c r="N400" s="600"/>
      <c r="O400" s="600"/>
      <c r="P400" s="600"/>
      <c r="Q400" s="600"/>
      <c r="R400" s="600"/>
      <c r="S400" s="600"/>
      <c r="T400" s="600"/>
    </row>
    <row r="401" spans="1:20" ht="17.399999999999999">
      <c r="A401" s="598"/>
      <c r="B401" s="600"/>
      <c r="C401" s="600"/>
      <c r="D401" s="600"/>
      <c r="E401" s="600"/>
      <c r="F401" s="600"/>
      <c r="G401" s="600"/>
      <c r="H401" s="600"/>
      <c r="I401" s="600"/>
      <c r="J401" s="600"/>
      <c r="K401" s="600"/>
      <c r="L401" s="600"/>
      <c r="M401" s="600"/>
      <c r="N401" s="600"/>
      <c r="O401" s="600"/>
      <c r="P401" s="600"/>
      <c r="Q401" s="600"/>
      <c r="R401" s="600"/>
      <c r="S401" s="600"/>
      <c r="T401" s="600"/>
    </row>
    <row r="402" spans="1:20" ht="17.399999999999999">
      <c r="A402" s="598"/>
      <c r="B402" s="600"/>
      <c r="C402" s="600"/>
      <c r="D402" s="600"/>
      <c r="E402" s="600"/>
      <c r="F402" s="600"/>
      <c r="G402" s="600"/>
      <c r="H402" s="600"/>
      <c r="I402" s="600"/>
      <c r="J402" s="600"/>
      <c r="K402" s="600"/>
      <c r="L402" s="600"/>
      <c r="M402" s="600"/>
      <c r="N402" s="600"/>
      <c r="O402" s="600"/>
      <c r="P402" s="600"/>
      <c r="Q402" s="600"/>
      <c r="R402" s="600"/>
      <c r="S402" s="600"/>
      <c r="T402" s="600"/>
    </row>
    <row r="403" spans="1:20" ht="17.399999999999999">
      <c r="A403" s="598"/>
      <c r="B403" s="598"/>
      <c r="C403" s="600"/>
      <c r="D403" s="600"/>
      <c r="E403" s="600"/>
      <c r="F403" s="600"/>
      <c r="G403" s="600"/>
      <c r="H403" s="600"/>
      <c r="I403" s="600"/>
      <c r="J403" s="600"/>
      <c r="K403" s="600"/>
      <c r="L403" s="610"/>
      <c r="M403" s="610"/>
      <c r="N403" s="610"/>
      <c r="O403" s="610"/>
      <c r="P403" s="600"/>
      <c r="Q403" s="600"/>
      <c r="R403" s="600"/>
      <c r="S403" s="600"/>
      <c r="T403" s="600"/>
    </row>
    <row r="404" spans="1:20" ht="17.399999999999999">
      <c r="A404" s="598"/>
      <c r="B404" s="598"/>
      <c r="C404" s="600"/>
      <c r="D404" s="600"/>
      <c r="E404" s="600"/>
      <c r="F404" s="600"/>
      <c r="G404" s="600"/>
      <c r="H404" s="600"/>
      <c r="I404" s="600"/>
      <c r="J404" s="600"/>
      <c r="K404" s="600"/>
      <c r="L404" s="610"/>
      <c r="M404" s="610"/>
      <c r="N404" s="610"/>
      <c r="O404" s="610"/>
      <c r="P404" s="600"/>
      <c r="Q404" s="600"/>
      <c r="R404" s="600"/>
      <c r="S404" s="600"/>
      <c r="T404" s="600"/>
    </row>
    <row r="405" spans="1:20" ht="17.399999999999999">
      <c r="A405" s="598"/>
      <c r="B405" s="598"/>
      <c r="C405" s="600"/>
      <c r="D405" s="600"/>
      <c r="E405" s="600"/>
      <c r="F405" s="600"/>
      <c r="G405" s="600"/>
      <c r="H405" s="600"/>
      <c r="I405" s="600"/>
      <c r="J405" s="600"/>
      <c r="K405" s="600"/>
      <c r="L405" s="610"/>
      <c r="M405" s="610"/>
      <c r="N405" s="610"/>
      <c r="O405" s="610"/>
      <c r="P405" s="600"/>
      <c r="Q405" s="600"/>
      <c r="R405" s="600"/>
      <c r="S405" s="600"/>
      <c r="T405" s="600"/>
    </row>
    <row r="406" spans="1:20" ht="17.399999999999999">
      <c r="A406" s="598"/>
      <c r="B406" s="598"/>
      <c r="C406" s="600"/>
      <c r="D406" s="600"/>
      <c r="E406" s="600"/>
      <c r="F406" s="600"/>
      <c r="G406" s="600"/>
      <c r="H406" s="600"/>
      <c r="I406" s="600"/>
      <c r="J406" s="600"/>
      <c r="K406" s="600"/>
      <c r="L406" s="600"/>
      <c r="M406" s="600"/>
      <c r="N406" s="600"/>
      <c r="O406" s="600"/>
      <c r="P406" s="610"/>
      <c r="Q406" s="610"/>
      <c r="R406" s="610"/>
      <c r="S406" s="610"/>
      <c r="T406" s="600"/>
    </row>
    <row r="407" spans="1:20" ht="17.399999999999999">
      <c r="A407" s="598"/>
      <c r="B407" s="598"/>
      <c r="C407" s="600"/>
      <c r="D407" s="600"/>
      <c r="E407" s="600"/>
      <c r="F407" s="600"/>
      <c r="G407" s="600"/>
      <c r="H407" s="600"/>
      <c r="I407" s="600"/>
      <c r="J407" s="600"/>
      <c r="K407" s="600"/>
      <c r="L407" s="600"/>
      <c r="M407" s="600"/>
      <c r="N407" s="600"/>
      <c r="O407" s="600"/>
      <c r="P407" s="610"/>
      <c r="Q407" s="610"/>
      <c r="R407" s="610"/>
      <c r="S407" s="610"/>
      <c r="T407" s="600"/>
    </row>
    <row r="408" spans="1:20" ht="17.399999999999999">
      <c r="A408" s="598"/>
      <c r="B408" s="598"/>
      <c r="C408" s="600"/>
      <c r="D408" s="600"/>
      <c r="E408" s="600"/>
      <c r="F408" s="600"/>
      <c r="G408" s="600"/>
      <c r="H408" s="600"/>
      <c r="I408" s="600"/>
      <c r="J408" s="600"/>
      <c r="K408" s="600"/>
      <c r="L408" s="600"/>
      <c r="M408" s="600"/>
      <c r="N408" s="600"/>
      <c r="O408" s="600"/>
      <c r="P408" s="610"/>
      <c r="Q408" s="610"/>
      <c r="R408" s="610"/>
      <c r="S408" s="610"/>
      <c r="T408" s="600"/>
    </row>
    <row r="409" spans="1:20" ht="17.399999999999999">
      <c r="A409" s="598"/>
      <c r="B409" s="598"/>
      <c r="C409" s="600"/>
      <c r="D409" s="600"/>
      <c r="E409" s="600"/>
      <c r="F409" s="600"/>
      <c r="G409" s="600"/>
      <c r="H409" s="600"/>
      <c r="I409" s="600"/>
      <c r="J409" s="600"/>
      <c r="K409" s="600"/>
      <c r="L409" s="600"/>
      <c r="M409" s="600"/>
      <c r="N409" s="600"/>
      <c r="O409" s="600"/>
      <c r="P409" s="610"/>
      <c r="Q409" s="610"/>
      <c r="R409" s="610"/>
      <c r="S409" s="610"/>
      <c r="T409" s="600"/>
    </row>
    <row r="410" spans="1:20" ht="17.399999999999999">
      <c r="A410" s="601"/>
      <c r="B410" s="600"/>
      <c r="C410" s="600"/>
      <c r="D410" s="600"/>
      <c r="E410" s="600"/>
      <c r="F410" s="600"/>
      <c r="G410" s="600"/>
      <c r="H410" s="600"/>
      <c r="I410" s="600"/>
      <c r="J410" s="600"/>
      <c r="K410" s="600"/>
      <c r="L410" s="600"/>
      <c r="M410" s="600"/>
      <c r="N410" s="600"/>
      <c r="O410" s="600"/>
      <c r="P410" s="600"/>
      <c r="Q410" s="600"/>
      <c r="R410" s="600"/>
      <c r="S410" s="600"/>
      <c r="T410" s="600"/>
    </row>
    <row r="411" spans="1:20" ht="17.399999999999999">
      <c r="A411" s="602"/>
      <c r="B411" s="603"/>
      <c r="C411" s="604"/>
      <c r="D411" s="604"/>
      <c r="E411" s="604"/>
      <c r="F411" s="604"/>
      <c r="G411" s="604"/>
      <c r="H411" s="604"/>
      <c r="I411" s="604"/>
      <c r="J411" s="604"/>
      <c r="K411" s="604"/>
      <c r="L411" s="604"/>
      <c r="M411" s="604"/>
      <c r="N411" s="604"/>
      <c r="O411" s="604"/>
      <c r="P411" s="604"/>
      <c r="Q411" s="604"/>
      <c r="R411" s="604"/>
      <c r="S411" s="604"/>
      <c r="T411" s="605"/>
    </row>
    <row r="412" spans="1:20" ht="17.399999999999999">
      <c r="A412" s="606"/>
      <c r="B412" s="607"/>
      <c r="C412" s="607"/>
      <c r="D412" s="607"/>
      <c r="E412" s="607"/>
      <c r="F412" s="607"/>
      <c r="G412" s="607"/>
      <c r="H412" s="607"/>
      <c r="I412" s="607"/>
      <c r="J412" s="607"/>
      <c r="K412" s="607"/>
      <c r="L412" s="607"/>
      <c r="M412" s="607"/>
      <c r="N412" s="607"/>
      <c r="O412" s="607"/>
      <c r="P412" s="607"/>
      <c r="Q412" s="607"/>
      <c r="R412" s="607"/>
      <c r="S412" s="607"/>
      <c r="T412" s="755"/>
    </row>
    <row r="413" spans="1:20" ht="17.399999999999999">
      <c r="A413" s="598"/>
      <c r="B413" s="598"/>
      <c r="C413" s="600"/>
      <c r="D413" s="600"/>
      <c r="E413" s="600"/>
      <c r="F413" s="600"/>
      <c r="G413" s="600"/>
      <c r="H413" s="600"/>
      <c r="I413" s="600"/>
      <c r="J413" s="600"/>
      <c r="K413" s="600"/>
      <c r="L413" s="600"/>
      <c r="M413" s="600"/>
      <c r="N413" s="600"/>
      <c r="O413" s="600"/>
      <c r="P413" s="600"/>
      <c r="Q413" s="600"/>
      <c r="R413" s="600"/>
      <c r="S413" s="600"/>
      <c r="T413" s="600"/>
    </row>
    <row r="414" spans="1:20" ht="17.399999999999999">
      <c r="A414" s="601"/>
      <c r="B414" s="610"/>
      <c r="C414" s="610"/>
      <c r="D414" s="610"/>
      <c r="E414" s="610"/>
      <c r="F414" s="610"/>
      <c r="G414" s="610"/>
      <c r="H414" s="610"/>
      <c r="I414" s="610"/>
      <c r="J414" s="610"/>
      <c r="K414" s="610"/>
      <c r="L414" s="610"/>
      <c r="M414" s="610"/>
      <c r="N414" s="610"/>
      <c r="O414" s="610"/>
      <c r="P414" s="610"/>
      <c r="Q414" s="610"/>
      <c r="R414" s="610"/>
      <c r="S414" s="610"/>
      <c r="T414" s="610"/>
    </row>
    <row r="415" spans="1:20" ht="17.399999999999999">
      <c r="A415" s="598"/>
      <c r="B415" s="598"/>
      <c r="C415" s="600"/>
      <c r="D415" s="600"/>
      <c r="E415" s="600"/>
      <c r="F415" s="600"/>
      <c r="G415" s="600"/>
      <c r="H415" s="600"/>
      <c r="I415" s="600"/>
      <c r="J415" s="666"/>
      <c r="K415" s="600"/>
      <c r="L415" s="600"/>
      <c r="M415" s="600"/>
      <c r="N415" s="600"/>
      <c r="O415" s="600"/>
      <c r="P415" s="600"/>
      <c r="Q415" s="600"/>
      <c r="R415" s="600"/>
      <c r="S415" s="600"/>
      <c r="T415" s="600"/>
    </row>
    <row r="416" spans="1:20" ht="17.399999999999999">
      <c r="A416" s="601"/>
      <c r="B416" s="611"/>
      <c r="C416" s="611"/>
      <c r="D416" s="611"/>
      <c r="E416" s="611"/>
      <c r="F416" s="611"/>
      <c r="G416" s="611"/>
      <c r="H416" s="611"/>
      <c r="I416" s="611"/>
      <c r="J416" s="611"/>
      <c r="K416" s="611"/>
      <c r="L416" s="611"/>
      <c r="M416" s="611"/>
      <c r="N416" s="611"/>
      <c r="O416" s="611"/>
      <c r="P416" s="611"/>
      <c r="Q416" s="611"/>
      <c r="R416" s="611"/>
      <c r="S416" s="611"/>
      <c r="T416" s="611"/>
    </row>
  </sheetData>
  <mergeCells count="22">
    <mergeCell ref="K7:N7"/>
    <mergeCell ref="O7:Q7"/>
    <mergeCell ref="B152:J152"/>
    <mergeCell ref="A70:O71"/>
    <mergeCell ref="B7:J7"/>
    <mergeCell ref="A40:M40"/>
    <mergeCell ref="A41:M41"/>
    <mergeCell ref="A42:M42"/>
    <mergeCell ref="B182:J182"/>
    <mergeCell ref="O182:Q182"/>
    <mergeCell ref="B122:J122"/>
    <mergeCell ref="B310:J310"/>
    <mergeCell ref="P310:R310"/>
    <mergeCell ref="A208:M208"/>
    <mergeCell ref="A209:M209"/>
    <mergeCell ref="A210:M210"/>
    <mergeCell ref="B394:J394"/>
    <mergeCell ref="P394:R394"/>
    <mergeCell ref="B338:J338"/>
    <mergeCell ref="P338:R338"/>
    <mergeCell ref="B366:J366"/>
    <mergeCell ref="P366:R366"/>
  </mergeCells>
  <phoneticPr fontId="0" type="noConversion"/>
  <printOptions gridLinesSet="0"/>
  <pageMargins left="0.01" right="0.01" top="0.5" bottom="0.55000000000000004" header="0.5" footer="0.5"/>
  <pageSetup scale="41" orientation="landscape" errors="blank" r:id="rId1"/>
  <headerFooter alignWithMargins="0">
    <oddFooter xml:space="preserve">&amp;LDPP - OCBE
&amp;F&amp;R
&amp;16&amp;A
</oddFooter>
  </headerFooter>
  <rowBreaks count="7" manualBreakCount="7">
    <brk id="39" max="16383" man="1"/>
    <brk id="77" max="16383" man="1"/>
    <brk id="117" max="16383" man="1"/>
    <brk id="147" max="16383" man="1"/>
    <brk id="177" max="16383" man="1"/>
    <brk id="207" max="16383" man="1"/>
    <brk id="246" max="22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"/>
  <sheetViews>
    <sheetView view="pageBreakPreview" zoomScale="60" zoomScaleNormal="100" workbookViewId="0">
      <selection activeCell="Y61" sqref="Y61"/>
    </sheetView>
  </sheetViews>
  <sheetFormatPr defaultRowHeight="13.2"/>
  <sheetData/>
  <pageMargins left="0.7" right="0.7" top="0.75" bottom="0.75" header="0.3" footer="0.3"/>
  <pageSetup scale="41" orientation="landscape" r:id="rId1"/>
  <headerFooter>
    <oddHeader>&amp;L&amp;12ENRHIST&amp;C&amp;12OLDHAM COUNTY BOARD OF EDUCATION
CRESTWOOD, KENTUCKY&amp;R&amp;12&amp;D</oddHeader>
    <oddFooter>&amp;L&amp;12
DPP - OCBE
&amp;F&amp;R
&amp;12ENRHIST
Page 3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"/>
  <sheetViews>
    <sheetView view="pageBreakPreview" zoomScale="60" zoomScaleNormal="100" workbookViewId="0">
      <selection activeCell="I45" sqref="I45"/>
    </sheetView>
  </sheetViews>
  <sheetFormatPr defaultRowHeight="13.2"/>
  <sheetData/>
  <pageMargins left="0.7" right="0.7" top="0.75" bottom="0.75" header="0.3" footer="0.3"/>
  <pageSetup scale="63" orientation="landscape" r:id="rId1"/>
  <headerFooter>
    <oddHeader>&amp;L&amp;12ENRHIST&amp;C&amp;12OLDHAM COUNTY BOARD OF EDUCATION
CRESTWOOD, KENTUCKY&amp;R&amp;12&amp;D</oddHeader>
    <oddFooter>&amp;L&amp;12
DPP - OCBE
&amp;F&amp;R
&amp;12ENRHIST
Page 4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"/>
  <sheetViews>
    <sheetView view="pageBreakPreview" zoomScale="60" zoomScaleNormal="100" workbookViewId="0">
      <selection activeCell="J35" sqref="J35"/>
    </sheetView>
  </sheetViews>
  <sheetFormatPr defaultRowHeight="13.2"/>
  <sheetData/>
  <pageMargins left="0.7" right="0.7" top="0.75" bottom="0.75" header="0.3" footer="0.3"/>
  <pageSetup scale="63" orientation="landscape" r:id="rId1"/>
  <headerFooter>
    <oddHeader>&amp;L&amp;11ENRHIST&amp;C&amp;11OLDHAM COUNTY BOARD OF EDUCATION
CRESTWOOD, KENTUCKY&amp;R&amp;11&amp;D</oddHeader>
    <oddFooter>&amp;L&amp;11
DPP - OCBE
&amp;F&amp;R&amp;11
ENRHIST
Page 5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"/>
  <sheetViews>
    <sheetView view="pageBreakPreview" zoomScale="60" zoomScaleNormal="100" workbookViewId="0">
      <selection activeCell="E24" sqref="E24"/>
    </sheetView>
  </sheetViews>
  <sheetFormatPr defaultRowHeight="13.2"/>
  <sheetData/>
  <pageMargins left="0.7" right="0.7" top="0.75" bottom="0.75" header="0.3" footer="0.3"/>
  <pageSetup scale="63" orientation="landscape" r:id="rId1"/>
  <headerFooter>
    <oddHeader>&amp;L&amp;11ENRHIST&amp;C&amp;11OLDHAM COUNTY BOARD OF EDUCATION
CRESTWOOD, KENTUCKY&amp;R&amp;11&amp;D</oddHeader>
    <oddFooter>&amp;L&amp;11
DPP - OCBE
&amp;F&amp;R&amp;11
ENRHIST
Page 6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CCDC5BC023BF40820AAE15A23EFB10" ma:contentTypeVersion="11" ma:contentTypeDescription="Create a new document." ma:contentTypeScope="" ma:versionID="a7c25c213bd16969a97c417f9bbec392">
  <xsd:schema xmlns:xsd="http://www.w3.org/2001/XMLSchema" xmlns:xs="http://www.w3.org/2001/XMLSchema" xmlns:p="http://schemas.microsoft.com/office/2006/metadata/properties" xmlns:ns3="bd691bcb-2cc4-4003-af4f-dacb2008fe0e" xmlns:ns4="a4dc2fe5-78b3-4ca5-8773-dc87e961dedf" targetNamespace="http://schemas.microsoft.com/office/2006/metadata/properties" ma:root="true" ma:fieldsID="8d6b7198a11d62e63f1a1dac22299c31" ns3:_="" ns4:_="">
    <xsd:import namespace="bd691bcb-2cc4-4003-af4f-dacb2008fe0e"/>
    <xsd:import namespace="a4dc2fe5-78b3-4ca5-8773-dc87e961de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91bcb-2cc4-4003-af4f-dacb2008f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c2fe5-78b3-4ca5-8773-dc87e961de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3B079C-2483-442C-8EFF-DBA8F96E648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bd691bcb-2cc4-4003-af4f-dacb2008fe0e"/>
    <ds:schemaRef ds:uri="a4dc2fe5-78b3-4ca5-8773-dc87e961dedf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8A3D9E-AA96-40BA-AEE6-A79E5B14954E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bd691bcb-2cc4-4003-af4f-dacb2008fe0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a4dc2fe5-78b3-4ca5-8773-dc87e961ded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46C4E3F-B277-4E3D-8954-4C87E5BBD71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91a3e5c-39f2-43b7-9059-680ba2318d7c}" enabled="0" method="" siteId="{491a3e5c-39f2-43b7-9059-680ba2318d7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16</vt:i4>
      </vt:variant>
    </vt:vector>
  </HeadingPairs>
  <TitlesOfParts>
    <vt:vector size="52" baseType="lpstr">
      <vt:lpstr>SUMMARY</vt:lpstr>
      <vt:lpstr>ENRHIST</vt:lpstr>
      <vt:lpstr>ENPRJ3</vt:lpstr>
      <vt:lpstr>ENPRJ5</vt:lpstr>
      <vt:lpstr>ENPRJ10</vt:lpstr>
      <vt:lpstr>ENRHIST 1</vt:lpstr>
      <vt:lpstr>ENRHIST 2</vt:lpstr>
      <vt:lpstr>ENRHIST 3</vt:lpstr>
      <vt:lpstr>ENRHIST 4</vt:lpstr>
      <vt:lpstr>ENRHIST 5</vt:lpstr>
      <vt:lpstr>ENPRJ3 1</vt:lpstr>
      <vt:lpstr>ENPRJ3 2</vt:lpstr>
      <vt:lpstr>ENPRJ3 3</vt:lpstr>
      <vt:lpstr>ENPRJ3 4</vt:lpstr>
      <vt:lpstr>ENPRJ3 5</vt:lpstr>
      <vt:lpstr>ENPRJ3 6</vt:lpstr>
      <vt:lpstr>ENPRJ3 7</vt:lpstr>
      <vt:lpstr>ENPRJ3 8</vt:lpstr>
      <vt:lpstr>ENPRJ3 9</vt:lpstr>
      <vt:lpstr>ENPRJ3 10</vt:lpstr>
      <vt:lpstr>ENPRJ3 11</vt:lpstr>
      <vt:lpstr>ENPRJ3 12</vt:lpstr>
      <vt:lpstr>ENPRJ5 1</vt:lpstr>
      <vt:lpstr>ENPRJ5 2</vt:lpstr>
      <vt:lpstr>ENPRJ5 3</vt:lpstr>
      <vt:lpstr>ENPRJ5 4</vt:lpstr>
      <vt:lpstr>ENPRJ5 5</vt:lpstr>
      <vt:lpstr>ENPRJ5 6</vt:lpstr>
      <vt:lpstr>ENPRJ5 7</vt:lpstr>
      <vt:lpstr>ENPRJ10 1</vt:lpstr>
      <vt:lpstr>ENPRJ10 2</vt:lpstr>
      <vt:lpstr>ENPRJ10 3</vt:lpstr>
      <vt:lpstr>ENPRJ10 4</vt:lpstr>
      <vt:lpstr>ENPRJ10 5</vt:lpstr>
      <vt:lpstr>ENPRJ10 6</vt:lpstr>
      <vt:lpstr>ENPRJ10 7</vt:lpstr>
      <vt:lpstr>ENPRJ10!Print_Area</vt:lpstr>
      <vt:lpstr>'ENPRJ10 2'!Print_Area</vt:lpstr>
      <vt:lpstr>ENPRJ3!Print_Area</vt:lpstr>
      <vt:lpstr>'ENPRJ3 7'!Print_Area</vt:lpstr>
      <vt:lpstr>ENPRJ5!Print_Area</vt:lpstr>
      <vt:lpstr>ENRHIST!Print_Area</vt:lpstr>
      <vt:lpstr>'ENRHIST 1'!Print_Area</vt:lpstr>
      <vt:lpstr>SUMMARY!Print_Area</vt:lpstr>
      <vt:lpstr>ENPRJ10!Print_Titles</vt:lpstr>
      <vt:lpstr>ENPRJ3!Print_Titles</vt:lpstr>
      <vt:lpstr>ENPRJ5!Print_Titles</vt:lpstr>
      <vt:lpstr>ENRHIST!Print_Titles</vt:lpstr>
      <vt:lpstr>ENPRJ10!Print_Titles_MI</vt:lpstr>
      <vt:lpstr>ENPRJ3!Print_Titles_MI</vt:lpstr>
      <vt:lpstr>ENPRJ5!Print_Titles_MI</vt:lpstr>
      <vt:lpstr>ENRHIST!Print_Titles_MI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OLDHAM CO ENROLLMENT PROJECTION</dc:title>
  <dc:creator>Michael L. Williams</dc:creator>
  <cp:lastModifiedBy>Williams, Michael L</cp:lastModifiedBy>
  <cp:lastPrinted>2025-10-20T18:46:26Z</cp:lastPrinted>
  <dcterms:created xsi:type="dcterms:W3CDTF">1998-07-02T18:27:18Z</dcterms:created>
  <dcterms:modified xsi:type="dcterms:W3CDTF">2025-11-17T19:47:55Z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0x010100F2CCDC5BC023BF40820AAE15A23EFB10</vt:lpwstr>
  </property>
</Properties>
</file>