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2025-26\November 2025\"/>
    </mc:Choice>
  </mc:AlternateContent>
  <xr:revisionPtr revIDLastSave="0" documentId="13_ncr:1_{670CFBF8-4A34-42F2-A214-B23432AB457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Z90" i="1" l="1"/>
  <c r="W90" i="1"/>
  <c r="V90" i="1"/>
  <c r="S90" i="1"/>
  <c r="R90" i="1"/>
  <c r="O90" i="1"/>
  <c r="N90" i="1"/>
  <c r="K90" i="1"/>
  <c r="J90" i="1"/>
  <c r="G90" i="1"/>
  <c r="E90" i="1"/>
  <c r="C90" i="1"/>
  <c r="B90" i="1"/>
  <c r="Z89" i="1"/>
  <c r="Y89" i="1"/>
  <c r="Y90" i="1" s="1"/>
  <c r="X89" i="1"/>
  <c r="W89" i="1"/>
  <c r="V89" i="1"/>
  <c r="U89" i="1"/>
  <c r="U90" i="1" s="1"/>
  <c r="T89" i="1"/>
  <c r="T90" i="1" s="1"/>
  <c r="S89" i="1"/>
  <c r="R89" i="1"/>
  <c r="Q89" i="1"/>
  <c r="Q90" i="1" s="1"/>
  <c r="P89" i="1"/>
  <c r="O89" i="1"/>
  <c r="N89" i="1"/>
  <c r="M89" i="1"/>
  <c r="M90" i="1" s="1"/>
  <c r="L89" i="1"/>
  <c r="L90" i="1" s="1"/>
  <c r="K89" i="1"/>
  <c r="J89" i="1"/>
  <c r="I89" i="1"/>
  <c r="I90" i="1" s="1"/>
  <c r="H89" i="1"/>
  <c r="F89" i="1"/>
  <c r="F90" i="1" s="1"/>
  <c r="D89" i="1"/>
  <c r="AA89" i="1" s="1"/>
  <c r="X88" i="1"/>
  <c r="X90" i="1" s="1"/>
  <c r="P88" i="1"/>
  <c r="P90" i="1" s="1"/>
  <c r="H88" i="1"/>
  <c r="H90" i="1" s="1"/>
  <c r="B88" i="1"/>
  <c r="AA88" i="1" s="1"/>
  <c r="AA87" i="1"/>
  <c r="Z86" i="1"/>
  <c r="X86" i="1"/>
  <c r="W86" i="1"/>
  <c r="S86" i="1"/>
  <c r="P86" i="1"/>
  <c r="O86" i="1"/>
  <c r="M86" i="1"/>
  <c r="L86" i="1"/>
  <c r="K86" i="1"/>
  <c r="I86" i="1"/>
  <c r="H86" i="1"/>
  <c r="F86" i="1"/>
  <c r="E86" i="1"/>
  <c r="D86" i="1"/>
  <c r="C86" i="1"/>
  <c r="B85" i="1"/>
  <c r="AA85" i="1" s="1"/>
  <c r="V84" i="1"/>
  <c r="R84" i="1"/>
  <c r="Q84" i="1"/>
  <c r="P84" i="1"/>
  <c r="B84" i="1"/>
  <c r="AA84" i="1" s="1"/>
  <c r="Y83" i="1"/>
  <c r="Y86" i="1" s="1"/>
  <c r="X83" i="1"/>
  <c r="V83" i="1"/>
  <c r="U83" i="1"/>
  <c r="U86" i="1" s="1"/>
  <c r="T83" i="1"/>
  <c r="T86" i="1" s="1"/>
  <c r="R83" i="1"/>
  <c r="Q83" i="1"/>
  <c r="P83" i="1"/>
  <c r="N83" i="1"/>
  <c r="N86" i="1" s="1"/>
  <c r="K83" i="1"/>
  <c r="G83" i="1"/>
  <c r="B83" i="1"/>
  <c r="AA83" i="1" s="1"/>
  <c r="X82" i="1"/>
  <c r="V82" i="1"/>
  <c r="R82" i="1"/>
  <c r="Q82" i="1"/>
  <c r="Q86" i="1" s="1"/>
  <c r="P82" i="1"/>
  <c r="K82" i="1"/>
  <c r="B82" i="1"/>
  <c r="AA82" i="1" s="1"/>
  <c r="Y81" i="1"/>
  <c r="X81" i="1"/>
  <c r="V81" i="1"/>
  <c r="V86" i="1" s="1"/>
  <c r="R81" i="1"/>
  <c r="R86" i="1" s="1"/>
  <c r="P81" i="1"/>
  <c r="K81" i="1"/>
  <c r="J81" i="1"/>
  <c r="J86" i="1" s="1"/>
  <c r="G81" i="1"/>
  <c r="G86" i="1" s="1"/>
  <c r="AA80" i="1"/>
  <c r="Z79" i="1"/>
  <c r="Y79" i="1"/>
  <c r="W79" i="1"/>
  <c r="U79" i="1"/>
  <c r="Q79" i="1"/>
  <c r="O79" i="1"/>
  <c r="N79" i="1"/>
  <c r="M79" i="1"/>
  <c r="L79" i="1"/>
  <c r="J79" i="1"/>
  <c r="I79" i="1"/>
  <c r="F79" i="1"/>
  <c r="E79" i="1"/>
  <c r="AA78" i="1"/>
  <c r="D78" i="1"/>
  <c r="B78" i="1"/>
  <c r="X77" i="1"/>
  <c r="V77" i="1"/>
  <c r="U77" i="1"/>
  <c r="T77" i="1"/>
  <c r="T79" i="1" s="1"/>
  <c r="R77" i="1"/>
  <c r="R79" i="1" s="1"/>
  <c r="Q77" i="1"/>
  <c r="P77" i="1"/>
  <c r="K77" i="1"/>
  <c r="H77" i="1"/>
  <c r="G77" i="1"/>
  <c r="E77" i="1"/>
  <c r="D77" i="1"/>
  <c r="C77" i="1"/>
  <c r="AA77" i="1" s="1"/>
  <c r="B77" i="1"/>
  <c r="S76" i="1"/>
  <c r="S79" i="1" s="1"/>
  <c r="H76" i="1"/>
  <c r="H79" i="1" s="1"/>
  <c r="H91" i="1" s="1"/>
  <c r="G76" i="1"/>
  <c r="G79" i="1" s="1"/>
  <c r="D76" i="1"/>
  <c r="B76" i="1"/>
  <c r="AA76" i="1" s="1"/>
  <c r="AA75" i="1"/>
  <c r="X75" i="1"/>
  <c r="V75" i="1"/>
  <c r="P75" i="1"/>
  <c r="D75" i="1"/>
  <c r="B75" i="1"/>
  <c r="X74" i="1"/>
  <c r="X79" i="1" s="1"/>
  <c r="V74" i="1"/>
  <c r="V79" i="1" s="1"/>
  <c r="R74" i="1"/>
  <c r="Q74" i="1"/>
  <c r="P74" i="1"/>
  <c r="K74" i="1"/>
  <c r="D74" i="1"/>
  <c r="D79" i="1" s="1"/>
  <c r="B74" i="1"/>
  <c r="AA74" i="1" s="1"/>
  <c r="P73" i="1"/>
  <c r="K73" i="1"/>
  <c r="K79" i="1" s="1"/>
  <c r="D73" i="1"/>
  <c r="B73" i="1"/>
  <c r="AA73" i="1" s="1"/>
  <c r="P72" i="1"/>
  <c r="P79" i="1" s="1"/>
  <c r="D72" i="1"/>
  <c r="B72" i="1"/>
  <c r="AA72" i="1" s="1"/>
  <c r="AA71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AA69" i="1"/>
  <c r="D69" i="1"/>
  <c r="B69" i="1"/>
  <c r="D68" i="1"/>
  <c r="B68" i="1"/>
  <c r="B70" i="1" s="1"/>
  <c r="AA70" i="1" s="1"/>
  <c r="AA67" i="1"/>
  <c r="Z66" i="1"/>
  <c r="Y66" i="1"/>
  <c r="W66" i="1"/>
  <c r="V66" i="1"/>
  <c r="U66" i="1"/>
  <c r="T66" i="1"/>
  <c r="S66" i="1"/>
  <c r="O66" i="1"/>
  <c r="N66" i="1"/>
  <c r="M66" i="1"/>
  <c r="L66" i="1"/>
  <c r="J66" i="1"/>
  <c r="I66" i="1"/>
  <c r="H66" i="1"/>
  <c r="F66" i="1"/>
  <c r="E66" i="1"/>
  <c r="E91" i="1" s="1"/>
  <c r="C66" i="1"/>
  <c r="B66" i="1"/>
  <c r="G65" i="1"/>
  <c r="AA65" i="1" s="1"/>
  <c r="D64" i="1"/>
  <c r="AA64" i="1" s="1"/>
  <c r="X63" i="1"/>
  <c r="X66" i="1" s="1"/>
  <c r="V63" i="1"/>
  <c r="R63" i="1"/>
  <c r="R66" i="1" s="1"/>
  <c r="Q63" i="1"/>
  <c r="P63" i="1"/>
  <c r="P66" i="1" s="1"/>
  <c r="K63" i="1"/>
  <c r="K66" i="1" s="1"/>
  <c r="G63" i="1"/>
  <c r="G66" i="1" s="1"/>
  <c r="D63" i="1"/>
  <c r="AA63" i="1" s="1"/>
  <c r="B63" i="1"/>
  <c r="D62" i="1"/>
  <c r="AA62" i="1" s="1"/>
  <c r="B62" i="1"/>
  <c r="AA61" i="1"/>
  <c r="Q61" i="1"/>
  <c r="Q66" i="1" s="1"/>
  <c r="D60" i="1"/>
  <c r="AA60" i="1" s="1"/>
  <c r="B60" i="1"/>
  <c r="D59" i="1"/>
  <c r="AA59" i="1" s="1"/>
  <c r="B59" i="1"/>
  <c r="D58" i="1"/>
  <c r="B58" i="1"/>
  <c r="AA58" i="1" s="1"/>
  <c r="AA57" i="1"/>
  <c r="D57" i="1"/>
  <c r="D66" i="1" s="1"/>
  <c r="B57" i="1"/>
  <c r="AA56" i="1"/>
  <c r="X55" i="1"/>
  <c r="V55" i="1"/>
  <c r="K55" i="1"/>
  <c r="G55" i="1"/>
  <c r="D55" i="1"/>
  <c r="B55" i="1"/>
  <c r="AA55" i="1" s="1"/>
  <c r="Z54" i="1"/>
  <c r="Y54" i="1"/>
  <c r="W54" i="1"/>
  <c r="V54" i="1"/>
  <c r="U54" i="1"/>
  <c r="T54" i="1"/>
  <c r="S54" i="1"/>
  <c r="Q54" i="1"/>
  <c r="O54" i="1"/>
  <c r="N54" i="1"/>
  <c r="L54" i="1"/>
  <c r="I54" i="1"/>
  <c r="H54" i="1"/>
  <c r="G54" i="1"/>
  <c r="F54" i="1"/>
  <c r="E54" i="1"/>
  <c r="C54" i="1"/>
  <c r="X53" i="1"/>
  <c r="V53" i="1"/>
  <c r="R53" i="1"/>
  <c r="R54" i="1" s="1"/>
  <c r="Q53" i="1"/>
  <c r="P53" i="1"/>
  <c r="P54" i="1" s="1"/>
  <c r="K53" i="1"/>
  <c r="K54" i="1" s="1"/>
  <c r="I53" i="1"/>
  <c r="G53" i="1"/>
  <c r="D53" i="1"/>
  <c r="B53" i="1"/>
  <c r="AA53" i="1" s="1"/>
  <c r="AA52" i="1"/>
  <c r="D52" i="1"/>
  <c r="B52" i="1"/>
  <c r="AA51" i="1"/>
  <c r="B51" i="1"/>
  <c r="X50" i="1"/>
  <c r="X54" i="1" s="1"/>
  <c r="M50" i="1"/>
  <c r="M54" i="1" s="1"/>
  <c r="J50" i="1"/>
  <c r="J54" i="1" s="1"/>
  <c r="D50" i="1"/>
  <c r="D54" i="1" s="1"/>
  <c r="B50" i="1"/>
  <c r="B54" i="1" s="1"/>
  <c r="AA49" i="1"/>
  <c r="U48" i="1"/>
  <c r="T48" i="1"/>
  <c r="S48" i="1"/>
  <c r="P48" i="1"/>
  <c r="O48" i="1"/>
  <c r="H48" i="1"/>
  <c r="G48" i="1"/>
  <c r="E48" i="1"/>
  <c r="C48" i="1"/>
  <c r="Z47" i="1"/>
  <c r="Y47" i="1"/>
  <c r="X47" i="1"/>
  <c r="W47" i="1"/>
  <c r="V47" i="1"/>
  <c r="R47" i="1"/>
  <c r="Q47" i="1"/>
  <c r="N47" i="1"/>
  <c r="M47" i="1"/>
  <c r="L47" i="1"/>
  <c r="K47" i="1"/>
  <c r="AA47" i="1" s="1"/>
  <c r="Z46" i="1"/>
  <c r="X46" i="1"/>
  <c r="V46" i="1"/>
  <c r="R46" i="1"/>
  <c r="N46" i="1"/>
  <c r="M46" i="1"/>
  <c r="K46" i="1"/>
  <c r="J46" i="1"/>
  <c r="I46" i="1"/>
  <c r="F46" i="1"/>
  <c r="D46" i="1"/>
  <c r="AA46" i="1" s="1"/>
  <c r="B45" i="1"/>
  <c r="AA45" i="1" s="1"/>
  <c r="AA44" i="1"/>
  <c r="X44" i="1"/>
  <c r="M44" i="1"/>
  <c r="J44" i="1"/>
  <c r="D44" i="1"/>
  <c r="B44" i="1"/>
  <c r="Z43" i="1"/>
  <c r="Y43" i="1"/>
  <c r="X43" i="1"/>
  <c r="W43" i="1"/>
  <c r="V43" i="1"/>
  <c r="R43" i="1"/>
  <c r="Q43" i="1"/>
  <c r="N43" i="1"/>
  <c r="M43" i="1"/>
  <c r="L43" i="1"/>
  <c r="L48" i="1" s="1"/>
  <c r="K43" i="1"/>
  <c r="AA43" i="1" s="1"/>
  <c r="Z42" i="1"/>
  <c r="X42" i="1"/>
  <c r="W42" i="1"/>
  <c r="V42" i="1"/>
  <c r="Q42" i="1"/>
  <c r="M42" i="1"/>
  <c r="L42" i="1"/>
  <c r="J42" i="1"/>
  <c r="F42" i="1"/>
  <c r="D42" i="1"/>
  <c r="B42" i="1"/>
  <c r="AA42" i="1" s="1"/>
  <c r="Y41" i="1"/>
  <c r="X41" i="1"/>
  <c r="V41" i="1"/>
  <c r="R41" i="1"/>
  <c r="Q41" i="1"/>
  <c r="O41" i="1"/>
  <c r="N41" i="1"/>
  <c r="K41" i="1"/>
  <c r="J41" i="1"/>
  <c r="I41" i="1"/>
  <c r="D41" i="1"/>
  <c r="B41" i="1"/>
  <c r="AA41" i="1" s="1"/>
  <c r="Z40" i="1"/>
  <c r="Y40" i="1"/>
  <c r="X40" i="1"/>
  <c r="W40" i="1"/>
  <c r="V40" i="1"/>
  <c r="R40" i="1"/>
  <c r="Q40" i="1"/>
  <c r="O40" i="1"/>
  <c r="N40" i="1"/>
  <c r="M40" i="1"/>
  <c r="L40" i="1"/>
  <c r="K40" i="1"/>
  <c r="J40" i="1"/>
  <c r="I40" i="1"/>
  <c r="I48" i="1" s="1"/>
  <c r="F40" i="1"/>
  <c r="D40" i="1"/>
  <c r="D48" i="1" s="1"/>
  <c r="B40" i="1"/>
  <c r="Z39" i="1"/>
  <c r="X39" i="1"/>
  <c r="X48" i="1" s="1"/>
  <c r="W39" i="1"/>
  <c r="W48" i="1" s="1"/>
  <c r="V39" i="1"/>
  <c r="Q39" i="1"/>
  <c r="M39" i="1"/>
  <c r="L39" i="1"/>
  <c r="J39" i="1"/>
  <c r="J48" i="1" s="1"/>
  <c r="F39" i="1"/>
  <c r="F48" i="1" s="1"/>
  <c r="D39" i="1"/>
  <c r="B39" i="1"/>
  <c r="AA39" i="1" s="1"/>
  <c r="B38" i="1"/>
  <c r="AA38" i="1" s="1"/>
  <c r="Z37" i="1"/>
  <c r="Z48" i="1" s="1"/>
  <c r="Y37" i="1"/>
  <c r="Y48" i="1" s="1"/>
  <c r="X37" i="1"/>
  <c r="W37" i="1"/>
  <c r="V37" i="1"/>
  <c r="V48" i="1" s="1"/>
  <c r="R37" i="1"/>
  <c r="R48" i="1" s="1"/>
  <c r="Q37" i="1"/>
  <c r="Q48" i="1" s="1"/>
  <c r="N37" i="1"/>
  <c r="N48" i="1" s="1"/>
  <c r="M37" i="1"/>
  <c r="M48" i="1" s="1"/>
  <c r="L37" i="1"/>
  <c r="K37" i="1"/>
  <c r="K48" i="1" s="1"/>
  <c r="AA36" i="1"/>
  <c r="U35" i="1"/>
  <c r="T35" i="1"/>
  <c r="T91" i="1" s="1"/>
  <c r="S35" i="1"/>
  <c r="P35" i="1"/>
  <c r="L35" i="1"/>
  <c r="K35" i="1"/>
  <c r="H35" i="1"/>
  <c r="G35" i="1"/>
  <c r="G91" i="1" s="1"/>
  <c r="E35" i="1"/>
  <c r="D35" i="1"/>
  <c r="C35" i="1"/>
  <c r="Z34" i="1"/>
  <c r="Z35" i="1" s="1"/>
  <c r="Z91" i="1" s="1"/>
  <c r="X34" i="1"/>
  <c r="W34" i="1"/>
  <c r="W35" i="1" s="1"/>
  <c r="W91" i="1" s="1"/>
  <c r="V34" i="1"/>
  <c r="Q34" i="1"/>
  <c r="M34" i="1"/>
  <c r="M35" i="1" s="1"/>
  <c r="M91" i="1" s="1"/>
  <c r="L34" i="1"/>
  <c r="J34" i="1"/>
  <c r="F34" i="1"/>
  <c r="F35" i="1" s="1"/>
  <c r="D34" i="1"/>
  <c r="B34" i="1"/>
  <c r="AA34" i="1" s="1"/>
  <c r="Y33" i="1"/>
  <c r="Y35" i="1" s="1"/>
  <c r="X33" i="1"/>
  <c r="X35" i="1" s="1"/>
  <c r="X91" i="1" s="1"/>
  <c r="V33" i="1"/>
  <c r="V35" i="1" s="1"/>
  <c r="R33" i="1"/>
  <c r="R35" i="1" s="1"/>
  <c r="Q33" i="1"/>
  <c r="Q35" i="1" s="1"/>
  <c r="O33" i="1"/>
  <c r="O35" i="1" s="1"/>
  <c r="O91" i="1" s="1"/>
  <c r="N33" i="1"/>
  <c r="N35" i="1" s="1"/>
  <c r="N91" i="1" s="1"/>
  <c r="K33" i="1"/>
  <c r="J33" i="1"/>
  <c r="J35" i="1" s="1"/>
  <c r="I33" i="1"/>
  <c r="I35" i="1" s="1"/>
  <c r="I91" i="1" s="1"/>
  <c r="D33" i="1"/>
  <c r="B33" i="1"/>
  <c r="B35" i="1" s="1"/>
  <c r="AA32" i="1"/>
  <c r="Y29" i="1"/>
  <c r="Y30" i="1" s="1"/>
  <c r="Y28" i="1"/>
  <c r="X28" i="1"/>
  <c r="S28" i="1"/>
  <c r="L28" i="1"/>
  <c r="K28" i="1"/>
  <c r="I28" i="1"/>
  <c r="H28" i="1"/>
  <c r="G28" i="1"/>
  <c r="F28" i="1"/>
  <c r="E28" i="1"/>
  <c r="D28" i="1"/>
  <c r="C28" i="1"/>
  <c r="B28" i="1"/>
  <c r="Z27" i="1"/>
  <c r="Z28" i="1" s="1"/>
  <c r="X27" i="1"/>
  <c r="W27" i="1"/>
  <c r="W28" i="1" s="1"/>
  <c r="V27" i="1"/>
  <c r="V28" i="1" s="1"/>
  <c r="V29" i="1" s="1"/>
  <c r="V30" i="1" s="1"/>
  <c r="U27" i="1"/>
  <c r="U28" i="1" s="1"/>
  <c r="T27" i="1"/>
  <c r="T28" i="1" s="1"/>
  <c r="R27" i="1"/>
  <c r="R28" i="1" s="1"/>
  <c r="Q27" i="1"/>
  <c r="Q28" i="1" s="1"/>
  <c r="Q29" i="1" s="1"/>
  <c r="Q30" i="1" s="1"/>
  <c r="P27" i="1"/>
  <c r="P28" i="1" s="1"/>
  <c r="N27" i="1"/>
  <c r="N28" i="1" s="1"/>
  <c r="N29" i="1" s="1"/>
  <c r="N30" i="1" s="1"/>
  <c r="N92" i="1" s="1"/>
  <c r="N93" i="1" s="1"/>
  <c r="K27" i="1"/>
  <c r="O26" i="1"/>
  <c r="O28" i="1" s="1"/>
  <c r="M26" i="1"/>
  <c r="M28" i="1" s="1"/>
  <c r="L26" i="1"/>
  <c r="J26" i="1"/>
  <c r="J28" i="1" s="1"/>
  <c r="AA25" i="1"/>
  <c r="B24" i="1"/>
  <c r="AA24" i="1" s="1"/>
  <c r="B23" i="1"/>
  <c r="AA23" i="1" s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H22" i="1"/>
  <c r="G22" i="1"/>
  <c r="F22" i="1"/>
  <c r="E22" i="1"/>
  <c r="C22" i="1"/>
  <c r="B22" i="1"/>
  <c r="D21" i="1"/>
  <c r="AA21" i="1" s="1"/>
  <c r="I20" i="1"/>
  <c r="I22" i="1" s="1"/>
  <c r="I29" i="1" s="1"/>
  <c r="I30" i="1" s="1"/>
  <c r="D20" i="1"/>
  <c r="AA20" i="1" s="1"/>
  <c r="Z19" i="1"/>
  <c r="Z29" i="1" s="1"/>
  <c r="Z30" i="1" s="1"/>
  <c r="Z92" i="1" s="1"/>
  <c r="Z93" i="1" s="1"/>
  <c r="Y19" i="1"/>
  <c r="X19" i="1"/>
  <c r="X29" i="1" s="1"/>
  <c r="X30" i="1" s="1"/>
  <c r="X92" i="1" s="1"/>
  <c r="X93" i="1" s="1"/>
  <c r="W19" i="1"/>
  <c r="W29" i="1" s="1"/>
  <c r="W30" i="1" s="1"/>
  <c r="W92" i="1" s="1"/>
  <c r="W93" i="1" s="1"/>
  <c r="V19" i="1"/>
  <c r="U19" i="1"/>
  <c r="U29" i="1" s="1"/>
  <c r="U30" i="1" s="1"/>
  <c r="T19" i="1"/>
  <c r="S19" i="1"/>
  <c r="S29" i="1" s="1"/>
  <c r="S30" i="1" s="1"/>
  <c r="R19" i="1"/>
  <c r="Q19" i="1"/>
  <c r="P19" i="1"/>
  <c r="P29" i="1" s="1"/>
  <c r="P30" i="1" s="1"/>
  <c r="O19" i="1"/>
  <c r="O29" i="1" s="1"/>
  <c r="O30" i="1" s="1"/>
  <c r="O92" i="1" s="1"/>
  <c r="O93" i="1" s="1"/>
  <c r="N19" i="1"/>
  <c r="M19" i="1"/>
  <c r="M29" i="1" s="1"/>
  <c r="M30" i="1" s="1"/>
  <c r="L19" i="1"/>
  <c r="L29" i="1" s="1"/>
  <c r="L30" i="1" s="1"/>
  <c r="K19" i="1"/>
  <c r="K29" i="1" s="1"/>
  <c r="K30" i="1" s="1"/>
  <c r="J19" i="1"/>
  <c r="I19" i="1"/>
  <c r="G19" i="1"/>
  <c r="G29" i="1" s="1"/>
  <c r="G30" i="1" s="1"/>
  <c r="G92" i="1" s="1"/>
  <c r="G93" i="1" s="1"/>
  <c r="E19" i="1"/>
  <c r="E29" i="1" s="1"/>
  <c r="E30" i="1" s="1"/>
  <c r="E92" i="1" s="1"/>
  <c r="E93" i="1" s="1"/>
  <c r="C19" i="1"/>
  <c r="C29" i="1" s="1"/>
  <c r="C30" i="1" s="1"/>
  <c r="AA18" i="1"/>
  <c r="D18" i="1"/>
  <c r="AA17" i="1"/>
  <c r="C17" i="1"/>
  <c r="B17" i="1"/>
  <c r="B16" i="1"/>
  <c r="AA16" i="1" s="1"/>
  <c r="AA15" i="1"/>
  <c r="B15" i="1"/>
  <c r="B14" i="1"/>
  <c r="AA14" i="1" s="1"/>
  <c r="H13" i="1"/>
  <c r="G13" i="1"/>
  <c r="D13" i="1"/>
  <c r="D19" i="1" s="1"/>
  <c r="B13" i="1"/>
  <c r="AA13" i="1" s="1"/>
  <c r="AA12" i="1"/>
  <c r="G12" i="1"/>
  <c r="AA11" i="1"/>
  <c r="F11" i="1"/>
  <c r="F19" i="1" s="1"/>
  <c r="F29" i="1" s="1"/>
  <c r="F30" i="1" s="1"/>
  <c r="H10" i="1"/>
  <c r="H19" i="1" s="1"/>
  <c r="H29" i="1" s="1"/>
  <c r="H30" i="1" s="1"/>
  <c r="G10" i="1"/>
  <c r="AA10" i="1" s="1"/>
  <c r="AA9" i="1"/>
  <c r="B9" i="1"/>
  <c r="B8" i="1"/>
  <c r="AA8" i="1" s="1"/>
  <c r="AA7" i="1"/>
  <c r="P91" i="1" l="1"/>
  <c r="J29" i="1"/>
  <c r="J30" i="1" s="1"/>
  <c r="R29" i="1"/>
  <c r="R30" i="1" s="1"/>
  <c r="K91" i="1"/>
  <c r="K92" i="1" s="1"/>
  <c r="K93" i="1" s="1"/>
  <c r="AA54" i="1"/>
  <c r="AA90" i="1"/>
  <c r="AA28" i="1"/>
  <c r="L91" i="1"/>
  <c r="L92" i="1" s="1"/>
  <c r="L93" i="1" s="1"/>
  <c r="U91" i="1"/>
  <c r="V91" i="1"/>
  <c r="V92" i="1" s="1"/>
  <c r="V93" i="1" s="1"/>
  <c r="Y91" i="1"/>
  <c r="Y92" i="1" s="1"/>
  <c r="Y93" i="1" s="1"/>
  <c r="H92" i="1"/>
  <c r="H93" i="1" s="1"/>
  <c r="T29" i="1"/>
  <c r="T30" i="1" s="1"/>
  <c r="T92" i="1" s="1"/>
  <c r="T93" i="1" s="1"/>
  <c r="I92" i="1"/>
  <c r="I93" i="1" s="1"/>
  <c r="F91" i="1"/>
  <c r="F92" i="1" s="1"/>
  <c r="F93" i="1" s="1"/>
  <c r="Q91" i="1"/>
  <c r="Q92" i="1" s="1"/>
  <c r="Q93" i="1" s="1"/>
  <c r="S91" i="1"/>
  <c r="S92" i="1" s="1"/>
  <c r="S93" i="1" s="1"/>
  <c r="P92" i="1"/>
  <c r="P93" i="1" s="1"/>
  <c r="J91" i="1"/>
  <c r="M92" i="1"/>
  <c r="M93" i="1" s="1"/>
  <c r="U92" i="1"/>
  <c r="U93" i="1" s="1"/>
  <c r="AA35" i="1"/>
  <c r="R91" i="1"/>
  <c r="AA66" i="1"/>
  <c r="B19" i="1"/>
  <c r="D22" i="1"/>
  <c r="D29" i="1" s="1"/>
  <c r="D30" i="1" s="1"/>
  <c r="D92" i="1" s="1"/>
  <c r="D93" i="1" s="1"/>
  <c r="AA26" i="1"/>
  <c r="AA33" i="1"/>
  <c r="AA68" i="1"/>
  <c r="C79" i="1"/>
  <c r="C91" i="1" s="1"/>
  <c r="C92" i="1" s="1"/>
  <c r="C93" i="1" s="1"/>
  <c r="B86" i="1"/>
  <c r="AA86" i="1" s="1"/>
  <c r="D90" i="1"/>
  <c r="D91" i="1" s="1"/>
  <c r="B48" i="1"/>
  <c r="AA48" i="1" s="1"/>
  <c r="AA50" i="1"/>
  <c r="B79" i="1"/>
  <c r="AA79" i="1" s="1"/>
  <c r="AA81" i="1"/>
  <c r="AA37" i="1"/>
  <c r="AA40" i="1"/>
  <c r="AA27" i="1"/>
  <c r="AA22" i="1" l="1"/>
  <c r="R92" i="1"/>
  <c r="R93" i="1" s="1"/>
  <c r="J92" i="1"/>
  <c r="J93" i="1" s="1"/>
  <c r="AA19" i="1"/>
  <c r="B29" i="1"/>
  <c r="B91" i="1"/>
  <c r="AA91" i="1" s="1"/>
  <c r="B30" i="1" l="1"/>
  <c r="AA29" i="1"/>
  <c r="B92" i="1" l="1"/>
  <c r="AA30" i="1"/>
  <c r="B93" i="1" l="1"/>
  <c r="AA93" i="1" s="1"/>
  <c r="AA92" i="1"/>
</calcChain>
</file>

<file path=xl/sharedStrings.xml><?xml version="1.0" encoding="utf-8"?>
<sst xmlns="http://schemas.openxmlformats.org/spreadsheetml/2006/main" count="117" uniqueCount="117">
  <si>
    <t>0010 - Operations</t>
  </si>
  <si>
    <t>0025 - Staff Account</t>
  </si>
  <si>
    <t>1100 - RSP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</si>
  <si>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</si>
  <si>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</si>
  <si>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</si>
  <si>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</si>
  <si>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</si>
  <si>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</si>
  <si>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</si>
  <si>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 State</t>
  </si>
  <si>
    <t>2943 - DCBS State</t>
  </si>
  <si>
    <t>3010 - FRYSC - Fed</t>
  </si>
  <si>
    <t>3220 - PERS Effectiveness Coach</t>
  </si>
  <si>
    <t>336L - IDEA B 24-25</t>
  </si>
  <si>
    <t>336M - IDEA B 25-26</t>
  </si>
  <si>
    <t>3416- SPF</t>
  </si>
  <si>
    <t>3420 - Interact for Health</t>
  </si>
  <si>
    <t>345K - Title III EL 23-24</t>
  </si>
  <si>
    <t>345L - Title III EL 24-25</t>
  </si>
  <si>
    <t>3800 - Trauma Informed</t>
  </si>
  <si>
    <t>3910 - DAIL Fed</t>
  </si>
  <si>
    <t>3925 - Mental Health</t>
  </si>
  <si>
    <t>3931 - RSP SBMH Counselor</t>
  </si>
  <si>
    <t>3943 - DCBS Fed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</si>
  <si>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</si>
  <si>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</si>
  <si>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</si>
  <si>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</si>
  <si>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</si>
  <si>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</si>
  <si>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</si>
  <si>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</si>
  <si>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</si>
  <si>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</si>
  <si>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</si>
  <si>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</si>
  <si>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</si>
  <si>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</si>
  <si>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</si>
  <si>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</si>
  <si>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</si>
  <si>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</si>
  <si>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</si>
  <si>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</si>
  <si>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</si>
  <si>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</si>
  <si>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</si>
  <si>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</si>
  <si>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</si>
  <si>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</si>
  <si>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</si>
  <si>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</si>
  <si>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</si>
  <si>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</si>
  <si>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</si>
  <si>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</si>
  <si>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</si>
  <si>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</si>
  <si>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</si>
  <si>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</si>
  <si>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</si>
  <si>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</si>
  <si>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</si>
  <si>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</si>
  <si>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</si>
  <si>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</si>
  <si>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</si>
  <si>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</si>
  <si>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</si>
  <si>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</si>
  <si>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</si>
  <si>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</si>
  <si>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</si>
  <si>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</si>
  <si>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</si>
  <si>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</si>
  <si>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</si>
  <si>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</si>
  <si>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</si>
  <si>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</si>
  <si>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</si>
  <si>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</si>
  <si>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</si>
  <si>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</si>
  <si>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</si>
  <si>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</si>
  <si>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</si>
  <si>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</si>
  <si>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</si>
  <si>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</si>
  <si>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</si>
  <si>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</si>
  <si>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</si>
  <si>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</si>
  <si>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</si>
  <si>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</si>
  <si>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</si>
  <si>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</si>
  <si>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</si>
  <si>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</si>
  <si>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</si>
  <si>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</si>
  <si>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</si>
  <si>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</si>
  <si>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</si>
  <si>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</si>
  <si>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</si>
  <si>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</si>
  <si>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</si>
  <si>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</si>
  <si>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</si>
  <si>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</si>
  <si>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</si>
  <si>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</si>
  <si>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</si>
  <si>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September,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</si>
</sst>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7"/>
  <sheetViews>
    <sheetView tabSelected="1" workbookViewId="0">
      <selection activeCell="A97" sqref="A97:AA97"/>
    </sheetView>
  </sheetViews>
  <sheetFormatPr defaultRowHeight="15" x14ac:dyDescent="0.25"/>
  <cols>
    <col min="1" max="1" width="37.85546875" customWidth="1"/>
    <col min="2" max="2" width="10.28515625" customWidth="1"/>
    <col min="3" max="3" width="7.7109375" customWidth="1"/>
    <col min="4" max="4" width="12" customWidth="1"/>
    <col min="5" max="5" width="7.7109375" customWidth="1"/>
    <col min="6" max="6" width="9.42578125" customWidth="1"/>
    <col min="7" max="7" width="11.140625" customWidth="1"/>
    <col min="8" max="8" width="8.5703125" customWidth="1"/>
    <col min="9" max="9" width="9.42578125" customWidth="1"/>
    <col min="10" max="11" width="10.28515625" customWidth="1"/>
    <col min="12" max="13" width="11.140625" customWidth="1"/>
    <col min="14" max="14" width="10.28515625" customWidth="1"/>
    <col min="15" max="15" width="9.42578125" customWidth="1"/>
    <col min="16" max="17" width="10.28515625" customWidth="1"/>
    <col min="18" max="18" width="9.42578125" customWidth="1"/>
    <col min="19" max="19" width="8.5703125" customWidth="1"/>
    <col min="20" max="20" width="7.7109375" customWidth="1"/>
    <col min="21" max="21" width="8.5703125" customWidth="1"/>
    <col min="22" max="22" width="10.28515625" customWidth="1"/>
    <col min="23" max="23" width="7.7109375" customWidth="1"/>
    <col min="24" max="25" width="11.140625" customWidth="1"/>
    <col min="26" max="26" width="7.7109375" customWidth="1"/>
    <col min="27" max="27" width="12" customWidth="1"/>
  </cols>
  <sheetData>
    <row r="1" spans="1:27" ht="18" x14ac:dyDescent="0.25">
      <c r="A1" s="10" t="s">
        <v>114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8" x14ac:dyDescent="0.25">
      <c r="A2" s="10" t="s">
        <v>115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x14ac:dyDescent="0.25">
      <c r="A3" s="11" t="s">
        <v>116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5" spans="1:27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</row>
    <row r="6" spans="1:27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25">
      <c r="A7" s="3" t="s">
        <v>27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5">
        <f t="shared" ref="AA7:AA30" si="0">((((((((((((((((((((((((B7)+(C7))+(D7))+(E7))+(F7))+(G7))+(H7))+(I7))+(J7))+(K7))+(L7))+(M7))+(N7))+(O7))+(P7))+(Q7))+(R7))+(S7))+(T7))+(U7))+(V7))+(W7))+(X7))+(Y7))+(Z7)</f>
        <v>0</v>
      </c>
    </row>
    <row r="8" spans="1:27" x14ac:dyDescent="0.25">
      <c r="A8" s="3" t="s">
        <v>28</v>
      </c>
      <c r="B8" s="5">
        <f>282607.03</f>
        <v>282607.03000000003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>
        <f t="shared" si="0"/>
        <v>282607.03000000003</v>
      </c>
    </row>
    <row r="9" spans="1:27" x14ac:dyDescent="0.25">
      <c r="A9" s="3" t="s">
        <v>29</v>
      </c>
      <c r="B9" s="5">
        <f>62438.83</f>
        <v>62438.83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5">
        <f t="shared" si="0"/>
        <v>62438.83</v>
      </c>
    </row>
    <row r="10" spans="1:27" x14ac:dyDescent="0.25">
      <c r="A10" s="3" t="s">
        <v>30</v>
      </c>
      <c r="B10" s="4"/>
      <c r="C10" s="4"/>
      <c r="D10" s="4"/>
      <c r="E10" s="4"/>
      <c r="F10" s="4"/>
      <c r="G10" s="5">
        <f>83041.74</f>
        <v>83041.740000000005</v>
      </c>
      <c r="H10" s="5">
        <f>1250</f>
        <v>1250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5">
        <f t="shared" si="0"/>
        <v>84291.74</v>
      </c>
    </row>
    <row r="11" spans="1:27" x14ac:dyDescent="0.25">
      <c r="A11" s="3" t="s">
        <v>31</v>
      </c>
      <c r="B11" s="4"/>
      <c r="C11" s="4"/>
      <c r="D11" s="4"/>
      <c r="E11" s="4"/>
      <c r="F11" s="5">
        <f>32697.49</f>
        <v>32697.49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5">
        <f t="shared" si="0"/>
        <v>32697.49</v>
      </c>
    </row>
    <row r="12" spans="1:27" x14ac:dyDescent="0.25">
      <c r="A12" s="3" t="s">
        <v>32</v>
      </c>
      <c r="B12" s="4"/>
      <c r="C12" s="4"/>
      <c r="D12" s="4"/>
      <c r="E12" s="4"/>
      <c r="F12" s="4"/>
      <c r="G12" s="5">
        <f>4250</f>
        <v>4250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5">
        <f t="shared" si="0"/>
        <v>4250</v>
      </c>
    </row>
    <row r="13" spans="1:27" x14ac:dyDescent="0.25">
      <c r="A13" s="3" t="s">
        <v>33</v>
      </c>
      <c r="B13" s="5">
        <f>9152.77</f>
        <v>9152.77</v>
      </c>
      <c r="C13" s="4"/>
      <c r="D13" s="5">
        <f>95.24</f>
        <v>95.24</v>
      </c>
      <c r="E13" s="4"/>
      <c r="F13" s="4"/>
      <c r="G13" s="5">
        <f>486.47</f>
        <v>486.47</v>
      </c>
      <c r="H13" s="5">
        <f>50</f>
        <v>50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5">
        <f t="shared" si="0"/>
        <v>9784.48</v>
      </c>
    </row>
    <row r="14" spans="1:27" x14ac:dyDescent="0.25">
      <c r="A14" s="3" t="s">
        <v>34</v>
      </c>
      <c r="B14" s="5">
        <f>48232.19</f>
        <v>48232.19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5">
        <f t="shared" si="0"/>
        <v>48232.19</v>
      </c>
    </row>
    <row r="15" spans="1:27" x14ac:dyDescent="0.25">
      <c r="A15" s="3" t="s">
        <v>35</v>
      </c>
      <c r="B15" s="5">
        <f>285010.38</f>
        <v>285010.38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5">
        <f t="shared" si="0"/>
        <v>285010.38</v>
      </c>
    </row>
    <row r="16" spans="1:27" x14ac:dyDescent="0.25">
      <c r="A16" s="3" t="s">
        <v>36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5">
        <f t="shared" si="0"/>
        <v>40000</v>
      </c>
    </row>
    <row r="17" spans="1:27" x14ac:dyDescent="0.25">
      <c r="A17" s="3" t="s">
        <v>37</v>
      </c>
      <c r="B17" s="5">
        <f>863.24</f>
        <v>863.24</v>
      </c>
      <c r="C17" s="5">
        <f>225</f>
        <v>225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5">
        <f t="shared" si="0"/>
        <v>1088.24</v>
      </c>
    </row>
    <row r="18" spans="1:27" x14ac:dyDescent="0.25">
      <c r="A18" s="3" t="s">
        <v>38</v>
      </c>
      <c r="B18" s="4"/>
      <c r="C18" s="4"/>
      <c r="D18" s="5">
        <f>65721</f>
        <v>65721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5">
        <f t="shared" si="0"/>
        <v>65721</v>
      </c>
    </row>
    <row r="19" spans="1:27" x14ac:dyDescent="0.25">
      <c r="A19" s="3" t="s">
        <v>39</v>
      </c>
      <c r="B19" s="6">
        <f t="shared" ref="B19:Z19" si="1">(((((((((((B7)+(B8))+(B9))+(B10))+(B11))+(B12))+(B13))+(B14))+(B15))+(B16))+(B17))+(B18)</f>
        <v>728304.44000000006</v>
      </c>
      <c r="C19" s="6">
        <f t="shared" si="1"/>
        <v>225</v>
      </c>
      <c r="D19" s="6">
        <f t="shared" si="1"/>
        <v>65816.240000000005</v>
      </c>
      <c r="E19" s="6">
        <f t="shared" si="1"/>
        <v>0</v>
      </c>
      <c r="F19" s="6">
        <f t="shared" si="1"/>
        <v>32697.49</v>
      </c>
      <c r="G19" s="6">
        <f t="shared" si="1"/>
        <v>87778.21</v>
      </c>
      <c r="H19" s="6">
        <f t="shared" si="1"/>
        <v>1300</v>
      </c>
      <c r="I19" s="6">
        <f t="shared" si="1"/>
        <v>0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0</v>
      </c>
      <c r="AA19" s="6">
        <f t="shared" si="0"/>
        <v>916121.38</v>
      </c>
    </row>
    <row r="20" spans="1:27" x14ac:dyDescent="0.25">
      <c r="A20" s="3" t="s">
        <v>40</v>
      </c>
      <c r="B20" s="4"/>
      <c r="C20" s="4"/>
      <c r="D20" s="5">
        <f>1107063.36</f>
        <v>1107063.3600000001</v>
      </c>
      <c r="E20" s="4"/>
      <c r="F20" s="4"/>
      <c r="G20" s="4"/>
      <c r="H20" s="4"/>
      <c r="I20" s="5">
        <f>93038.69</f>
        <v>93038.69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5">
        <f t="shared" si="0"/>
        <v>1200102.05</v>
      </c>
    </row>
    <row r="21" spans="1:27" x14ac:dyDescent="0.25">
      <c r="A21" s="3" t="s">
        <v>41</v>
      </c>
      <c r="B21" s="4"/>
      <c r="C21" s="4"/>
      <c r="D21" s="5">
        <f>21020.64</f>
        <v>21020.639999999999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5">
        <f t="shared" si="0"/>
        <v>21020.639999999999</v>
      </c>
    </row>
    <row r="22" spans="1:27" x14ac:dyDescent="0.25">
      <c r="A22" s="3" t="s">
        <v>42</v>
      </c>
      <c r="B22" s="6">
        <f t="shared" ref="B22:Z22" si="2">(B20)+(B21)</f>
        <v>0</v>
      </c>
      <c r="C22" s="6">
        <f t="shared" si="2"/>
        <v>0</v>
      </c>
      <c r="D22" s="6">
        <f t="shared" si="2"/>
        <v>1128084</v>
      </c>
      <c r="E22" s="6">
        <f t="shared" si="2"/>
        <v>0</v>
      </c>
      <c r="F22" s="6">
        <f t="shared" si="2"/>
        <v>0</v>
      </c>
      <c r="G22" s="6">
        <f t="shared" si="2"/>
        <v>0</v>
      </c>
      <c r="H22" s="6">
        <f t="shared" si="2"/>
        <v>0</v>
      </c>
      <c r="I22" s="6">
        <f t="shared" si="2"/>
        <v>93038.69</v>
      </c>
      <c r="J22" s="6">
        <f t="shared" si="2"/>
        <v>0</v>
      </c>
      <c r="K22" s="6">
        <f t="shared" si="2"/>
        <v>0</v>
      </c>
      <c r="L22" s="6">
        <f t="shared" si="2"/>
        <v>0</v>
      </c>
      <c r="M22" s="6">
        <f t="shared" si="2"/>
        <v>0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0"/>
        <v>1221122.69</v>
      </c>
    </row>
    <row r="23" spans="1:27" x14ac:dyDescent="0.25">
      <c r="A23" s="3" t="s">
        <v>43</v>
      </c>
      <c r="B23" s="5">
        <f>5292</f>
        <v>5292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5">
        <f t="shared" si="0"/>
        <v>5292</v>
      </c>
    </row>
    <row r="24" spans="1:27" x14ac:dyDescent="0.25">
      <c r="A24" s="3" t="s">
        <v>44</v>
      </c>
      <c r="B24" s="5">
        <f>16772.19</f>
        <v>16772.189999999999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5">
        <f t="shared" si="0"/>
        <v>16772.189999999999</v>
      </c>
    </row>
    <row r="25" spans="1:27" x14ac:dyDescent="0.25">
      <c r="A25" s="3" t="s">
        <v>45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5">
        <f t="shared" si="0"/>
        <v>0</v>
      </c>
    </row>
    <row r="26" spans="1:27" x14ac:dyDescent="0.25">
      <c r="A26" s="3" t="s">
        <v>46</v>
      </c>
      <c r="B26" s="4"/>
      <c r="C26" s="4"/>
      <c r="D26" s="4"/>
      <c r="E26" s="4"/>
      <c r="F26" s="4"/>
      <c r="G26" s="4"/>
      <c r="H26" s="4"/>
      <c r="I26" s="4"/>
      <c r="J26" s="5">
        <f>281589.81</f>
        <v>281589.81</v>
      </c>
      <c r="K26" s="4"/>
      <c r="L26" s="5">
        <f>120191.77</f>
        <v>120191.77</v>
      </c>
      <c r="M26" s="5">
        <f>74920.04</f>
        <v>74920.039999999994</v>
      </c>
      <c r="N26" s="4"/>
      <c r="O26" s="5">
        <f>31113.54</f>
        <v>31113.54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5">
        <f t="shared" si="0"/>
        <v>507815.16</v>
      </c>
    </row>
    <row r="27" spans="1:27" x14ac:dyDescent="0.25">
      <c r="A27" s="3" t="s">
        <v>47</v>
      </c>
      <c r="B27" s="4"/>
      <c r="C27" s="4"/>
      <c r="D27" s="4"/>
      <c r="E27" s="4"/>
      <c r="F27" s="4"/>
      <c r="G27" s="4"/>
      <c r="H27" s="4"/>
      <c r="I27" s="4"/>
      <c r="J27" s="4"/>
      <c r="K27" s="5">
        <f>176039.99</f>
        <v>176039.99</v>
      </c>
      <c r="L27" s="4"/>
      <c r="M27" s="4"/>
      <c r="N27" s="5">
        <f>244675.55</f>
        <v>244675.55</v>
      </c>
      <c r="O27" s="4"/>
      <c r="P27" s="5">
        <f>73503.64</f>
        <v>73503.64</v>
      </c>
      <c r="Q27" s="5">
        <f>266398.39</f>
        <v>266398.39</v>
      </c>
      <c r="R27" s="5">
        <f>82312.76</f>
        <v>82312.759999999995</v>
      </c>
      <c r="S27" s="4"/>
      <c r="T27" s="5">
        <f>740.94</f>
        <v>740.94</v>
      </c>
      <c r="U27" s="5">
        <f>1108.96</f>
        <v>1108.96</v>
      </c>
      <c r="V27" s="5">
        <f>272636.15</f>
        <v>272636.15000000002</v>
      </c>
      <c r="W27" s="5">
        <f>0</f>
        <v>0</v>
      </c>
      <c r="X27" s="5">
        <f>382920.99</f>
        <v>382920.99</v>
      </c>
      <c r="Y27" s="4"/>
      <c r="Z27" s="5">
        <f>0</f>
        <v>0</v>
      </c>
      <c r="AA27" s="5">
        <f t="shared" si="0"/>
        <v>1500337.3699999999</v>
      </c>
    </row>
    <row r="28" spans="1:27" x14ac:dyDescent="0.25">
      <c r="A28" s="3" t="s">
        <v>48</v>
      </c>
      <c r="B28" s="6">
        <f t="shared" ref="B28:Z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0</v>
      </c>
      <c r="F28" s="6">
        <f t="shared" si="3"/>
        <v>0</v>
      </c>
      <c r="G28" s="6">
        <f t="shared" si="3"/>
        <v>0</v>
      </c>
      <c r="H28" s="6">
        <f t="shared" si="3"/>
        <v>0</v>
      </c>
      <c r="I28" s="6">
        <f t="shared" si="3"/>
        <v>0</v>
      </c>
      <c r="J28" s="6">
        <f t="shared" si="3"/>
        <v>281589.81</v>
      </c>
      <c r="K28" s="6">
        <f t="shared" si="3"/>
        <v>176039.99</v>
      </c>
      <c r="L28" s="6">
        <f t="shared" si="3"/>
        <v>120191.77</v>
      </c>
      <c r="M28" s="6">
        <f t="shared" si="3"/>
        <v>74920.039999999994</v>
      </c>
      <c r="N28" s="6">
        <f t="shared" si="3"/>
        <v>244675.55</v>
      </c>
      <c r="O28" s="6">
        <f t="shared" si="3"/>
        <v>31113.54</v>
      </c>
      <c r="P28" s="6">
        <f t="shared" si="3"/>
        <v>73503.64</v>
      </c>
      <c r="Q28" s="6">
        <f t="shared" si="3"/>
        <v>266398.39</v>
      </c>
      <c r="R28" s="6">
        <f t="shared" si="3"/>
        <v>82312.759999999995</v>
      </c>
      <c r="S28" s="6">
        <f t="shared" si="3"/>
        <v>0</v>
      </c>
      <c r="T28" s="6">
        <f t="shared" si="3"/>
        <v>740.94</v>
      </c>
      <c r="U28" s="6">
        <f t="shared" si="3"/>
        <v>1108.96</v>
      </c>
      <c r="V28" s="6">
        <f t="shared" si="3"/>
        <v>272636.15000000002</v>
      </c>
      <c r="W28" s="6">
        <f t="shared" si="3"/>
        <v>0</v>
      </c>
      <c r="X28" s="6">
        <f t="shared" si="3"/>
        <v>382920.99</v>
      </c>
      <c r="Y28" s="6">
        <f t="shared" si="3"/>
        <v>0</v>
      </c>
      <c r="Z28" s="6">
        <f t="shared" si="3"/>
        <v>0</v>
      </c>
      <c r="AA28" s="6">
        <f t="shared" si="0"/>
        <v>2008152.53</v>
      </c>
    </row>
    <row r="29" spans="1:27" x14ac:dyDescent="0.25">
      <c r="A29" s="3" t="s">
        <v>49</v>
      </c>
      <c r="B29" s="6">
        <f t="shared" ref="B29:Z29" si="4">((((B19)+(B22))+(B23))+(B24))+(B28)</f>
        <v>750368.63</v>
      </c>
      <c r="C29" s="6">
        <f t="shared" si="4"/>
        <v>225</v>
      </c>
      <c r="D29" s="6">
        <f t="shared" si="4"/>
        <v>1193900.24</v>
      </c>
      <c r="E29" s="6">
        <f t="shared" si="4"/>
        <v>0</v>
      </c>
      <c r="F29" s="6">
        <f t="shared" si="4"/>
        <v>32697.49</v>
      </c>
      <c r="G29" s="6">
        <f t="shared" si="4"/>
        <v>87778.21</v>
      </c>
      <c r="H29" s="6">
        <f t="shared" si="4"/>
        <v>1300</v>
      </c>
      <c r="I29" s="6">
        <f t="shared" si="4"/>
        <v>93038.69</v>
      </c>
      <c r="J29" s="6">
        <f t="shared" si="4"/>
        <v>281589.81</v>
      </c>
      <c r="K29" s="6">
        <f t="shared" si="4"/>
        <v>176039.99</v>
      </c>
      <c r="L29" s="6">
        <f t="shared" si="4"/>
        <v>120191.77</v>
      </c>
      <c r="M29" s="6">
        <f t="shared" si="4"/>
        <v>74920.039999999994</v>
      </c>
      <c r="N29" s="6">
        <f t="shared" si="4"/>
        <v>244675.55</v>
      </c>
      <c r="O29" s="6">
        <f t="shared" si="4"/>
        <v>31113.54</v>
      </c>
      <c r="P29" s="6">
        <f t="shared" si="4"/>
        <v>73503.64</v>
      </c>
      <c r="Q29" s="6">
        <f t="shared" si="4"/>
        <v>266398.39</v>
      </c>
      <c r="R29" s="6">
        <f t="shared" si="4"/>
        <v>82312.759999999995</v>
      </c>
      <c r="S29" s="6">
        <f t="shared" si="4"/>
        <v>0</v>
      </c>
      <c r="T29" s="6">
        <f t="shared" si="4"/>
        <v>740.94</v>
      </c>
      <c r="U29" s="6">
        <f t="shared" si="4"/>
        <v>1108.96</v>
      </c>
      <c r="V29" s="6">
        <f t="shared" si="4"/>
        <v>272636.15000000002</v>
      </c>
      <c r="W29" s="6">
        <f t="shared" si="4"/>
        <v>0</v>
      </c>
      <c r="X29" s="6">
        <f t="shared" si="4"/>
        <v>382920.99</v>
      </c>
      <c r="Y29" s="6">
        <f t="shared" si="4"/>
        <v>0</v>
      </c>
      <c r="Z29" s="6">
        <f t="shared" si="4"/>
        <v>0</v>
      </c>
      <c r="AA29" s="6">
        <f t="shared" si="0"/>
        <v>4167460.79</v>
      </c>
    </row>
    <row r="30" spans="1:27" x14ac:dyDescent="0.25">
      <c r="A30" s="3" t="s">
        <v>50</v>
      </c>
      <c r="B30" s="6">
        <f t="shared" ref="B30:Z30" si="5">(B29)-(0)</f>
        <v>750368.63</v>
      </c>
      <c r="C30" s="6">
        <f t="shared" si="5"/>
        <v>225</v>
      </c>
      <c r="D30" s="6">
        <f t="shared" si="5"/>
        <v>1193900.24</v>
      </c>
      <c r="E30" s="6">
        <f t="shared" si="5"/>
        <v>0</v>
      </c>
      <c r="F30" s="6">
        <f t="shared" si="5"/>
        <v>32697.49</v>
      </c>
      <c r="G30" s="6">
        <f t="shared" si="5"/>
        <v>87778.21</v>
      </c>
      <c r="H30" s="6">
        <f t="shared" si="5"/>
        <v>1300</v>
      </c>
      <c r="I30" s="6">
        <f t="shared" si="5"/>
        <v>93038.69</v>
      </c>
      <c r="J30" s="6">
        <f t="shared" si="5"/>
        <v>281589.81</v>
      </c>
      <c r="K30" s="6">
        <f t="shared" si="5"/>
        <v>176039.99</v>
      </c>
      <c r="L30" s="6">
        <f t="shared" si="5"/>
        <v>120191.77</v>
      </c>
      <c r="M30" s="6">
        <f t="shared" si="5"/>
        <v>74920.039999999994</v>
      </c>
      <c r="N30" s="6">
        <f t="shared" si="5"/>
        <v>244675.55</v>
      </c>
      <c r="O30" s="6">
        <f t="shared" si="5"/>
        <v>31113.54</v>
      </c>
      <c r="P30" s="6">
        <f t="shared" si="5"/>
        <v>73503.64</v>
      </c>
      <c r="Q30" s="6">
        <f t="shared" si="5"/>
        <v>266398.39</v>
      </c>
      <c r="R30" s="6">
        <f t="shared" si="5"/>
        <v>82312.759999999995</v>
      </c>
      <c r="S30" s="6">
        <f t="shared" si="5"/>
        <v>0</v>
      </c>
      <c r="T30" s="6">
        <f t="shared" si="5"/>
        <v>740.94</v>
      </c>
      <c r="U30" s="6">
        <f t="shared" si="5"/>
        <v>1108.96</v>
      </c>
      <c r="V30" s="6">
        <f t="shared" si="5"/>
        <v>272636.15000000002</v>
      </c>
      <c r="W30" s="6">
        <f t="shared" si="5"/>
        <v>0</v>
      </c>
      <c r="X30" s="6">
        <f t="shared" si="5"/>
        <v>382920.99</v>
      </c>
      <c r="Y30" s="6">
        <f t="shared" si="5"/>
        <v>0</v>
      </c>
      <c r="Z30" s="6">
        <f t="shared" si="5"/>
        <v>0</v>
      </c>
      <c r="AA30" s="6">
        <f t="shared" si="0"/>
        <v>4167460.79</v>
      </c>
    </row>
    <row r="31" spans="1:27" x14ac:dyDescent="0.25">
      <c r="A31" s="3" t="s">
        <v>51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25">
      <c r="A32" s="3" t="s">
        <v>52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">
        <f t="shared" ref="AA32:AA63" si="6">((((((((((((((((((((((((B32)+(C32))+(D32))+(E32))+(F32))+(G32))+(H32))+(I32))+(J32))+(K32))+(L32))+(M32))+(N32))+(O32))+(P32))+(Q32))+(R32))+(S32))+(T32))+(U32))+(V32))+(W32))+(X32))+(Y32))+(Z32)</f>
        <v>0</v>
      </c>
    </row>
    <row r="33" spans="1:27" x14ac:dyDescent="0.25">
      <c r="A33" s="3" t="s">
        <v>53</v>
      </c>
      <c r="B33" s="5">
        <f>132827.72</f>
        <v>132827.72</v>
      </c>
      <c r="C33" s="4"/>
      <c r="D33" s="5">
        <f>233597.84</f>
        <v>233597.84</v>
      </c>
      <c r="E33" s="4"/>
      <c r="F33" s="4"/>
      <c r="G33" s="4"/>
      <c r="H33" s="4"/>
      <c r="I33" s="5">
        <f>16426.02</f>
        <v>16426.02</v>
      </c>
      <c r="J33" s="5">
        <f>219457.53</f>
        <v>219457.53</v>
      </c>
      <c r="K33" s="5">
        <f>28634.28</f>
        <v>28634.28</v>
      </c>
      <c r="L33" s="4"/>
      <c r="M33" s="4"/>
      <c r="N33" s="5">
        <f>26522.52</f>
        <v>26522.52</v>
      </c>
      <c r="O33" s="5">
        <f>27592.5</f>
        <v>27592.5</v>
      </c>
      <c r="P33" s="4"/>
      <c r="Q33" s="5">
        <f>125717.34</f>
        <v>125717.34</v>
      </c>
      <c r="R33" s="5">
        <f>30837.12</f>
        <v>30837.119999999999</v>
      </c>
      <c r="S33" s="4"/>
      <c r="T33" s="4"/>
      <c r="U33" s="4"/>
      <c r="V33" s="5">
        <f>98858.82</f>
        <v>98858.82</v>
      </c>
      <c r="W33" s="4"/>
      <c r="X33" s="5">
        <f>135979.02</f>
        <v>135979.01999999999</v>
      </c>
      <c r="Y33" s="5">
        <f>15420.42</f>
        <v>15420.42</v>
      </c>
      <c r="Z33" s="4"/>
      <c r="AA33" s="5">
        <f t="shared" si="6"/>
        <v>1091871.1299999999</v>
      </c>
    </row>
    <row r="34" spans="1:27" x14ac:dyDescent="0.25">
      <c r="A34" s="3" t="s">
        <v>54</v>
      </c>
      <c r="B34" s="5">
        <f>91660.5</f>
        <v>91660.5</v>
      </c>
      <c r="C34" s="4"/>
      <c r="D34" s="5">
        <f>68258.92</f>
        <v>68258.92</v>
      </c>
      <c r="E34" s="4"/>
      <c r="F34" s="5">
        <f>23669.4</f>
        <v>23669.4</v>
      </c>
      <c r="G34" s="4"/>
      <c r="H34" s="4"/>
      <c r="I34" s="4"/>
      <c r="J34" s="5">
        <f>11935.14</f>
        <v>11935.14</v>
      </c>
      <c r="K34" s="4"/>
      <c r="L34" s="5">
        <f>114118.2</f>
        <v>114118.2</v>
      </c>
      <c r="M34" s="5">
        <f>71278.36</f>
        <v>71278.36</v>
      </c>
      <c r="N34" s="4"/>
      <c r="O34" s="4"/>
      <c r="P34" s="4"/>
      <c r="Q34" s="5">
        <f>17822.34</f>
        <v>17822.34</v>
      </c>
      <c r="R34" s="4"/>
      <c r="S34" s="4"/>
      <c r="T34" s="4"/>
      <c r="U34" s="4"/>
      <c r="V34" s="5">
        <f>15418.74</f>
        <v>15418.74</v>
      </c>
      <c r="W34" s="5">
        <f>0</f>
        <v>0</v>
      </c>
      <c r="X34" s="5">
        <f>15257.76</f>
        <v>15257.76</v>
      </c>
      <c r="Y34" s="4"/>
      <c r="Z34" s="5">
        <f>0</f>
        <v>0</v>
      </c>
      <c r="AA34" s="5">
        <f t="shared" si="6"/>
        <v>429419.36</v>
      </c>
    </row>
    <row r="35" spans="1:27" x14ac:dyDescent="0.25">
      <c r="A35" s="3" t="s">
        <v>55</v>
      </c>
      <c r="B35" s="6">
        <f t="shared" ref="B35:Z35" si="7">((B32)+(B33))+(B34)</f>
        <v>224488.22</v>
      </c>
      <c r="C35" s="6">
        <f t="shared" si="7"/>
        <v>0</v>
      </c>
      <c r="D35" s="6">
        <f t="shared" si="7"/>
        <v>301856.76</v>
      </c>
      <c r="E35" s="6">
        <f t="shared" si="7"/>
        <v>0</v>
      </c>
      <c r="F35" s="6">
        <f t="shared" si="7"/>
        <v>23669.4</v>
      </c>
      <c r="G35" s="6">
        <f t="shared" si="7"/>
        <v>0</v>
      </c>
      <c r="H35" s="6">
        <f t="shared" si="7"/>
        <v>0</v>
      </c>
      <c r="I35" s="6">
        <f t="shared" si="7"/>
        <v>16426.02</v>
      </c>
      <c r="J35" s="6">
        <f t="shared" si="7"/>
        <v>231392.66999999998</v>
      </c>
      <c r="K35" s="6">
        <f t="shared" si="7"/>
        <v>28634.28</v>
      </c>
      <c r="L35" s="6">
        <f t="shared" si="7"/>
        <v>114118.2</v>
      </c>
      <c r="M35" s="6">
        <f t="shared" si="7"/>
        <v>71278.36</v>
      </c>
      <c r="N35" s="6">
        <f t="shared" si="7"/>
        <v>26522.52</v>
      </c>
      <c r="O35" s="6">
        <f t="shared" si="7"/>
        <v>27592.5</v>
      </c>
      <c r="P35" s="6">
        <f t="shared" si="7"/>
        <v>0</v>
      </c>
      <c r="Q35" s="6">
        <f t="shared" si="7"/>
        <v>143539.68</v>
      </c>
      <c r="R35" s="6">
        <f t="shared" si="7"/>
        <v>30837.119999999999</v>
      </c>
      <c r="S35" s="6">
        <f t="shared" si="7"/>
        <v>0</v>
      </c>
      <c r="T35" s="6">
        <f t="shared" si="7"/>
        <v>0</v>
      </c>
      <c r="U35" s="6">
        <f t="shared" si="7"/>
        <v>0</v>
      </c>
      <c r="V35" s="6">
        <f t="shared" si="7"/>
        <v>114277.56000000001</v>
      </c>
      <c r="W35" s="6">
        <f t="shared" si="7"/>
        <v>0</v>
      </c>
      <c r="X35" s="6">
        <f t="shared" si="7"/>
        <v>151236.78</v>
      </c>
      <c r="Y35" s="6">
        <f t="shared" si="7"/>
        <v>15420.42</v>
      </c>
      <c r="Z35" s="6">
        <f t="shared" si="7"/>
        <v>0</v>
      </c>
      <c r="AA35" s="6">
        <f t="shared" si="6"/>
        <v>1521290.4900000002</v>
      </c>
    </row>
    <row r="36" spans="1:27" x14ac:dyDescent="0.25">
      <c r="A36" s="3" t="s">
        <v>56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">
        <f t="shared" si="6"/>
        <v>0</v>
      </c>
    </row>
    <row r="37" spans="1:27" x14ac:dyDescent="0.25">
      <c r="A37" s="3" t="s">
        <v>57</v>
      </c>
      <c r="B37" s="4"/>
      <c r="C37" s="4"/>
      <c r="D37" s="4"/>
      <c r="E37" s="4"/>
      <c r="F37" s="4"/>
      <c r="G37" s="4"/>
      <c r="H37" s="4"/>
      <c r="I37" s="4"/>
      <c r="J37" s="4"/>
      <c r="K37" s="5">
        <f>3.57</f>
        <v>3.57</v>
      </c>
      <c r="L37" s="5">
        <f>13.5</f>
        <v>13.5</v>
      </c>
      <c r="M37" s="5">
        <f>5.5</f>
        <v>5.5</v>
      </c>
      <c r="N37" s="5">
        <f>3.75</f>
        <v>3.75</v>
      </c>
      <c r="O37" s="4"/>
      <c r="P37" s="4"/>
      <c r="Q37" s="5">
        <f>18.93</f>
        <v>18.93</v>
      </c>
      <c r="R37" s="5">
        <f>3.53</f>
        <v>3.53</v>
      </c>
      <c r="S37" s="4"/>
      <c r="T37" s="4"/>
      <c r="U37" s="4"/>
      <c r="V37" s="5">
        <f>15.96</f>
        <v>15.96</v>
      </c>
      <c r="W37" s="5">
        <f>0</f>
        <v>0</v>
      </c>
      <c r="X37" s="5">
        <f>21.72</f>
        <v>21.72</v>
      </c>
      <c r="Y37" s="5">
        <f>3</f>
        <v>3</v>
      </c>
      <c r="Z37" s="5">
        <f>0</f>
        <v>0</v>
      </c>
      <c r="AA37" s="5">
        <f t="shared" si="6"/>
        <v>89.460000000000008</v>
      </c>
    </row>
    <row r="38" spans="1:27" x14ac:dyDescent="0.25">
      <c r="A38" s="3" t="s">
        <v>58</v>
      </c>
      <c r="B38" s="5">
        <f>905</f>
        <v>905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">
        <f t="shared" si="6"/>
        <v>905</v>
      </c>
    </row>
    <row r="39" spans="1:27" x14ac:dyDescent="0.25">
      <c r="A39" s="3" t="s">
        <v>59</v>
      </c>
      <c r="B39" s="5">
        <f>5486.85</f>
        <v>5486.85</v>
      </c>
      <c r="C39" s="4"/>
      <c r="D39" s="5">
        <f>4023.56</f>
        <v>4023.56</v>
      </c>
      <c r="E39" s="4"/>
      <c r="F39" s="5">
        <f>1398.37</f>
        <v>1398.37</v>
      </c>
      <c r="G39" s="4"/>
      <c r="H39" s="4"/>
      <c r="I39" s="4"/>
      <c r="J39" s="5">
        <f>712.57</f>
        <v>712.57</v>
      </c>
      <c r="K39" s="4"/>
      <c r="L39" s="5">
        <f>6865.13</f>
        <v>6865.13</v>
      </c>
      <c r="M39" s="5">
        <f>4220.02</f>
        <v>4220.0200000000004</v>
      </c>
      <c r="N39" s="4"/>
      <c r="O39" s="4"/>
      <c r="P39" s="4"/>
      <c r="Q39" s="5">
        <f>1083.53</f>
        <v>1083.53</v>
      </c>
      <c r="R39" s="4"/>
      <c r="S39" s="4"/>
      <c r="T39" s="4"/>
      <c r="U39" s="4"/>
      <c r="V39" s="5">
        <f>817.67</f>
        <v>817.67</v>
      </c>
      <c r="W39" s="5">
        <f>0</f>
        <v>0</v>
      </c>
      <c r="X39" s="5">
        <f>921.63</f>
        <v>921.63</v>
      </c>
      <c r="Y39" s="4"/>
      <c r="Z39" s="5">
        <f>0</f>
        <v>0</v>
      </c>
      <c r="AA39" s="5">
        <f t="shared" si="6"/>
        <v>25529.329999999998</v>
      </c>
    </row>
    <row r="40" spans="1:27" x14ac:dyDescent="0.25">
      <c r="A40" s="3" t="s">
        <v>60</v>
      </c>
      <c r="B40" s="5">
        <f>3363.04</f>
        <v>3363.04</v>
      </c>
      <c r="C40" s="4"/>
      <c r="D40" s="5">
        <f>4199.51</f>
        <v>4199.51</v>
      </c>
      <c r="E40" s="4"/>
      <c r="F40" s="5">
        <f>327.04</f>
        <v>327.04000000000002</v>
      </c>
      <c r="G40" s="4"/>
      <c r="H40" s="4"/>
      <c r="I40" s="5">
        <f>234.6</f>
        <v>234.6</v>
      </c>
      <c r="J40" s="5">
        <f>3208.83</f>
        <v>3208.83</v>
      </c>
      <c r="K40" s="5">
        <f>388.02</f>
        <v>388.02</v>
      </c>
      <c r="L40" s="5">
        <f>1605.59</f>
        <v>1605.59</v>
      </c>
      <c r="M40" s="5">
        <f>986.91</f>
        <v>986.91</v>
      </c>
      <c r="N40" s="5">
        <f>373.08</f>
        <v>373.08</v>
      </c>
      <c r="O40" s="5">
        <f>388.56</f>
        <v>388.56</v>
      </c>
      <c r="P40" s="4"/>
      <c r="Q40" s="5">
        <f>1998.14</f>
        <v>1998.14</v>
      </c>
      <c r="R40" s="5">
        <f>423.2</f>
        <v>423.2</v>
      </c>
      <c r="S40" s="4"/>
      <c r="T40" s="4"/>
      <c r="U40" s="4"/>
      <c r="V40" s="5">
        <f>1567.3</f>
        <v>1567.3</v>
      </c>
      <c r="W40" s="5">
        <f>0</f>
        <v>0</v>
      </c>
      <c r="X40" s="5">
        <f>2116.56</f>
        <v>2116.56</v>
      </c>
      <c r="Y40" s="5">
        <f>219.12</f>
        <v>219.12</v>
      </c>
      <c r="Z40" s="5">
        <f>0</f>
        <v>0</v>
      </c>
      <c r="AA40" s="5">
        <f t="shared" si="6"/>
        <v>21399.5</v>
      </c>
    </row>
    <row r="41" spans="1:27" x14ac:dyDescent="0.25">
      <c r="A41" s="3" t="s">
        <v>61</v>
      </c>
      <c r="B41" s="5">
        <f>4430.52</f>
        <v>4430.5200000000004</v>
      </c>
      <c r="C41" s="4"/>
      <c r="D41" s="5">
        <f>7007.96</f>
        <v>7007.96</v>
      </c>
      <c r="E41" s="4"/>
      <c r="F41" s="4"/>
      <c r="G41" s="4"/>
      <c r="H41" s="4"/>
      <c r="I41" s="5">
        <f>492.78</f>
        <v>492.78</v>
      </c>
      <c r="J41" s="5">
        <f>6583.52</f>
        <v>6583.52</v>
      </c>
      <c r="K41" s="5">
        <f>4620.23</f>
        <v>4620.2299999999996</v>
      </c>
      <c r="L41" s="4"/>
      <c r="M41" s="4"/>
      <c r="N41" s="5">
        <f>4271.46</f>
        <v>4271.46</v>
      </c>
      <c r="O41" s="5">
        <f>827.76</f>
        <v>827.76</v>
      </c>
      <c r="P41" s="4"/>
      <c r="Q41" s="5">
        <f>20246.76</f>
        <v>20246.759999999998</v>
      </c>
      <c r="R41" s="5">
        <f>5023.1</f>
        <v>5023.1000000000004</v>
      </c>
      <c r="S41" s="4"/>
      <c r="T41" s="4"/>
      <c r="U41" s="4"/>
      <c r="V41" s="5">
        <f>16352.82</f>
        <v>16352.82</v>
      </c>
      <c r="W41" s="4"/>
      <c r="X41" s="5">
        <f>22477.14</f>
        <v>22477.14</v>
      </c>
      <c r="Y41" s="5">
        <f>2120.28</f>
        <v>2120.2800000000002</v>
      </c>
      <c r="Z41" s="4"/>
      <c r="AA41" s="5">
        <f t="shared" si="6"/>
        <v>94454.329999999987</v>
      </c>
    </row>
    <row r="42" spans="1:27" x14ac:dyDescent="0.25">
      <c r="A42" s="3" t="s">
        <v>62</v>
      </c>
      <c r="B42" s="5">
        <f>17058.38</f>
        <v>17058.38</v>
      </c>
      <c r="C42" s="4"/>
      <c r="D42" s="5">
        <f>12709.86</f>
        <v>12709.86</v>
      </c>
      <c r="E42" s="4"/>
      <c r="F42" s="5">
        <f>4407.24</f>
        <v>4407.24</v>
      </c>
      <c r="G42" s="4"/>
      <c r="H42" s="4"/>
      <c r="I42" s="4"/>
      <c r="J42" s="5">
        <f>2222.34</f>
        <v>2222.34</v>
      </c>
      <c r="K42" s="4"/>
      <c r="L42" s="5">
        <f>21248.76</f>
        <v>21248.76</v>
      </c>
      <c r="M42" s="5">
        <f>13272</f>
        <v>13272</v>
      </c>
      <c r="N42" s="4"/>
      <c r="O42" s="4"/>
      <c r="P42" s="4"/>
      <c r="Q42" s="5">
        <f>2170.38</f>
        <v>2170.38</v>
      </c>
      <c r="R42" s="4"/>
      <c r="S42" s="4"/>
      <c r="T42" s="4"/>
      <c r="U42" s="4"/>
      <c r="V42" s="5">
        <f>2870.94</f>
        <v>2870.94</v>
      </c>
      <c r="W42" s="5">
        <f>0</f>
        <v>0</v>
      </c>
      <c r="X42" s="5">
        <f>2849.82</f>
        <v>2849.82</v>
      </c>
      <c r="Y42" s="4"/>
      <c r="Z42" s="5">
        <f>0</f>
        <v>0</v>
      </c>
      <c r="AA42" s="5">
        <f t="shared" si="6"/>
        <v>78809.720000000016</v>
      </c>
    </row>
    <row r="43" spans="1:27" x14ac:dyDescent="0.25">
      <c r="A43" s="3" t="s">
        <v>63</v>
      </c>
      <c r="B43" s="4"/>
      <c r="C43" s="4"/>
      <c r="D43" s="4"/>
      <c r="E43" s="4"/>
      <c r="F43" s="4"/>
      <c r="G43" s="4"/>
      <c r="H43" s="4"/>
      <c r="I43" s="4"/>
      <c r="J43" s="4"/>
      <c r="K43" s="5">
        <f>5633.61</f>
        <v>5633.61</v>
      </c>
      <c r="L43" s="5">
        <f>15588.36</f>
        <v>15588.36</v>
      </c>
      <c r="M43" s="5">
        <f>4958.89</f>
        <v>4958.8900000000003</v>
      </c>
      <c r="N43" s="5">
        <f>4399.44</f>
        <v>4399.4399999999996</v>
      </c>
      <c r="O43" s="4"/>
      <c r="P43" s="4"/>
      <c r="Q43" s="5">
        <f>21781.77</f>
        <v>21781.77</v>
      </c>
      <c r="R43" s="5">
        <f>3646.75</f>
        <v>3646.75</v>
      </c>
      <c r="S43" s="4"/>
      <c r="T43" s="4"/>
      <c r="U43" s="4"/>
      <c r="V43" s="5">
        <f>18615.81</f>
        <v>18615.810000000001</v>
      </c>
      <c r="W43" s="5">
        <f>0</f>
        <v>0</v>
      </c>
      <c r="X43" s="5">
        <f>16979.07</f>
        <v>16979.07</v>
      </c>
      <c r="Y43" s="5">
        <f>2631.9</f>
        <v>2631.9</v>
      </c>
      <c r="Z43" s="5">
        <f>0</f>
        <v>0</v>
      </c>
      <c r="AA43" s="5">
        <f t="shared" si="6"/>
        <v>94235.6</v>
      </c>
    </row>
    <row r="44" spans="1:27" x14ac:dyDescent="0.25">
      <c r="A44" s="3" t="s">
        <v>64</v>
      </c>
      <c r="B44" s="5">
        <f>119.99</f>
        <v>119.99</v>
      </c>
      <c r="C44" s="4"/>
      <c r="D44" s="5">
        <f>190.24</f>
        <v>190.24</v>
      </c>
      <c r="E44" s="4"/>
      <c r="F44" s="4"/>
      <c r="G44" s="4"/>
      <c r="H44" s="4"/>
      <c r="I44" s="4"/>
      <c r="J44" s="5">
        <f>60</f>
        <v>60</v>
      </c>
      <c r="K44" s="4"/>
      <c r="L44" s="4"/>
      <c r="M44" s="5">
        <f>60</f>
        <v>60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5">
        <f>60</f>
        <v>60</v>
      </c>
      <c r="Y44" s="4"/>
      <c r="Z44" s="4"/>
      <c r="AA44" s="5">
        <f t="shared" si="6"/>
        <v>490.23</v>
      </c>
    </row>
    <row r="45" spans="1:27" x14ac:dyDescent="0.25">
      <c r="A45" s="3" t="s">
        <v>65</v>
      </c>
      <c r="B45" s="5">
        <f>66140.47</f>
        <v>66140.47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5">
        <f t="shared" si="6"/>
        <v>66140.47</v>
      </c>
    </row>
    <row r="46" spans="1:27" x14ac:dyDescent="0.25">
      <c r="A46" s="3" t="s">
        <v>66</v>
      </c>
      <c r="B46" s="4"/>
      <c r="C46" s="4"/>
      <c r="D46" s="5">
        <f>3018.56</f>
        <v>3018.56</v>
      </c>
      <c r="E46" s="4"/>
      <c r="F46" s="5">
        <f>473.4</f>
        <v>473.4</v>
      </c>
      <c r="G46" s="4"/>
      <c r="H46" s="4"/>
      <c r="I46" s="5">
        <f>164.25</f>
        <v>164.25</v>
      </c>
      <c r="J46" s="5">
        <f>4548.29</f>
        <v>4548.29</v>
      </c>
      <c r="K46" s="5">
        <f>572.7</f>
        <v>572.70000000000005</v>
      </c>
      <c r="L46" s="4"/>
      <c r="M46" s="5">
        <f>1423.91</f>
        <v>1423.91</v>
      </c>
      <c r="N46" s="5">
        <f>530.46</f>
        <v>530.46</v>
      </c>
      <c r="O46" s="4"/>
      <c r="P46" s="4"/>
      <c r="Q46" s="4"/>
      <c r="R46" s="5">
        <f>730.32</f>
        <v>730.32</v>
      </c>
      <c r="S46" s="4"/>
      <c r="T46" s="4"/>
      <c r="U46" s="4"/>
      <c r="V46" s="5">
        <f>2285.55</f>
        <v>2285.5500000000002</v>
      </c>
      <c r="W46" s="4"/>
      <c r="X46" s="5">
        <f>3024.75</f>
        <v>3024.75</v>
      </c>
      <c r="Y46" s="4"/>
      <c r="Z46" s="5">
        <f>0</f>
        <v>0</v>
      </c>
      <c r="AA46" s="5">
        <f t="shared" si="6"/>
        <v>16772.189999999999</v>
      </c>
    </row>
    <row r="47" spans="1:27" x14ac:dyDescent="0.25">
      <c r="A47" s="3" t="s">
        <v>67</v>
      </c>
      <c r="B47" s="4"/>
      <c r="C47" s="4"/>
      <c r="D47" s="4"/>
      <c r="E47" s="4"/>
      <c r="F47" s="4"/>
      <c r="G47" s="4"/>
      <c r="H47" s="4"/>
      <c r="I47" s="4"/>
      <c r="J47" s="4"/>
      <c r="K47" s="5">
        <f>28.56</f>
        <v>28.56</v>
      </c>
      <c r="L47" s="5">
        <f>108</f>
        <v>108</v>
      </c>
      <c r="M47" s="5">
        <f>44</f>
        <v>44</v>
      </c>
      <c r="N47" s="5">
        <f>30</f>
        <v>30</v>
      </c>
      <c r="O47" s="4"/>
      <c r="P47" s="4"/>
      <c r="Q47" s="5">
        <f>151.44</f>
        <v>151.44</v>
      </c>
      <c r="R47" s="5">
        <f>28.24</f>
        <v>28.24</v>
      </c>
      <c r="S47" s="4"/>
      <c r="T47" s="4"/>
      <c r="U47" s="4"/>
      <c r="V47" s="5">
        <f>127.68</f>
        <v>127.68</v>
      </c>
      <c r="W47" s="5">
        <f>0</f>
        <v>0</v>
      </c>
      <c r="X47" s="5">
        <f>173.76</f>
        <v>173.76</v>
      </c>
      <c r="Y47" s="5">
        <f>24</f>
        <v>24</v>
      </c>
      <c r="Z47" s="5">
        <f>0</f>
        <v>0</v>
      </c>
      <c r="AA47" s="5">
        <f t="shared" si="6"/>
        <v>715.68000000000006</v>
      </c>
    </row>
    <row r="48" spans="1:27" x14ac:dyDescent="0.25">
      <c r="A48" s="3" t="s">
        <v>68</v>
      </c>
      <c r="B48" s="6">
        <f t="shared" ref="B48:Z48" si="8">(((((((((((B36)+(B37))+(B38))+(B39))+(B40))+(B41))+(B42))+(B43))+(B44))+(B45))+(B46))+(B47)</f>
        <v>97504.25</v>
      </c>
      <c r="C48" s="6">
        <f t="shared" si="8"/>
        <v>0</v>
      </c>
      <c r="D48" s="6">
        <f t="shared" si="8"/>
        <v>31149.690000000002</v>
      </c>
      <c r="E48" s="6">
        <f t="shared" si="8"/>
        <v>0</v>
      </c>
      <c r="F48" s="6">
        <f t="shared" si="8"/>
        <v>6606.0499999999993</v>
      </c>
      <c r="G48" s="6">
        <f t="shared" si="8"/>
        <v>0</v>
      </c>
      <c r="H48" s="6">
        <f t="shared" si="8"/>
        <v>0</v>
      </c>
      <c r="I48" s="6">
        <f t="shared" si="8"/>
        <v>891.63</v>
      </c>
      <c r="J48" s="6">
        <f t="shared" si="8"/>
        <v>17335.55</v>
      </c>
      <c r="K48" s="6">
        <f t="shared" si="8"/>
        <v>11246.69</v>
      </c>
      <c r="L48" s="6">
        <f t="shared" si="8"/>
        <v>45429.34</v>
      </c>
      <c r="M48" s="6">
        <f t="shared" si="8"/>
        <v>24971.23</v>
      </c>
      <c r="N48" s="6">
        <f t="shared" si="8"/>
        <v>9608.1899999999987</v>
      </c>
      <c r="O48" s="6">
        <f t="shared" si="8"/>
        <v>1216.32</v>
      </c>
      <c r="P48" s="6">
        <f t="shared" si="8"/>
        <v>0</v>
      </c>
      <c r="Q48" s="6">
        <f t="shared" si="8"/>
        <v>47450.950000000004</v>
      </c>
      <c r="R48" s="6">
        <f t="shared" si="8"/>
        <v>9855.14</v>
      </c>
      <c r="S48" s="6">
        <f t="shared" si="8"/>
        <v>0</v>
      </c>
      <c r="T48" s="6">
        <f t="shared" si="8"/>
        <v>0</v>
      </c>
      <c r="U48" s="6">
        <f t="shared" si="8"/>
        <v>0</v>
      </c>
      <c r="V48" s="6">
        <f t="shared" si="8"/>
        <v>42653.73</v>
      </c>
      <c r="W48" s="6">
        <f t="shared" si="8"/>
        <v>0</v>
      </c>
      <c r="X48" s="6">
        <f t="shared" si="8"/>
        <v>48624.450000000004</v>
      </c>
      <c r="Y48" s="6">
        <f t="shared" si="8"/>
        <v>4998.3</v>
      </c>
      <c r="Z48" s="6">
        <f t="shared" si="8"/>
        <v>0</v>
      </c>
      <c r="AA48" s="6">
        <f t="shared" si="6"/>
        <v>399541.51</v>
      </c>
    </row>
    <row r="49" spans="1:27" x14ac:dyDescent="0.25">
      <c r="A49" s="3" t="s">
        <v>69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5">
        <f t="shared" si="6"/>
        <v>0</v>
      </c>
    </row>
    <row r="50" spans="1:27" x14ac:dyDescent="0.25">
      <c r="A50" s="3" t="s">
        <v>70</v>
      </c>
      <c r="B50" s="5">
        <f>2959.34</f>
        <v>2959.34</v>
      </c>
      <c r="C50" s="4"/>
      <c r="D50" s="5">
        <f>1576</f>
        <v>1576</v>
      </c>
      <c r="E50" s="4"/>
      <c r="F50" s="4"/>
      <c r="G50" s="4"/>
      <c r="H50" s="4"/>
      <c r="I50" s="4"/>
      <c r="J50" s="5">
        <f>64</f>
        <v>64</v>
      </c>
      <c r="K50" s="4"/>
      <c r="L50" s="4"/>
      <c r="M50" s="5">
        <f>64</f>
        <v>64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5">
        <f>21</f>
        <v>21</v>
      </c>
      <c r="Y50" s="4"/>
      <c r="Z50" s="4"/>
      <c r="AA50" s="5">
        <f t="shared" si="6"/>
        <v>4684.34</v>
      </c>
    </row>
    <row r="51" spans="1:27" x14ac:dyDescent="0.25">
      <c r="A51" s="3" t="s">
        <v>71</v>
      </c>
      <c r="B51" s="5">
        <f>18825</f>
        <v>18825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5">
        <f t="shared" si="6"/>
        <v>18825</v>
      </c>
    </row>
    <row r="52" spans="1:27" x14ac:dyDescent="0.25">
      <c r="A52" s="3" t="s">
        <v>72</v>
      </c>
      <c r="B52" s="5">
        <f>2735.45</f>
        <v>2735.45</v>
      </c>
      <c r="C52" s="4"/>
      <c r="D52" s="5">
        <f>2100</f>
        <v>2100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5">
        <f t="shared" si="6"/>
        <v>4835.45</v>
      </c>
    </row>
    <row r="53" spans="1:27" x14ac:dyDescent="0.25">
      <c r="A53" s="3" t="s">
        <v>73</v>
      </c>
      <c r="B53" s="5">
        <f>1871.52</f>
        <v>1871.52</v>
      </c>
      <c r="C53" s="4"/>
      <c r="D53" s="5">
        <f>3452.79</f>
        <v>3452.79</v>
      </c>
      <c r="E53" s="4"/>
      <c r="F53" s="4"/>
      <c r="G53" s="5">
        <f>16425.17</f>
        <v>16425.169999999998</v>
      </c>
      <c r="H53" s="4"/>
      <c r="I53" s="5">
        <f>58.08</f>
        <v>58.08</v>
      </c>
      <c r="J53" s="4"/>
      <c r="K53" s="5">
        <f>5858.08</f>
        <v>5858.08</v>
      </c>
      <c r="L53" s="4"/>
      <c r="M53" s="4"/>
      <c r="N53" s="4"/>
      <c r="O53" s="4"/>
      <c r="P53" s="5">
        <f>2960.25</f>
        <v>2960.25</v>
      </c>
      <c r="Q53" s="5">
        <f>779.14</f>
        <v>779.14</v>
      </c>
      <c r="R53" s="5">
        <f>77.44</f>
        <v>77.44</v>
      </c>
      <c r="S53" s="4"/>
      <c r="T53" s="4"/>
      <c r="U53" s="4"/>
      <c r="V53" s="5">
        <f>232.32</f>
        <v>232.32</v>
      </c>
      <c r="W53" s="4"/>
      <c r="X53" s="5">
        <f>290.4</f>
        <v>290.39999999999998</v>
      </c>
      <c r="Y53" s="4"/>
      <c r="Z53" s="4"/>
      <c r="AA53" s="5">
        <f t="shared" si="6"/>
        <v>32005.19</v>
      </c>
    </row>
    <row r="54" spans="1:27" x14ac:dyDescent="0.25">
      <c r="A54" s="3" t="s">
        <v>74</v>
      </c>
      <c r="B54" s="6">
        <f t="shared" ref="B54:Z54" si="9">((((B49)+(B50))+(B51))+(B52))+(B53)</f>
        <v>26391.31</v>
      </c>
      <c r="C54" s="6">
        <f t="shared" si="9"/>
        <v>0</v>
      </c>
      <c r="D54" s="6">
        <f t="shared" si="9"/>
        <v>7128.79</v>
      </c>
      <c r="E54" s="6">
        <f t="shared" si="9"/>
        <v>0</v>
      </c>
      <c r="F54" s="6">
        <f t="shared" si="9"/>
        <v>0</v>
      </c>
      <c r="G54" s="6">
        <f t="shared" si="9"/>
        <v>16425.169999999998</v>
      </c>
      <c r="H54" s="6">
        <f t="shared" si="9"/>
        <v>0</v>
      </c>
      <c r="I54" s="6">
        <f t="shared" si="9"/>
        <v>58.08</v>
      </c>
      <c r="J54" s="6">
        <f t="shared" si="9"/>
        <v>64</v>
      </c>
      <c r="K54" s="6">
        <f t="shared" si="9"/>
        <v>5858.08</v>
      </c>
      <c r="L54" s="6">
        <f t="shared" si="9"/>
        <v>0</v>
      </c>
      <c r="M54" s="6">
        <f t="shared" si="9"/>
        <v>64</v>
      </c>
      <c r="N54" s="6">
        <f t="shared" si="9"/>
        <v>0</v>
      </c>
      <c r="O54" s="6">
        <f t="shared" si="9"/>
        <v>0</v>
      </c>
      <c r="P54" s="6">
        <f t="shared" si="9"/>
        <v>2960.25</v>
      </c>
      <c r="Q54" s="6">
        <f t="shared" si="9"/>
        <v>779.14</v>
      </c>
      <c r="R54" s="6">
        <f t="shared" si="9"/>
        <v>77.44</v>
      </c>
      <c r="S54" s="6">
        <f t="shared" si="9"/>
        <v>0</v>
      </c>
      <c r="T54" s="6">
        <f t="shared" si="9"/>
        <v>0</v>
      </c>
      <c r="U54" s="6">
        <f t="shared" si="9"/>
        <v>0</v>
      </c>
      <c r="V54" s="6">
        <f t="shared" si="9"/>
        <v>232.32</v>
      </c>
      <c r="W54" s="6">
        <f t="shared" si="9"/>
        <v>0</v>
      </c>
      <c r="X54" s="6">
        <f t="shared" si="9"/>
        <v>311.39999999999998</v>
      </c>
      <c r="Y54" s="6">
        <f t="shared" si="9"/>
        <v>0</v>
      </c>
      <c r="Z54" s="6">
        <f t="shared" si="9"/>
        <v>0</v>
      </c>
      <c r="AA54" s="6">
        <f t="shared" si="6"/>
        <v>60349.98</v>
      </c>
    </row>
    <row r="55" spans="1:27" x14ac:dyDescent="0.25">
      <c r="A55" s="3" t="s">
        <v>75</v>
      </c>
      <c r="B55" s="5">
        <f>-3730.01</f>
        <v>-3730.01</v>
      </c>
      <c r="C55" s="4"/>
      <c r="D55" s="5">
        <f>19808.96</f>
        <v>19808.96</v>
      </c>
      <c r="E55" s="4"/>
      <c r="F55" s="4"/>
      <c r="G55" s="5">
        <f>102955.14</f>
        <v>102955.14</v>
      </c>
      <c r="H55" s="4"/>
      <c r="I55" s="4"/>
      <c r="J55" s="4"/>
      <c r="K55" s="5">
        <f>47923.68</f>
        <v>47923.68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5">
        <f>11850</f>
        <v>11850</v>
      </c>
      <c r="W55" s="4"/>
      <c r="X55" s="5">
        <f>16050</f>
        <v>16050</v>
      </c>
      <c r="Y55" s="4"/>
      <c r="Z55" s="4"/>
      <c r="AA55" s="5">
        <f t="shared" si="6"/>
        <v>194857.77</v>
      </c>
    </row>
    <row r="56" spans="1:27" x14ac:dyDescent="0.25">
      <c r="A56" s="3" t="s">
        <v>76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5">
        <f t="shared" si="6"/>
        <v>0</v>
      </c>
    </row>
    <row r="57" spans="1:27" x14ac:dyDescent="0.25">
      <c r="A57" s="3" t="s">
        <v>77</v>
      </c>
      <c r="B57" s="5">
        <f>94.49</f>
        <v>94.49</v>
      </c>
      <c r="C57" s="4"/>
      <c r="D57" s="5">
        <f>191.83</f>
        <v>191.83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5">
        <f t="shared" si="6"/>
        <v>286.32</v>
      </c>
    </row>
    <row r="58" spans="1:27" x14ac:dyDescent="0.25">
      <c r="A58" s="3" t="s">
        <v>78</v>
      </c>
      <c r="B58" s="5">
        <f>1395.9</f>
        <v>1395.9</v>
      </c>
      <c r="C58" s="4"/>
      <c r="D58" s="5">
        <f>2834.1</f>
        <v>2834.1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5">
        <f t="shared" si="6"/>
        <v>4230</v>
      </c>
    </row>
    <row r="59" spans="1:27" x14ac:dyDescent="0.25">
      <c r="A59" s="3" t="s">
        <v>79</v>
      </c>
      <c r="B59" s="5">
        <f>684.4</f>
        <v>684.4</v>
      </c>
      <c r="C59" s="4"/>
      <c r="D59" s="5">
        <f>1389.55</f>
        <v>1389.55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5">
        <f t="shared" si="6"/>
        <v>2073.9499999999998</v>
      </c>
    </row>
    <row r="60" spans="1:27" x14ac:dyDescent="0.25">
      <c r="A60" s="3" t="s">
        <v>80</v>
      </c>
      <c r="B60" s="5">
        <f>9188.71</f>
        <v>9188.7099999999991</v>
      </c>
      <c r="C60" s="4"/>
      <c r="D60" s="5">
        <f>17105.19</f>
        <v>17105.189999999999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5">
        <f t="shared" si="6"/>
        <v>26293.899999999998</v>
      </c>
    </row>
    <row r="61" spans="1:27" x14ac:dyDescent="0.25">
      <c r="A61" s="3" t="s">
        <v>81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5">
        <f>40000</f>
        <v>40000</v>
      </c>
      <c r="R61" s="4"/>
      <c r="S61" s="4"/>
      <c r="T61" s="4"/>
      <c r="U61" s="4"/>
      <c r="V61" s="4"/>
      <c r="W61" s="4"/>
      <c r="X61" s="4"/>
      <c r="Y61" s="4"/>
      <c r="Z61" s="4"/>
      <c r="AA61" s="5">
        <f t="shared" si="6"/>
        <v>40000</v>
      </c>
    </row>
    <row r="62" spans="1:27" x14ac:dyDescent="0.25">
      <c r="A62" s="3" t="s">
        <v>82</v>
      </c>
      <c r="B62" s="5">
        <f>7470.4</f>
        <v>7470.4</v>
      </c>
      <c r="C62" s="4"/>
      <c r="D62" s="5">
        <f>15167.19</f>
        <v>15167.19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5">
        <f t="shared" si="6"/>
        <v>22637.59</v>
      </c>
    </row>
    <row r="63" spans="1:27" x14ac:dyDescent="0.25">
      <c r="A63" s="3" t="s">
        <v>83</v>
      </c>
      <c r="B63" s="5">
        <f>1303.8</f>
        <v>1303.8</v>
      </c>
      <c r="C63" s="4"/>
      <c r="D63" s="5">
        <f>1085.92</f>
        <v>1085.92</v>
      </c>
      <c r="E63" s="4"/>
      <c r="F63" s="4"/>
      <c r="G63" s="5">
        <f>7500</f>
        <v>7500</v>
      </c>
      <c r="H63" s="4"/>
      <c r="I63" s="4"/>
      <c r="J63" s="4"/>
      <c r="K63" s="5">
        <f>56.7</f>
        <v>56.7</v>
      </c>
      <c r="L63" s="4"/>
      <c r="M63" s="4"/>
      <c r="N63" s="4"/>
      <c r="O63" s="4"/>
      <c r="P63" s="5">
        <f>696.6</f>
        <v>696.6</v>
      </c>
      <c r="Q63" s="5">
        <f>170.1</f>
        <v>170.1</v>
      </c>
      <c r="R63" s="5">
        <f>56.7</f>
        <v>56.7</v>
      </c>
      <c r="S63" s="4"/>
      <c r="T63" s="4"/>
      <c r="U63" s="4"/>
      <c r="V63" s="5">
        <f>226.8</f>
        <v>226.8</v>
      </c>
      <c r="W63" s="4"/>
      <c r="X63" s="5">
        <f>283.5</f>
        <v>283.5</v>
      </c>
      <c r="Y63" s="4"/>
      <c r="Z63" s="4"/>
      <c r="AA63" s="5">
        <f t="shared" si="6"/>
        <v>11380.120000000003</v>
      </c>
    </row>
    <row r="64" spans="1:27" x14ac:dyDescent="0.25">
      <c r="A64" s="3" t="s">
        <v>84</v>
      </c>
      <c r="B64" s="4"/>
      <c r="C64" s="4"/>
      <c r="D64" s="5">
        <f>0</f>
        <v>0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5">
        <f t="shared" ref="AA64:AA95" si="10">((((((((((((((((((((((((B64)+(C64))+(D64))+(E64))+(F64))+(G64))+(H64))+(I64))+(J64))+(K64))+(L64))+(M64))+(N64))+(O64))+(P64))+(Q64))+(R64))+(S64))+(T64))+(U64))+(V64))+(W64))+(X64))+(Y64))+(Z64)</f>
        <v>0</v>
      </c>
    </row>
    <row r="65" spans="1:27" x14ac:dyDescent="0.25">
      <c r="A65" s="3" t="s">
        <v>85</v>
      </c>
      <c r="B65" s="4"/>
      <c r="C65" s="4"/>
      <c r="D65" s="4"/>
      <c r="E65" s="4"/>
      <c r="F65" s="4"/>
      <c r="G65" s="5">
        <f>8727.25</f>
        <v>8727.25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5">
        <f t="shared" si="10"/>
        <v>8727.25</v>
      </c>
    </row>
    <row r="66" spans="1:27" x14ac:dyDescent="0.25">
      <c r="A66" s="3" t="s">
        <v>86</v>
      </c>
      <c r="B66" s="6">
        <f t="shared" ref="B66:Z66" si="11">(((((((((B56)+(B57))+(B58))+(B59))+(B60))+(B61))+(B62))+(B63))+(B64))+(B65)</f>
        <v>20137.7</v>
      </c>
      <c r="C66" s="6">
        <f t="shared" si="11"/>
        <v>0</v>
      </c>
      <c r="D66" s="6">
        <f t="shared" si="11"/>
        <v>37773.78</v>
      </c>
      <c r="E66" s="6">
        <f t="shared" si="11"/>
        <v>0</v>
      </c>
      <c r="F66" s="6">
        <f t="shared" si="11"/>
        <v>0</v>
      </c>
      <c r="G66" s="6">
        <f t="shared" si="11"/>
        <v>16227.25</v>
      </c>
      <c r="H66" s="6">
        <f t="shared" si="11"/>
        <v>0</v>
      </c>
      <c r="I66" s="6">
        <f t="shared" si="11"/>
        <v>0</v>
      </c>
      <c r="J66" s="6">
        <f t="shared" si="11"/>
        <v>0</v>
      </c>
      <c r="K66" s="6">
        <f t="shared" si="11"/>
        <v>56.7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0</v>
      </c>
      <c r="P66" s="6">
        <f t="shared" si="11"/>
        <v>696.6</v>
      </c>
      <c r="Q66" s="6">
        <f t="shared" si="11"/>
        <v>40170.1</v>
      </c>
      <c r="R66" s="6">
        <f t="shared" si="11"/>
        <v>56.7</v>
      </c>
      <c r="S66" s="6">
        <f t="shared" si="11"/>
        <v>0</v>
      </c>
      <c r="T66" s="6">
        <f t="shared" si="11"/>
        <v>0</v>
      </c>
      <c r="U66" s="6">
        <f t="shared" si="11"/>
        <v>0</v>
      </c>
      <c r="V66" s="6">
        <f t="shared" si="11"/>
        <v>226.8</v>
      </c>
      <c r="W66" s="6">
        <f t="shared" si="11"/>
        <v>0</v>
      </c>
      <c r="X66" s="6">
        <f t="shared" si="11"/>
        <v>283.5</v>
      </c>
      <c r="Y66" s="6">
        <f t="shared" si="11"/>
        <v>0</v>
      </c>
      <c r="Z66" s="6">
        <f t="shared" si="11"/>
        <v>0</v>
      </c>
      <c r="AA66" s="6">
        <f t="shared" si="10"/>
        <v>115629.13</v>
      </c>
    </row>
    <row r="67" spans="1:27" x14ac:dyDescent="0.25">
      <c r="A67" s="3" t="s">
        <v>87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5">
        <f t="shared" si="10"/>
        <v>0</v>
      </c>
    </row>
    <row r="68" spans="1:27" x14ac:dyDescent="0.25">
      <c r="A68" s="3" t="s">
        <v>88</v>
      </c>
      <c r="B68" s="5">
        <f>42343.22</f>
        <v>42343.22</v>
      </c>
      <c r="C68" s="4"/>
      <c r="D68" s="5">
        <f>35852.5</f>
        <v>35852.5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5">
        <f t="shared" si="10"/>
        <v>78195.72</v>
      </c>
    </row>
    <row r="69" spans="1:27" x14ac:dyDescent="0.25">
      <c r="A69" s="3" t="s">
        <v>89</v>
      </c>
      <c r="B69" s="5">
        <f>23782</f>
        <v>23782</v>
      </c>
      <c r="C69" s="4"/>
      <c r="D69" s="5">
        <f>23911</f>
        <v>23911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5">
        <f t="shared" si="10"/>
        <v>47693</v>
      </c>
    </row>
    <row r="70" spans="1:27" x14ac:dyDescent="0.25">
      <c r="A70" s="3" t="s">
        <v>90</v>
      </c>
      <c r="B70" s="6">
        <f t="shared" ref="B70:Z70" si="12">((B67)+(B68))+(B69)</f>
        <v>66125.22</v>
      </c>
      <c r="C70" s="6">
        <f t="shared" si="12"/>
        <v>0</v>
      </c>
      <c r="D70" s="6">
        <f t="shared" si="12"/>
        <v>59763.5</v>
      </c>
      <c r="E70" s="6">
        <f t="shared" si="12"/>
        <v>0</v>
      </c>
      <c r="F70" s="6">
        <f t="shared" si="12"/>
        <v>0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0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0"/>
        <v>125888.72</v>
      </c>
    </row>
    <row r="71" spans="1:27" x14ac:dyDescent="0.25">
      <c r="A71" s="3" t="s">
        <v>91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5">
        <f t="shared" si="10"/>
        <v>0</v>
      </c>
    </row>
    <row r="72" spans="1:27" x14ac:dyDescent="0.25">
      <c r="A72" s="3" t="s">
        <v>92</v>
      </c>
      <c r="B72" s="5">
        <f>158.61</f>
        <v>158.61000000000001</v>
      </c>
      <c r="C72" s="4"/>
      <c r="D72" s="5">
        <f>111.02</f>
        <v>111.02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5">
        <f>47.58</f>
        <v>47.58</v>
      </c>
      <c r="Q72" s="4"/>
      <c r="R72" s="4"/>
      <c r="S72" s="4"/>
      <c r="T72" s="4"/>
      <c r="U72" s="4"/>
      <c r="V72" s="4"/>
      <c r="W72" s="4"/>
      <c r="X72" s="4"/>
      <c r="Y72" s="4"/>
      <c r="Z72" s="4"/>
      <c r="AA72" s="5">
        <f t="shared" si="10"/>
        <v>317.20999999999998</v>
      </c>
    </row>
    <row r="73" spans="1:27" x14ac:dyDescent="0.25">
      <c r="A73" s="3" t="s">
        <v>93</v>
      </c>
      <c r="B73" s="5">
        <f>150</f>
        <v>150</v>
      </c>
      <c r="C73" s="4"/>
      <c r="D73" s="5">
        <f>60</f>
        <v>60</v>
      </c>
      <c r="E73" s="4"/>
      <c r="F73" s="4"/>
      <c r="G73" s="4"/>
      <c r="H73" s="4"/>
      <c r="I73" s="4"/>
      <c r="J73" s="4"/>
      <c r="K73" s="5">
        <f>87.05</f>
        <v>87.05</v>
      </c>
      <c r="L73" s="4"/>
      <c r="M73" s="4"/>
      <c r="N73" s="4"/>
      <c r="O73" s="4"/>
      <c r="P73" s="5">
        <f>90</f>
        <v>90</v>
      </c>
      <c r="Q73" s="4"/>
      <c r="R73" s="4"/>
      <c r="S73" s="4"/>
      <c r="T73" s="4"/>
      <c r="U73" s="4"/>
      <c r="V73" s="4"/>
      <c r="W73" s="4"/>
      <c r="X73" s="4"/>
      <c r="Y73" s="4"/>
      <c r="Z73" s="4"/>
      <c r="AA73" s="5">
        <f t="shared" si="10"/>
        <v>387.05</v>
      </c>
    </row>
    <row r="74" spans="1:27" x14ac:dyDescent="0.25">
      <c r="A74" s="3" t="s">
        <v>94</v>
      </c>
      <c r="B74" s="5">
        <f>2309.53</f>
        <v>2309.5300000000002</v>
      </c>
      <c r="C74" s="4"/>
      <c r="D74" s="5">
        <f>1427.07</f>
        <v>1427.07</v>
      </c>
      <c r="E74" s="4"/>
      <c r="F74" s="4"/>
      <c r="G74" s="4"/>
      <c r="H74" s="4"/>
      <c r="I74" s="4"/>
      <c r="J74" s="4"/>
      <c r="K74" s="5">
        <f>68.41</f>
        <v>68.41</v>
      </c>
      <c r="L74" s="4"/>
      <c r="M74" s="4"/>
      <c r="N74" s="4"/>
      <c r="O74" s="4"/>
      <c r="P74" s="5">
        <f>930.98</f>
        <v>930.98</v>
      </c>
      <c r="Q74" s="5">
        <f>470.4</f>
        <v>470.4</v>
      </c>
      <c r="R74" s="5">
        <f>183.02</f>
        <v>183.02</v>
      </c>
      <c r="S74" s="4"/>
      <c r="T74" s="4"/>
      <c r="U74" s="4"/>
      <c r="V74" s="5">
        <f>861.69</f>
        <v>861.69</v>
      </c>
      <c r="W74" s="4"/>
      <c r="X74" s="5">
        <f>1201.98</f>
        <v>1201.98</v>
      </c>
      <c r="Y74" s="4"/>
      <c r="Z74" s="4"/>
      <c r="AA74" s="5">
        <f t="shared" si="10"/>
        <v>7453.08</v>
      </c>
    </row>
    <row r="75" spans="1:27" x14ac:dyDescent="0.25">
      <c r="A75" s="3" t="s">
        <v>95</v>
      </c>
      <c r="B75" s="5">
        <f>116.83</f>
        <v>116.83</v>
      </c>
      <c r="C75" s="4"/>
      <c r="D75" s="5">
        <f>889.73</f>
        <v>889.73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>
        <f>3687.22</f>
        <v>3687.22</v>
      </c>
      <c r="Q75" s="4"/>
      <c r="R75" s="4"/>
      <c r="S75" s="4"/>
      <c r="T75" s="4"/>
      <c r="U75" s="4"/>
      <c r="V75" s="5">
        <f>472.26</f>
        <v>472.26</v>
      </c>
      <c r="W75" s="4"/>
      <c r="X75" s="5">
        <f>472.26</f>
        <v>472.26</v>
      </c>
      <c r="Y75" s="4"/>
      <c r="Z75" s="4"/>
      <c r="AA75" s="5">
        <f t="shared" si="10"/>
        <v>5638.3</v>
      </c>
    </row>
    <row r="76" spans="1:27" x14ac:dyDescent="0.25">
      <c r="A76" s="3" t="s">
        <v>96</v>
      </c>
      <c r="B76" s="5">
        <f>11923.77</f>
        <v>11923.77</v>
      </c>
      <c r="C76" s="4"/>
      <c r="D76" s="5">
        <f>1284.82</f>
        <v>1284.82</v>
      </c>
      <c r="E76" s="4"/>
      <c r="F76" s="4"/>
      <c r="G76" s="5">
        <f>308.39</f>
        <v>308.39</v>
      </c>
      <c r="H76" s="5">
        <f>1038.74</f>
        <v>1038.74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5">
        <f>435.57</f>
        <v>435.57</v>
      </c>
      <c r="T76" s="4"/>
      <c r="U76" s="4"/>
      <c r="V76" s="4"/>
      <c r="W76" s="4"/>
      <c r="X76" s="4"/>
      <c r="Y76" s="4"/>
      <c r="Z76" s="4"/>
      <c r="AA76" s="5">
        <f t="shared" si="10"/>
        <v>14991.289999999999</v>
      </c>
    </row>
    <row r="77" spans="1:27" x14ac:dyDescent="0.25">
      <c r="A77" s="3" t="s">
        <v>97</v>
      </c>
      <c r="B77" s="5">
        <f>21400.78</f>
        <v>21400.78</v>
      </c>
      <c r="C77" s="5">
        <f>94</f>
        <v>94</v>
      </c>
      <c r="D77" s="5">
        <f>6116.23</f>
        <v>6116.23</v>
      </c>
      <c r="E77" s="5">
        <f>0</f>
        <v>0</v>
      </c>
      <c r="F77" s="4"/>
      <c r="G77" s="5">
        <f>12429.95</f>
        <v>12429.95</v>
      </c>
      <c r="H77" s="5">
        <f>144.5</f>
        <v>144.5</v>
      </c>
      <c r="I77" s="4"/>
      <c r="J77" s="4"/>
      <c r="K77" s="5">
        <f>27288.99</f>
        <v>27288.99</v>
      </c>
      <c r="L77" s="4"/>
      <c r="M77" s="4"/>
      <c r="N77" s="4"/>
      <c r="O77" s="4"/>
      <c r="P77" s="5">
        <f>18059.54</f>
        <v>18059.54</v>
      </c>
      <c r="Q77" s="5">
        <f>1971.18</f>
        <v>1971.18</v>
      </c>
      <c r="R77" s="5">
        <f>18560.54</f>
        <v>18560.54</v>
      </c>
      <c r="S77" s="4"/>
      <c r="T77" s="5">
        <f>-62</f>
        <v>-62</v>
      </c>
      <c r="U77" s="5">
        <f>1058.01</f>
        <v>1058.01</v>
      </c>
      <c r="V77" s="5">
        <f>13401.4</f>
        <v>13401.4</v>
      </c>
      <c r="W77" s="4"/>
      <c r="X77" s="5">
        <f>10957.74</f>
        <v>10957.74</v>
      </c>
      <c r="Y77" s="4"/>
      <c r="Z77" s="4"/>
      <c r="AA77" s="5">
        <f t="shared" si="10"/>
        <v>131420.85999999999</v>
      </c>
    </row>
    <row r="78" spans="1:27" x14ac:dyDescent="0.25">
      <c r="A78" s="3" t="s">
        <v>98</v>
      </c>
      <c r="B78" s="5">
        <f>1718.97</f>
        <v>1718.97</v>
      </c>
      <c r="C78" s="4"/>
      <c r="D78" s="5">
        <f>1468.43</f>
        <v>1468.43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5">
        <f t="shared" si="10"/>
        <v>3187.4</v>
      </c>
    </row>
    <row r="79" spans="1:27" x14ac:dyDescent="0.25">
      <c r="A79" s="3" t="s">
        <v>99</v>
      </c>
      <c r="B79" s="6">
        <f t="shared" ref="B79:Z79" si="13">(((((((B71)+(B72))+(B73))+(B74))+(B75))+(B76))+(B77))+(B78)</f>
        <v>37778.490000000005</v>
      </c>
      <c r="C79" s="6">
        <f t="shared" si="13"/>
        <v>94</v>
      </c>
      <c r="D79" s="6">
        <f t="shared" si="13"/>
        <v>11357.3</v>
      </c>
      <c r="E79" s="6">
        <f t="shared" si="13"/>
        <v>0</v>
      </c>
      <c r="F79" s="6">
        <f t="shared" si="13"/>
        <v>0</v>
      </c>
      <c r="G79" s="6">
        <f t="shared" si="13"/>
        <v>12738.34</v>
      </c>
      <c r="H79" s="6">
        <f t="shared" si="13"/>
        <v>1183.24</v>
      </c>
      <c r="I79" s="6">
        <f t="shared" si="13"/>
        <v>0</v>
      </c>
      <c r="J79" s="6">
        <f t="shared" si="13"/>
        <v>0</v>
      </c>
      <c r="K79" s="6">
        <f t="shared" si="13"/>
        <v>27444.45</v>
      </c>
      <c r="L79" s="6">
        <f t="shared" si="13"/>
        <v>0</v>
      </c>
      <c r="M79" s="6">
        <f t="shared" si="13"/>
        <v>0</v>
      </c>
      <c r="N79" s="6">
        <f t="shared" si="13"/>
        <v>0</v>
      </c>
      <c r="O79" s="6">
        <f t="shared" si="13"/>
        <v>0</v>
      </c>
      <c r="P79" s="6">
        <f t="shared" si="13"/>
        <v>22815.32</v>
      </c>
      <c r="Q79" s="6">
        <f t="shared" si="13"/>
        <v>2441.58</v>
      </c>
      <c r="R79" s="6">
        <f t="shared" si="13"/>
        <v>18743.560000000001</v>
      </c>
      <c r="S79" s="6">
        <f t="shared" si="13"/>
        <v>435.57</v>
      </c>
      <c r="T79" s="6">
        <f t="shared" si="13"/>
        <v>-62</v>
      </c>
      <c r="U79" s="6">
        <f t="shared" si="13"/>
        <v>1058.01</v>
      </c>
      <c r="V79" s="6">
        <f t="shared" si="13"/>
        <v>14735.35</v>
      </c>
      <c r="W79" s="6">
        <f t="shared" si="13"/>
        <v>0</v>
      </c>
      <c r="X79" s="6">
        <f t="shared" si="13"/>
        <v>12631.98</v>
      </c>
      <c r="Y79" s="6">
        <f t="shared" si="13"/>
        <v>0</v>
      </c>
      <c r="Z79" s="6">
        <f t="shared" si="13"/>
        <v>0</v>
      </c>
      <c r="AA79" s="6">
        <f t="shared" si="10"/>
        <v>163395.19000000006</v>
      </c>
    </row>
    <row r="80" spans="1:27" x14ac:dyDescent="0.25">
      <c r="A80" s="3" t="s">
        <v>100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5">
        <f t="shared" si="10"/>
        <v>0</v>
      </c>
    </row>
    <row r="81" spans="1:27" x14ac:dyDescent="0.25">
      <c r="A81" s="3" t="s">
        <v>101</v>
      </c>
      <c r="B81" s="4"/>
      <c r="C81" s="4"/>
      <c r="D81" s="4"/>
      <c r="E81" s="4"/>
      <c r="F81" s="4"/>
      <c r="G81" s="5">
        <f>31580</f>
        <v>31580</v>
      </c>
      <c r="H81" s="4"/>
      <c r="I81" s="4"/>
      <c r="J81" s="5">
        <f>7198.52</f>
        <v>7198.52</v>
      </c>
      <c r="K81" s="5">
        <f>11000</f>
        <v>11000</v>
      </c>
      <c r="L81" s="4"/>
      <c r="M81" s="4"/>
      <c r="N81" s="4"/>
      <c r="O81" s="4"/>
      <c r="P81" s="5">
        <f>7155</f>
        <v>7155</v>
      </c>
      <c r="Q81" s="4"/>
      <c r="R81" s="5">
        <f>10000</f>
        <v>10000</v>
      </c>
      <c r="S81" s="4"/>
      <c r="T81" s="4"/>
      <c r="U81" s="4"/>
      <c r="V81" s="5">
        <f>41063.41</f>
        <v>41063.410000000003</v>
      </c>
      <c r="W81" s="4"/>
      <c r="X81" s="5">
        <f>131592.7</f>
        <v>131592.70000000001</v>
      </c>
      <c r="Y81" s="5">
        <f>5388</f>
        <v>5388</v>
      </c>
      <c r="Z81" s="4"/>
      <c r="AA81" s="5">
        <f t="shared" si="10"/>
        <v>244977.63</v>
      </c>
    </row>
    <row r="82" spans="1:27" x14ac:dyDescent="0.25">
      <c r="A82" s="3" t="s">
        <v>102</v>
      </c>
      <c r="B82" s="5">
        <f>10306.87</f>
        <v>10306.870000000001</v>
      </c>
      <c r="C82" s="4"/>
      <c r="D82" s="4"/>
      <c r="E82" s="4"/>
      <c r="F82" s="4"/>
      <c r="G82" s="4"/>
      <c r="H82" s="4"/>
      <c r="I82" s="4"/>
      <c r="J82" s="4"/>
      <c r="K82" s="5">
        <f>12700</f>
        <v>12700</v>
      </c>
      <c r="L82" s="4"/>
      <c r="M82" s="4"/>
      <c r="N82" s="4"/>
      <c r="O82" s="4"/>
      <c r="P82" s="5">
        <f>4690</f>
        <v>4690</v>
      </c>
      <c r="Q82" s="5">
        <f>1159</f>
        <v>1159</v>
      </c>
      <c r="R82" s="5">
        <f>970</f>
        <v>970</v>
      </c>
      <c r="S82" s="4"/>
      <c r="T82" s="4"/>
      <c r="U82" s="4"/>
      <c r="V82" s="5">
        <f>2125</f>
        <v>2125</v>
      </c>
      <c r="W82" s="4"/>
      <c r="X82" s="5">
        <f>5510.51</f>
        <v>5510.51</v>
      </c>
      <c r="Y82" s="4"/>
      <c r="Z82" s="4"/>
      <c r="AA82" s="5">
        <f t="shared" si="10"/>
        <v>37461.380000000005</v>
      </c>
    </row>
    <row r="83" spans="1:27" x14ac:dyDescent="0.25">
      <c r="A83" s="3" t="s">
        <v>103</v>
      </c>
      <c r="B83" s="5">
        <f>25694.61</f>
        <v>25694.61</v>
      </c>
      <c r="C83" s="4"/>
      <c r="D83" s="4"/>
      <c r="E83" s="4"/>
      <c r="F83" s="4"/>
      <c r="G83" s="5">
        <f>1561.42</f>
        <v>1561.42</v>
      </c>
      <c r="H83" s="4"/>
      <c r="I83" s="4"/>
      <c r="J83" s="4"/>
      <c r="K83" s="5">
        <f>10710.7</f>
        <v>10710.7</v>
      </c>
      <c r="L83" s="4"/>
      <c r="M83" s="4"/>
      <c r="N83" s="5">
        <f>186301.6</f>
        <v>186301.6</v>
      </c>
      <c r="O83" s="4"/>
      <c r="P83" s="5">
        <f>4361.39</f>
        <v>4361.3900000000003</v>
      </c>
      <c r="Q83" s="5">
        <f>1877.1</f>
        <v>1877.1</v>
      </c>
      <c r="R83" s="5">
        <f>40.91</f>
        <v>40.909999999999997</v>
      </c>
      <c r="S83" s="4"/>
      <c r="T83" s="5">
        <f>787.75</f>
        <v>787.75</v>
      </c>
      <c r="U83" s="5">
        <f>29.21</f>
        <v>29.21</v>
      </c>
      <c r="V83" s="5">
        <f>11011.15</f>
        <v>11011.15</v>
      </c>
      <c r="W83" s="4"/>
      <c r="X83" s="5">
        <f>2100.85</f>
        <v>2100.85</v>
      </c>
      <c r="Y83" s="5">
        <f>4430.52</f>
        <v>4430.5200000000004</v>
      </c>
      <c r="Z83" s="4"/>
      <c r="AA83" s="5">
        <f t="shared" si="10"/>
        <v>248907.21000000002</v>
      </c>
    </row>
    <row r="84" spans="1:27" x14ac:dyDescent="0.25">
      <c r="A84" s="3" t="s">
        <v>104</v>
      </c>
      <c r="B84" s="5">
        <f>458.55</f>
        <v>458.55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5">
        <f>26461.43</f>
        <v>26461.43</v>
      </c>
      <c r="Q84" s="5">
        <f>438.16</f>
        <v>438.16</v>
      </c>
      <c r="R84" s="5">
        <f>1623.3</f>
        <v>1623.3</v>
      </c>
      <c r="S84" s="4"/>
      <c r="T84" s="4"/>
      <c r="U84" s="4"/>
      <c r="V84" s="5">
        <f>979.2</f>
        <v>979.2</v>
      </c>
      <c r="W84" s="4"/>
      <c r="X84" s="4"/>
      <c r="Y84" s="4"/>
      <c r="Z84" s="4"/>
      <c r="AA84" s="5">
        <f t="shared" si="10"/>
        <v>29960.639999999999</v>
      </c>
    </row>
    <row r="85" spans="1:27" x14ac:dyDescent="0.25">
      <c r="A85" s="3" t="s">
        <v>105</v>
      </c>
      <c r="B85" s="5">
        <f>3830.81</f>
        <v>3830.81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5">
        <f t="shared" si="10"/>
        <v>3830.81</v>
      </c>
    </row>
    <row r="86" spans="1:27" x14ac:dyDescent="0.25">
      <c r="A86" s="3" t="s">
        <v>106</v>
      </c>
      <c r="B86" s="6">
        <f t="shared" ref="B86:Z86" si="14">(((((B80)+(B81))+(B82))+(B83))+(B84))+(B85)</f>
        <v>40290.840000000004</v>
      </c>
      <c r="C86" s="6">
        <f t="shared" si="14"/>
        <v>0</v>
      </c>
      <c r="D86" s="6">
        <f t="shared" si="14"/>
        <v>0</v>
      </c>
      <c r="E86" s="6">
        <f t="shared" si="14"/>
        <v>0</v>
      </c>
      <c r="F86" s="6">
        <f t="shared" si="14"/>
        <v>0</v>
      </c>
      <c r="G86" s="6">
        <f t="shared" si="14"/>
        <v>33141.42</v>
      </c>
      <c r="H86" s="6">
        <f t="shared" si="14"/>
        <v>0</v>
      </c>
      <c r="I86" s="6">
        <f t="shared" si="14"/>
        <v>0</v>
      </c>
      <c r="J86" s="6">
        <f t="shared" si="14"/>
        <v>7198.52</v>
      </c>
      <c r="K86" s="6">
        <f t="shared" si="14"/>
        <v>34410.699999999997</v>
      </c>
      <c r="L86" s="6">
        <f t="shared" si="14"/>
        <v>0</v>
      </c>
      <c r="M86" s="6">
        <f t="shared" si="14"/>
        <v>0</v>
      </c>
      <c r="N86" s="6">
        <f t="shared" si="14"/>
        <v>186301.6</v>
      </c>
      <c r="O86" s="6">
        <f t="shared" si="14"/>
        <v>0</v>
      </c>
      <c r="P86" s="6">
        <f t="shared" si="14"/>
        <v>42667.82</v>
      </c>
      <c r="Q86" s="6">
        <f t="shared" si="14"/>
        <v>3474.2599999999998</v>
      </c>
      <c r="R86" s="6">
        <f t="shared" si="14"/>
        <v>12634.21</v>
      </c>
      <c r="S86" s="6">
        <f t="shared" si="14"/>
        <v>0</v>
      </c>
      <c r="T86" s="6">
        <f t="shared" si="14"/>
        <v>787.75</v>
      </c>
      <c r="U86" s="6">
        <f t="shared" si="14"/>
        <v>29.21</v>
      </c>
      <c r="V86" s="6">
        <f t="shared" si="14"/>
        <v>55178.76</v>
      </c>
      <c r="W86" s="6">
        <f t="shared" si="14"/>
        <v>0</v>
      </c>
      <c r="X86" s="6">
        <f t="shared" si="14"/>
        <v>139204.06000000003</v>
      </c>
      <c r="Y86" s="6">
        <f t="shared" si="14"/>
        <v>9818.52</v>
      </c>
      <c r="Z86" s="6">
        <f t="shared" si="14"/>
        <v>0</v>
      </c>
      <c r="AA86" s="6">
        <f t="shared" si="10"/>
        <v>565137.67000000016</v>
      </c>
    </row>
    <row r="87" spans="1:27" x14ac:dyDescent="0.25">
      <c r="A87" s="3" t="s">
        <v>107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5">
        <f t="shared" si="10"/>
        <v>0</v>
      </c>
    </row>
    <row r="88" spans="1:27" x14ac:dyDescent="0.25">
      <c r="A88" s="3" t="s">
        <v>108</v>
      </c>
      <c r="B88" s="5">
        <f>1412.99</f>
        <v>1412.99</v>
      </c>
      <c r="C88" s="4"/>
      <c r="D88" s="4"/>
      <c r="E88" s="4"/>
      <c r="F88" s="4"/>
      <c r="G88" s="4"/>
      <c r="H88" s="5">
        <f>500</f>
        <v>500</v>
      </c>
      <c r="I88" s="4"/>
      <c r="J88" s="4"/>
      <c r="K88" s="4"/>
      <c r="L88" s="4"/>
      <c r="M88" s="4"/>
      <c r="N88" s="4"/>
      <c r="O88" s="4"/>
      <c r="P88" s="5">
        <f>1965</f>
        <v>1965</v>
      </c>
      <c r="Q88" s="4"/>
      <c r="R88" s="4"/>
      <c r="S88" s="4"/>
      <c r="T88" s="4"/>
      <c r="U88" s="4"/>
      <c r="V88" s="4"/>
      <c r="W88" s="4"/>
      <c r="X88" s="5">
        <f>190</f>
        <v>190</v>
      </c>
      <c r="Y88" s="4"/>
      <c r="Z88" s="4"/>
      <c r="AA88" s="5">
        <f t="shared" si="10"/>
        <v>4067.99</v>
      </c>
    </row>
    <row r="89" spans="1:27" x14ac:dyDescent="0.25">
      <c r="A89" s="3" t="s">
        <v>109</v>
      </c>
      <c r="B89" s="4"/>
      <c r="C89" s="4"/>
      <c r="D89" s="5">
        <f>46897.45</f>
        <v>46897.45</v>
      </c>
      <c r="E89" s="4"/>
      <c r="F89" s="5">
        <f>2422.04</f>
        <v>2422.04</v>
      </c>
      <c r="G89" s="4"/>
      <c r="H89" s="5">
        <f>168.32</f>
        <v>168.32</v>
      </c>
      <c r="I89" s="5">
        <f>1737.57</f>
        <v>1737.57</v>
      </c>
      <c r="J89" s="5">
        <f>25599.07</f>
        <v>25599.07</v>
      </c>
      <c r="K89" s="5">
        <f>20465.41</f>
        <v>20465.41</v>
      </c>
      <c r="L89" s="5">
        <f>19145.71</f>
        <v>19145.71</v>
      </c>
      <c r="M89" s="5">
        <f>11555.7</f>
        <v>11555.7</v>
      </c>
      <c r="N89" s="5">
        <f>22243.24</f>
        <v>22243.24</v>
      </c>
      <c r="O89" s="5">
        <f>2304.72</f>
        <v>2304.7199999999998</v>
      </c>
      <c r="P89" s="5">
        <f>5683.1</f>
        <v>5683.1</v>
      </c>
      <c r="Q89" s="5">
        <f>28542.68</f>
        <v>28542.68</v>
      </c>
      <c r="R89" s="5">
        <f>10108.59</f>
        <v>10108.59</v>
      </c>
      <c r="S89" s="5">
        <f>0</f>
        <v>0</v>
      </c>
      <c r="T89" s="5">
        <f>15.19</f>
        <v>15.19</v>
      </c>
      <c r="U89" s="5">
        <f>21.74</f>
        <v>21.74</v>
      </c>
      <c r="V89" s="5">
        <f>33481.63</f>
        <v>33481.629999999997</v>
      </c>
      <c r="W89" s="5">
        <f>0</f>
        <v>0</v>
      </c>
      <c r="X89" s="5">
        <f>51594.5</f>
        <v>51594.5</v>
      </c>
      <c r="Y89" s="5">
        <f>3023.72</f>
        <v>3023.72</v>
      </c>
      <c r="Z89" s="5">
        <f>0</f>
        <v>0</v>
      </c>
      <c r="AA89" s="5">
        <f t="shared" si="10"/>
        <v>285010.38</v>
      </c>
    </row>
    <row r="90" spans="1:27" x14ac:dyDescent="0.25">
      <c r="A90" s="3" t="s">
        <v>110</v>
      </c>
      <c r="B90" s="6">
        <f t="shared" ref="B90:Z90" si="15">((B87)+(B88))+(B89)</f>
        <v>1412.99</v>
      </c>
      <c r="C90" s="6">
        <f t="shared" si="15"/>
        <v>0</v>
      </c>
      <c r="D90" s="6">
        <f t="shared" si="15"/>
        <v>46897.45</v>
      </c>
      <c r="E90" s="6">
        <f t="shared" si="15"/>
        <v>0</v>
      </c>
      <c r="F90" s="6">
        <f t="shared" si="15"/>
        <v>2422.04</v>
      </c>
      <c r="G90" s="6">
        <f t="shared" si="15"/>
        <v>0</v>
      </c>
      <c r="H90" s="6">
        <f t="shared" si="15"/>
        <v>668.31999999999994</v>
      </c>
      <c r="I90" s="6">
        <f t="shared" si="15"/>
        <v>1737.57</v>
      </c>
      <c r="J90" s="6">
        <f t="shared" si="15"/>
        <v>25599.07</v>
      </c>
      <c r="K90" s="6">
        <f t="shared" si="15"/>
        <v>20465.41</v>
      </c>
      <c r="L90" s="6">
        <f t="shared" si="15"/>
        <v>19145.71</v>
      </c>
      <c r="M90" s="6">
        <f t="shared" si="15"/>
        <v>11555.7</v>
      </c>
      <c r="N90" s="6">
        <f t="shared" si="15"/>
        <v>22243.24</v>
      </c>
      <c r="O90" s="6">
        <f t="shared" si="15"/>
        <v>2304.7199999999998</v>
      </c>
      <c r="P90" s="6">
        <f t="shared" si="15"/>
        <v>7648.1</v>
      </c>
      <c r="Q90" s="6">
        <f t="shared" si="15"/>
        <v>28542.68</v>
      </c>
      <c r="R90" s="6">
        <f t="shared" si="15"/>
        <v>10108.59</v>
      </c>
      <c r="S90" s="6">
        <f t="shared" si="15"/>
        <v>0</v>
      </c>
      <c r="T90" s="6">
        <f t="shared" si="15"/>
        <v>15.19</v>
      </c>
      <c r="U90" s="6">
        <f t="shared" si="15"/>
        <v>21.74</v>
      </c>
      <c r="V90" s="6">
        <f t="shared" si="15"/>
        <v>33481.629999999997</v>
      </c>
      <c r="W90" s="6">
        <f t="shared" si="15"/>
        <v>0</v>
      </c>
      <c r="X90" s="6">
        <f t="shared" si="15"/>
        <v>51784.5</v>
      </c>
      <c r="Y90" s="6">
        <f t="shared" si="15"/>
        <v>3023.72</v>
      </c>
      <c r="Z90" s="6">
        <f t="shared" si="15"/>
        <v>0</v>
      </c>
      <c r="AA90" s="6">
        <f t="shared" si="10"/>
        <v>289078.37</v>
      </c>
    </row>
    <row r="91" spans="1:27" x14ac:dyDescent="0.25">
      <c r="A91" s="3" t="s">
        <v>111</v>
      </c>
      <c r="B91" s="6">
        <f t="shared" ref="B91:Z91" si="16">((((((((B35)+(B48))+(B54))+(B55))+(B66))+(B70))+(B79))+(B86))+(B90)</f>
        <v>510399.00999999995</v>
      </c>
      <c r="C91" s="6">
        <f t="shared" si="16"/>
        <v>94</v>
      </c>
      <c r="D91" s="6">
        <f t="shared" si="16"/>
        <v>515736.23</v>
      </c>
      <c r="E91" s="6">
        <f t="shared" si="16"/>
        <v>0</v>
      </c>
      <c r="F91" s="6">
        <f t="shared" si="16"/>
        <v>32697.49</v>
      </c>
      <c r="G91" s="6">
        <f t="shared" si="16"/>
        <v>181487.32</v>
      </c>
      <c r="H91" s="6">
        <f t="shared" si="16"/>
        <v>1851.56</v>
      </c>
      <c r="I91" s="6">
        <f t="shared" si="16"/>
        <v>19113.300000000003</v>
      </c>
      <c r="J91" s="6">
        <f t="shared" si="16"/>
        <v>281589.80999999994</v>
      </c>
      <c r="K91" s="6">
        <f t="shared" si="16"/>
        <v>176039.99000000002</v>
      </c>
      <c r="L91" s="6">
        <f t="shared" si="16"/>
        <v>178693.24999999997</v>
      </c>
      <c r="M91" s="6">
        <f t="shared" si="16"/>
        <v>107869.29</v>
      </c>
      <c r="N91" s="6">
        <f t="shared" si="16"/>
        <v>244675.55</v>
      </c>
      <c r="O91" s="6">
        <f t="shared" si="16"/>
        <v>31113.54</v>
      </c>
      <c r="P91" s="6">
        <f t="shared" si="16"/>
        <v>76788.09</v>
      </c>
      <c r="Q91" s="6">
        <f t="shared" si="16"/>
        <v>266398.39</v>
      </c>
      <c r="R91" s="6">
        <f t="shared" si="16"/>
        <v>82312.75999999998</v>
      </c>
      <c r="S91" s="6">
        <f t="shared" si="16"/>
        <v>435.57</v>
      </c>
      <c r="T91" s="6">
        <f t="shared" si="16"/>
        <v>740.94</v>
      </c>
      <c r="U91" s="6">
        <f t="shared" si="16"/>
        <v>1108.96</v>
      </c>
      <c r="V91" s="6">
        <f t="shared" si="16"/>
        <v>272636.15000000002</v>
      </c>
      <c r="W91" s="6">
        <f t="shared" si="16"/>
        <v>0</v>
      </c>
      <c r="X91" s="6">
        <f t="shared" si="16"/>
        <v>420126.67000000004</v>
      </c>
      <c r="Y91" s="6">
        <f t="shared" si="16"/>
        <v>33260.959999999999</v>
      </c>
      <c r="Z91" s="6">
        <f t="shared" si="16"/>
        <v>0</v>
      </c>
      <c r="AA91" s="6">
        <f t="shared" si="10"/>
        <v>3435168.8299999996</v>
      </c>
    </row>
    <row r="92" spans="1:27" x14ac:dyDescent="0.25">
      <c r="A92" s="3" t="s">
        <v>112</v>
      </c>
      <c r="B92" s="6">
        <f t="shared" ref="B92:Z92" si="17">(B30)-(B91)</f>
        <v>239969.62000000005</v>
      </c>
      <c r="C92" s="6">
        <f t="shared" si="17"/>
        <v>131</v>
      </c>
      <c r="D92" s="6">
        <f t="shared" si="17"/>
        <v>678164.01</v>
      </c>
      <c r="E92" s="6">
        <f t="shared" si="17"/>
        <v>0</v>
      </c>
      <c r="F92" s="6">
        <f t="shared" si="17"/>
        <v>0</v>
      </c>
      <c r="G92" s="6">
        <f t="shared" si="17"/>
        <v>-93709.11</v>
      </c>
      <c r="H92" s="6">
        <f t="shared" si="17"/>
        <v>-551.55999999999995</v>
      </c>
      <c r="I92" s="6">
        <f t="shared" si="17"/>
        <v>73925.39</v>
      </c>
      <c r="J92" s="6">
        <f t="shared" si="17"/>
        <v>0</v>
      </c>
      <c r="K92" s="6">
        <f t="shared" si="17"/>
        <v>0</v>
      </c>
      <c r="L92" s="6">
        <f t="shared" si="17"/>
        <v>-58501.479999999967</v>
      </c>
      <c r="M92" s="6">
        <f t="shared" si="17"/>
        <v>-32949.25</v>
      </c>
      <c r="N92" s="6">
        <f t="shared" si="17"/>
        <v>0</v>
      </c>
      <c r="O92" s="6">
        <f t="shared" si="17"/>
        <v>0</v>
      </c>
      <c r="P92" s="6">
        <f t="shared" si="17"/>
        <v>-3284.4499999999971</v>
      </c>
      <c r="Q92" s="6">
        <f t="shared" si="17"/>
        <v>0</v>
      </c>
      <c r="R92" s="6">
        <f t="shared" si="17"/>
        <v>0</v>
      </c>
      <c r="S92" s="6">
        <f t="shared" si="17"/>
        <v>-435.57</v>
      </c>
      <c r="T92" s="6">
        <f t="shared" si="17"/>
        <v>0</v>
      </c>
      <c r="U92" s="6">
        <f t="shared" si="17"/>
        <v>0</v>
      </c>
      <c r="V92" s="6">
        <f t="shared" si="17"/>
        <v>0</v>
      </c>
      <c r="W92" s="6">
        <f t="shared" si="17"/>
        <v>0</v>
      </c>
      <c r="X92" s="6">
        <f t="shared" si="17"/>
        <v>-37205.680000000051</v>
      </c>
      <c r="Y92" s="6">
        <f t="shared" si="17"/>
        <v>-33260.959999999999</v>
      </c>
      <c r="Z92" s="6">
        <f t="shared" si="17"/>
        <v>0</v>
      </c>
      <c r="AA92" s="6">
        <f t="shared" si="10"/>
        <v>732291.9600000002</v>
      </c>
    </row>
    <row r="93" spans="1:27" x14ac:dyDescent="0.25">
      <c r="A93" s="3" t="s">
        <v>113</v>
      </c>
      <c r="B93" s="7">
        <f t="shared" ref="B93:Z93" si="18">(B92)+(0)</f>
        <v>239969.62000000005</v>
      </c>
      <c r="C93" s="7">
        <f t="shared" si="18"/>
        <v>131</v>
      </c>
      <c r="D93" s="7">
        <f t="shared" si="18"/>
        <v>678164.01</v>
      </c>
      <c r="E93" s="7">
        <f t="shared" si="18"/>
        <v>0</v>
      </c>
      <c r="F93" s="7">
        <f t="shared" si="18"/>
        <v>0</v>
      </c>
      <c r="G93" s="7">
        <f t="shared" si="18"/>
        <v>-93709.11</v>
      </c>
      <c r="H93" s="7">
        <f t="shared" si="18"/>
        <v>-551.55999999999995</v>
      </c>
      <c r="I93" s="7">
        <f t="shared" si="18"/>
        <v>73925.39</v>
      </c>
      <c r="J93" s="7">
        <f t="shared" si="18"/>
        <v>0</v>
      </c>
      <c r="K93" s="7">
        <f t="shared" si="18"/>
        <v>0</v>
      </c>
      <c r="L93" s="7">
        <f t="shared" si="18"/>
        <v>-58501.479999999967</v>
      </c>
      <c r="M93" s="7">
        <f t="shared" si="18"/>
        <v>-32949.25</v>
      </c>
      <c r="N93" s="7">
        <f t="shared" si="18"/>
        <v>0</v>
      </c>
      <c r="O93" s="7">
        <f t="shared" si="18"/>
        <v>0</v>
      </c>
      <c r="P93" s="7">
        <f t="shared" si="18"/>
        <v>-3284.4499999999971</v>
      </c>
      <c r="Q93" s="7">
        <f t="shared" si="18"/>
        <v>0</v>
      </c>
      <c r="R93" s="7">
        <f t="shared" si="18"/>
        <v>0</v>
      </c>
      <c r="S93" s="7">
        <f t="shared" si="18"/>
        <v>-435.57</v>
      </c>
      <c r="T93" s="7">
        <f t="shared" si="18"/>
        <v>0</v>
      </c>
      <c r="U93" s="7">
        <f t="shared" si="18"/>
        <v>0</v>
      </c>
      <c r="V93" s="7">
        <f t="shared" si="18"/>
        <v>0</v>
      </c>
      <c r="W93" s="7">
        <f t="shared" si="18"/>
        <v>0</v>
      </c>
      <c r="X93" s="7">
        <f t="shared" si="18"/>
        <v>-37205.680000000051</v>
      </c>
      <c r="Y93" s="7">
        <f t="shared" si="18"/>
        <v>-33260.959999999999</v>
      </c>
      <c r="Z93" s="7">
        <f t="shared" si="18"/>
        <v>0</v>
      </c>
      <c r="AA93" s="7">
        <f t="shared" si="10"/>
        <v>732291.9600000002</v>
      </c>
    </row>
    <row r="94" spans="1:27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7" spans="1:27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</sheetData>
  <sheetProtection algorithmName="SHA-512" hashValue="CvMivUKos1WdHy8jkKdJK/R5btmoTv7M7Py9jyNxi07IVphKjFjfJ5eQhH5Rfvr2plI+ys+derg+5TF/r+kimw==" saltValue="Sn5ZJsWIgMvAKRi5S4QvtA==" spinCount="100000" sheet="1" objects="1" scenarios="1"/>
  <mergeCells count="4">
    <mergeCell ref="A97:AA97"/>
    <mergeCell ref="A1:AA1"/>
    <mergeCell ref="A2:AA2"/>
    <mergeCell ref="A3:AA3"/>
  </mergeCells>
  <pageMargins left="0.7" right="0.7" top="0.75" bottom="0.75" header="0.3" footer="0.3"/>
  <pageSetup paperSize="5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2025-10-03T17:55:55Z</cp:lastPrinted>
  <dcterms:created xsi:type="dcterms:W3CDTF">2025-10-03T17:55:29Z</dcterms:created>
  <dcterms:modified xsi:type="dcterms:W3CDTF">2025-10-03T17:56:54Z</dcterms:modified>
</cp:coreProperties>
</file>