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wens\Desktop\"/>
    </mc:Choice>
  </mc:AlternateContent>
  <bookViews>
    <workbookView xWindow="0" yWindow="0" windowWidth="19110" windowHeight="5570"/>
  </bookViews>
  <sheets>
    <sheet name="SUMMARY" sheetId="2" r:id="rId1"/>
    <sheet name="Main" sheetId="1" r:id="rId2"/>
    <sheet name="Office" sheetId="3" r:id="rId3"/>
    <sheet name="Annex" sheetId="4" r:id="rId4"/>
    <sheet name="Maint" sheetId="5" r:id="rId5"/>
    <sheet name="Transpt" sheetId="6" r:id="rId6"/>
    <sheet name="Fball" sheetId="7" r:id="rId7"/>
    <sheet name="Delta Gas" sheetId="8" r:id="rId8"/>
    <sheet name="Heating Requirement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9" l="1"/>
  <c r="J17" i="9"/>
  <c r="J16" i="9"/>
  <c r="J15" i="9"/>
  <c r="J14" i="9"/>
  <c r="J13" i="9"/>
  <c r="J12" i="9"/>
  <c r="J11" i="9"/>
  <c r="J10" i="9"/>
  <c r="J9" i="9"/>
  <c r="J8" i="9"/>
  <c r="J7" i="9"/>
  <c r="J6" i="9"/>
  <c r="H18" i="9"/>
  <c r="C18" i="9"/>
  <c r="J16" i="8" l="1"/>
  <c r="I16" i="8"/>
  <c r="I33" i="2"/>
  <c r="J33" i="2"/>
  <c r="I31" i="2"/>
  <c r="I21" i="2"/>
  <c r="E21" i="2"/>
  <c r="D21" i="2"/>
  <c r="J15" i="8"/>
  <c r="I15" i="8"/>
  <c r="L17" i="5"/>
  <c r="F15" i="5"/>
  <c r="F13" i="5"/>
  <c r="F10" i="5"/>
  <c r="F6" i="5"/>
  <c r="F4" i="5"/>
  <c r="F7" i="5"/>
  <c r="F8" i="5"/>
  <c r="F12" i="5"/>
  <c r="F11" i="2"/>
  <c r="F7" i="2"/>
  <c r="F5" i="2"/>
  <c r="F12" i="2"/>
  <c r="F6" i="2"/>
  <c r="F3" i="2"/>
  <c r="F4" i="2"/>
  <c r="F8" i="2"/>
  <c r="F14" i="2"/>
  <c r="F15" i="2"/>
  <c r="F16" i="2"/>
  <c r="G4" i="8"/>
  <c r="E32" i="8"/>
  <c r="E15" i="8"/>
  <c r="K14" i="8"/>
  <c r="J14" i="8"/>
  <c r="J12" i="8"/>
  <c r="J4" i="8"/>
  <c r="I5" i="8"/>
  <c r="J5" i="8"/>
  <c r="K5" i="8"/>
  <c r="I6" i="8"/>
  <c r="J6" i="8"/>
  <c r="K6" i="8"/>
  <c r="I7" i="8"/>
  <c r="J7" i="8"/>
  <c r="K7" i="8"/>
  <c r="I8" i="8"/>
  <c r="J8" i="8"/>
  <c r="K8" i="8"/>
  <c r="I9" i="8"/>
  <c r="J9" i="8"/>
  <c r="K9" i="8"/>
  <c r="I10" i="8"/>
  <c r="J10" i="8"/>
  <c r="K10" i="8"/>
  <c r="I11" i="8"/>
  <c r="J11" i="8"/>
  <c r="K11" i="8"/>
  <c r="I12" i="8"/>
  <c r="K12" i="8"/>
  <c r="I13" i="8"/>
  <c r="J13" i="8"/>
  <c r="K13" i="8"/>
  <c r="I14" i="8"/>
  <c r="K3" i="8"/>
  <c r="J3" i="8"/>
  <c r="I3" i="8"/>
  <c r="E27" i="2"/>
  <c r="N12" i="2"/>
  <c r="Q12" i="2" s="1"/>
  <c r="Q13" i="2"/>
  <c r="F27" i="2"/>
  <c r="R24" i="2"/>
  <c r="F17" i="5"/>
  <c r="L16" i="2"/>
  <c r="L26" i="2"/>
  <c r="L24" i="2"/>
  <c r="L22" i="2"/>
  <c r="D24" i="2"/>
  <c r="Q15" i="7"/>
  <c r="Q13" i="7"/>
  <c r="Q11" i="7"/>
  <c r="Q9" i="7"/>
  <c r="Q5" i="7"/>
  <c r="L12" i="7"/>
  <c r="L10" i="7"/>
  <c r="L4" i="7"/>
  <c r="F13" i="7"/>
  <c r="F11" i="7"/>
  <c r="F9" i="7"/>
  <c r="F7" i="7"/>
  <c r="F4" i="7"/>
  <c r="Q15" i="6"/>
  <c r="Q14" i="6"/>
  <c r="Q12" i="6"/>
  <c r="Q10" i="6"/>
  <c r="Q5" i="6"/>
  <c r="L13" i="6"/>
  <c r="L11" i="6"/>
  <c r="L9" i="6"/>
  <c r="L4" i="6"/>
  <c r="F14" i="6"/>
  <c r="F12" i="6"/>
  <c r="F9" i="6"/>
  <c r="F6" i="6"/>
  <c r="F3" i="6"/>
  <c r="Q15" i="5"/>
  <c r="Q11" i="5"/>
  <c r="Q4" i="5"/>
  <c r="L15" i="5"/>
  <c r="L12" i="5"/>
  <c r="L10" i="5"/>
  <c r="L8" i="5"/>
  <c r="L7" i="5"/>
  <c r="L4" i="5"/>
  <c r="Q15" i="4"/>
  <c r="Q14" i="4"/>
  <c r="Q12" i="4"/>
  <c r="Q9" i="4"/>
  <c r="L14" i="4"/>
  <c r="L12" i="4"/>
  <c r="L8" i="4"/>
  <c r="L6" i="4"/>
  <c r="F15" i="4"/>
  <c r="F12" i="4"/>
  <c r="F8" i="4"/>
  <c r="F3" i="4"/>
  <c r="Q15" i="3"/>
  <c r="Q12" i="3"/>
  <c r="Q8" i="3"/>
  <c r="L15" i="3"/>
  <c r="L13" i="3"/>
  <c r="L10" i="3"/>
  <c r="F15" i="3"/>
  <c r="F12" i="3"/>
  <c r="F8" i="3"/>
  <c r="Q15" i="1"/>
  <c r="Q10" i="1"/>
  <c r="Q3" i="1"/>
  <c r="L15" i="1"/>
  <c r="L7" i="1"/>
  <c r="L11" i="1"/>
  <c r="L10" i="2"/>
  <c r="F10" i="2"/>
  <c r="Q14" i="7"/>
  <c r="Q12" i="7"/>
  <c r="Q10" i="7"/>
  <c r="Q8" i="7"/>
  <c r="Q7" i="7"/>
  <c r="Q6" i="7"/>
  <c r="Q4" i="7"/>
  <c r="Q3" i="7"/>
  <c r="L15" i="7"/>
  <c r="L14" i="7"/>
  <c r="L13" i="7"/>
  <c r="L11" i="7"/>
  <c r="L9" i="7"/>
  <c r="L8" i="7"/>
  <c r="L7" i="7"/>
  <c r="L6" i="7"/>
  <c r="L5" i="7"/>
  <c r="L3" i="7"/>
  <c r="F15" i="7"/>
  <c r="F14" i="7"/>
  <c r="F12" i="7"/>
  <c r="F10" i="7"/>
  <c r="F8" i="7"/>
  <c r="F6" i="7"/>
  <c r="F5" i="7"/>
  <c r="F3" i="7"/>
  <c r="Q13" i="6"/>
  <c r="Q11" i="6"/>
  <c r="Q9" i="6"/>
  <c r="Q8" i="6"/>
  <c r="Q7" i="6"/>
  <c r="Q6" i="6"/>
  <c r="Q4" i="6"/>
  <c r="Q3" i="6"/>
  <c r="L15" i="6"/>
  <c r="L14" i="6"/>
  <c r="L12" i="6"/>
  <c r="L10" i="6"/>
  <c r="L8" i="6"/>
  <c r="L7" i="6"/>
  <c r="L6" i="6"/>
  <c r="L5" i="6"/>
  <c r="L3" i="6"/>
  <c r="F8" i="6"/>
  <c r="F11" i="6"/>
  <c r="F15" i="6"/>
  <c r="F13" i="6"/>
  <c r="F10" i="6"/>
  <c r="F7" i="6"/>
  <c r="F5" i="6"/>
  <c r="F4" i="6"/>
  <c r="Q8" i="5"/>
  <c r="Q10" i="5"/>
  <c r="Q14" i="5"/>
  <c r="Q13" i="5"/>
  <c r="Q12" i="5"/>
  <c r="Q9" i="5"/>
  <c r="Q7" i="5"/>
  <c r="Q6" i="5"/>
  <c r="Q5" i="5"/>
  <c r="Q3" i="5"/>
  <c r="L14" i="5"/>
  <c r="L13" i="5"/>
  <c r="L11" i="5"/>
  <c r="L9" i="5"/>
  <c r="L6" i="5"/>
  <c r="L5" i="5"/>
  <c r="L3" i="5"/>
  <c r="F5" i="5"/>
  <c r="F14" i="5"/>
  <c r="F11" i="5"/>
  <c r="F9" i="5"/>
  <c r="F3" i="5"/>
  <c r="Q8" i="4"/>
  <c r="Q7" i="4"/>
  <c r="L11" i="4"/>
  <c r="L15" i="4"/>
  <c r="Q13" i="4"/>
  <c r="Q11" i="4"/>
  <c r="Q10" i="4"/>
  <c r="Q6" i="4"/>
  <c r="Q5" i="4"/>
  <c r="Q4" i="4"/>
  <c r="Q3" i="4"/>
  <c r="L13" i="4"/>
  <c r="L10" i="4"/>
  <c r="L9" i="4"/>
  <c r="L7" i="4"/>
  <c r="L5" i="4"/>
  <c r="L4" i="4"/>
  <c r="L3" i="4"/>
  <c r="F14" i="4"/>
  <c r="F13" i="4"/>
  <c r="F11" i="4"/>
  <c r="F10" i="4"/>
  <c r="F9" i="4"/>
  <c r="F7" i="4"/>
  <c r="F6" i="4"/>
  <c r="F5" i="4"/>
  <c r="F4" i="4"/>
  <c r="Q14" i="3"/>
  <c r="Q13" i="3"/>
  <c r="Q11" i="3"/>
  <c r="Q10" i="3"/>
  <c r="Q9" i="3"/>
  <c r="Q7" i="3"/>
  <c r="Q6" i="3"/>
  <c r="Q5" i="3"/>
  <c r="Q4" i="3"/>
  <c r="Q3" i="3"/>
  <c r="L14" i="3"/>
  <c r="L12" i="3"/>
  <c r="L11" i="3"/>
  <c r="L9" i="3"/>
  <c r="L8" i="3"/>
  <c r="L7" i="3"/>
  <c r="L6" i="3"/>
  <c r="L5" i="3"/>
  <c r="L4" i="3"/>
  <c r="L3" i="3"/>
  <c r="F14" i="3"/>
  <c r="F13" i="3"/>
  <c r="F11" i="3"/>
  <c r="F10" i="3"/>
  <c r="F9" i="3"/>
  <c r="F7" i="3"/>
  <c r="F6" i="3"/>
  <c r="F5" i="3"/>
  <c r="F4" i="3"/>
  <c r="F3" i="3"/>
  <c r="Q11" i="1"/>
  <c r="Q14" i="1"/>
  <c r="Q13" i="1"/>
  <c r="Q12" i="1"/>
  <c r="Q9" i="1"/>
  <c r="Q8" i="1"/>
  <c r="Q7" i="1"/>
  <c r="Q6" i="1"/>
  <c r="Q5" i="1"/>
  <c r="Q4" i="1"/>
  <c r="L14" i="1"/>
  <c r="L13" i="1"/>
  <c r="L12" i="1"/>
  <c r="L10" i="1"/>
  <c r="L9" i="1"/>
  <c r="L8" i="1"/>
  <c r="L6" i="1"/>
  <c r="L5" i="1"/>
  <c r="L4" i="1"/>
  <c r="L3" i="1"/>
  <c r="L25" i="2"/>
  <c r="L8" i="2"/>
  <c r="F13" i="2"/>
  <c r="F9" i="2"/>
  <c r="L14" i="2"/>
  <c r="L13" i="2"/>
  <c r="L12" i="2"/>
  <c r="L11" i="2"/>
  <c r="L9" i="2"/>
  <c r="L7" i="2"/>
  <c r="L6" i="2"/>
  <c r="L5" i="2"/>
  <c r="L4" i="2"/>
  <c r="L3" i="2"/>
  <c r="G5" i="8"/>
  <c r="G3" i="8"/>
  <c r="I14" i="1"/>
  <c r="N14" i="1" s="1"/>
  <c r="I14" i="7"/>
  <c r="C14" i="7"/>
  <c r="I14" i="6"/>
  <c r="C14" i="6"/>
  <c r="C14" i="5"/>
  <c r="N14" i="5" s="1"/>
  <c r="C14" i="4"/>
  <c r="C14" i="2" s="1"/>
  <c r="C14" i="3"/>
  <c r="I15" i="3"/>
  <c r="I3" i="7"/>
  <c r="C3" i="7"/>
  <c r="C3" i="2" s="1"/>
  <c r="I3" i="6"/>
  <c r="C3" i="6"/>
  <c r="C3" i="3"/>
  <c r="I7" i="1"/>
  <c r="C7" i="1"/>
  <c r="F7" i="1" s="1"/>
  <c r="I6" i="1"/>
  <c r="C6" i="1"/>
  <c r="C6" i="2" s="1"/>
  <c r="I5" i="1"/>
  <c r="I5" i="2" s="1"/>
  <c r="C5" i="1"/>
  <c r="N5" i="1" s="1"/>
  <c r="I3" i="1"/>
  <c r="I4" i="1"/>
  <c r="F4" i="1"/>
  <c r="C4" i="1"/>
  <c r="C15" i="1" s="1"/>
  <c r="C3" i="1"/>
  <c r="C3" i="4"/>
  <c r="C3" i="5"/>
  <c r="N3" i="5" s="1"/>
  <c r="J21" i="2"/>
  <c r="I22" i="2"/>
  <c r="N8" i="2"/>
  <c r="Q8" i="2" s="1"/>
  <c r="N9" i="2"/>
  <c r="Q9" i="2" s="1"/>
  <c r="N10" i="2"/>
  <c r="Q10" i="2" s="1"/>
  <c r="N11" i="2"/>
  <c r="Q11" i="2" s="1"/>
  <c r="N13" i="2"/>
  <c r="I4" i="2"/>
  <c r="I6" i="2"/>
  <c r="I7" i="2"/>
  <c r="I8" i="2"/>
  <c r="I9" i="2"/>
  <c r="I10" i="2"/>
  <c r="I11" i="2"/>
  <c r="I12" i="2"/>
  <c r="I13" i="2"/>
  <c r="I3" i="2"/>
  <c r="C13" i="2"/>
  <c r="C7" i="2"/>
  <c r="C8" i="2"/>
  <c r="C9" i="2"/>
  <c r="C10" i="2"/>
  <c r="C11" i="2"/>
  <c r="C12" i="2"/>
  <c r="C4" i="2"/>
  <c r="N6" i="1"/>
  <c r="N7" i="1"/>
  <c r="N8" i="1"/>
  <c r="N9" i="1"/>
  <c r="N10" i="1"/>
  <c r="N11" i="1"/>
  <c r="N12" i="1"/>
  <c r="N13" i="1"/>
  <c r="N3" i="1"/>
  <c r="F5" i="1"/>
  <c r="F14" i="1"/>
  <c r="F3" i="1"/>
  <c r="I13" i="1"/>
  <c r="C13" i="1"/>
  <c r="F13" i="1" s="1"/>
  <c r="I12" i="1"/>
  <c r="C12" i="1"/>
  <c r="F12" i="1" s="1"/>
  <c r="I11" i="1"/>
  <c r="C11" i="1"/>
  <c r="F11" i="1" s="1"/>
  <c r="I10" i="1"/>
  <c r="C10" i="1"/>
  <c r="F10" i="1" s="1"/>
  <c r="I9" i="1"/>
  <c r="C9" i="1"/>
  <c r="F9" i="1" s="1"/>
  <c r="I8" i="1"/>
  <c r="C8" i="1"/>
  <c r="F8" i="1" s="1"/>
  <c r="C13" i="4"/>
  <c r="C12" i="4"/>
  <c r="C11" i="4"/>
  <c r="C10" i="4"/>
  <c r="C9" i="4"/>
  <c r="C8" i="4"/>
  <c r="C7" i="4"/>
  <c r="C6" i="4"/>
  <c r="C5" i="4"/>
  <c r="C4" i="4"/>
  <c r="I15" i="6"/>
  <c r="N4" i="6"/>
  <c r="N5" i="6"/>
  <c r="N6" i="6"/>
  <c r="N7" i="6"/>
  <c r="N8" i="6"/>
  <c r="N9" i="6"/>
  <c r="N10" i="6"/>
  <c r="N11" i="6"/>
  <c r="N12" i="6"/>
  <c r="N13" i="6"/>
  <c r="N14" i="6"/>
  <c r="N3" i="6"/>
  <c r="I13" i="6"/>
  <c r="C13" i="6"/>
  <c r="I12" i="6"/>
  <c r="C12" i="6"/>
  <c r="I11" i="6"/>
  <c r="C11" i="6"/>
  <c r="I10" i="6"/>
  <c r="C10" i="6"/>
  <c r="I9" i="6"/>
  <c r="C9" i="6"/>
  <c r="I8" i="6"/>
  <c r="C8" i="6"/>
  <c r="I7" i="6"/>
  <c r="C7" i="6"/>
  <c r="I6" i="6"/>
  <c r="C6" i="6"/>
  <c r="I5" i="6"/>
  <c r="C5" i="6"/>
  <c r="I4" i="6"/>
  <c r="C4" i="6"/>
  <c r="N4" i="5"/>
  <c r="N5" i="5"/>
  <c r="N6" i="5"/>
  <c r="N7" i="5"/>
  <c r="N8" i="5"/>
  <c r="N9" i="5"/>
  <c r="N10" i="5"/>
  <c r="N11" i="5"/>
  <c r="N12" i="5"/>
  <c r="N13" i="5"/>
  <c r="I15" i="5"/>
  <c r="C13" i="5"/>
  <c r="C12" i="5"/>
  <c r="C11" i="5"/>
  <c r="C10" i="5"/>
  <c r="C9" i="5"/>
  <c r="C8" i="5"/>
  <c r="C7" i="5"/>
  <c r="C6" i="5"/>
  <c r="I5" i="5"/>
  <c r="C5" i="5"/>
  <c r="C4" i="5"/>
  <c r="N4" i="7"/>
  <c r="N5" i="7"/>
  <c r="N6" i="7"/>
  <c r="N7" i="7"/>
  <c r="N8" i="7"/>
  <c r="N9" i="7"/>
  <c r="N10" i="7"/>
  <c r="N11" i="7"/>
  <c r="N12" i="7"/>
  <c r="N13" i="7"/>
  <c r="N14" i="7"/>
  <c r="N3" i="7"/>
  <c r="I15" i="7"/>
  <c r="C15" i="7"/>
  <c r="I26" i="2" s="1"/>
  <c r="I13" i="7"/>
  <c r="C13" i="7"/>
  <c r="I12" i="7"/>
  <c r="C12" i="7"/>
  <c r="I11" i="7"/>
  <c r="C11" i="7"/>
  <c r="I10" i="7"/>
  <c r="C10" i="7"/>
  <c r="I9" i="7"/>
  <c r="C9" i="7"/>
  <c r="I8" i="7"/>
  <c r="C8" i="7"/>
  <c r="I7" i="7"/>
  <c r="C7" i="7"/>
  <c r="I6" i="7"/>
  <c r="C6" i="7"/>
  <c r="I5" i="7"/>
  <c r="C5" i="7"/>
  <c r="C4" i="7"/>
  <c r="C15" i="3"/>
  <c r="N4" i="3"/>
  <c r="N5" i="3"/>
  <c r="N6" i="3"/>
  <c r="N7" i="3"/>
  <c r="N8" i="3"/>
  <c r="N9" i="3"/>
  <c r="N10" i="3"/>
  <c r="N11" i="3"/>
  <c r="N12" i="3"/>
  <c r="N13" i="3"/>
  <c r="N14" i="3"/>
  <c r="N3" i="3"/>
  <c r="O3" i="3"/>
  <c r="O4" i="3"/>
  <c r="O5" i="3"/>
  <c r="O6" i="3"/>
  <c r="O7" i="3"/>
  <c r="O8" i="3"/>
  <c r="O9" i="3"/>
  <c r="O10" i="3"/>
  <c r="O11" i="3"/>
  <c r="O12" i="3"/>
  <c r="O13" i="3"/>
  <c r="O14" i="3"/>
  <c r="C13" i="3"/>
  <c r="C12" i="3"/>
  <c r="C11" i="3"/>
  <c r="C10" i="3"/>
  <c r="C9" i="3"/>
  <c r="C8" i="3"/>
  <c r="C7" i="3"/>
  <c r="C6" i="3"/>
  <c r="C5" i="3"/>
  <c r="C4" i="3"/>
  <c r="J15" i="1"/>
  <c r="I15" i="4"/>
  <c r="D15" i="4"/>
  <c r="O15" i="4" s="1"/>
  <c r="N7" i="4"/>
  <c r="N10" i="4"/>
  <c r="N11" i="4"/>
  <c r="N13" i="4"/>
  <c r="N3" i="4"/>
  <c r="I14" i="2" l="1"/>
  <c r="I15" i="2" s="1"/>
  <c r="C15" i="6"/>
  <c r="N15" i="6" s="1"/>
  <c r="C15" i="5"/>
  <c r="N14" i="4"/>
  <c r="N14" i="2"/>
  <c r="Q14" i="2" s="1"/>
  <c r="N15" i="7"/>
  <c r="N15" i="3"/>
  <c r="N7" i="2"/>
  <c r="Q7" i="2" s="1"/>
  <c r="N6" i="2"/>
  <c r="Q6" i="2" s="1"/>
  <c r="F6" i="1"/>
  <c r="I15" i="1"/>
  <c r="C5" i="2"/>
  <c r="N4" i="2"/>
  <c r="Q4" i="2" s="1"/>
  <c r="N4" i="1"/>
  <c r="N3" i="2"/>
  <c r="Q3" i="2" s="1"/>
  <c r="N12" i="4"/>
  <c r="N9" i="4"/>
  <c r="N8" i="4"/>
  <c r="N6" i="4"/>
  <c r="N5" i="4"/>
  <c r="N4" i="4"/>
  <c r="C15" i="4"/>
  <c r="R26" i="2"/>
  <c r="R22" i="2"/>
  <c r="J23" i="2"/>
  <c r="D23" i="8"/>
  <c r="D6" i="8"/>
  <c r="D20" i="8"/>
  <c r="G6" i="8"/>
  <c r="G7" i="8"/>
  <c r="G8" i="8"/>
  <c r="G9" i="8"/>
  <c r="G10" i="8"/>
  <c r="G11" i="8"/>
  <c r="G12" i="8"/>
  <c r="G13" i="8"/>
  <c r="G14" i="8"/>
  <c r="D31" i="8"/>
  <c r="D14" i="8"/>
  <c r="D4" i="8"/>
  <c r="D5" i="8"/>
  <c r="D7" i="8"/>
  <c r="D8" i="8"/>
  <c r="D9" i="8"/>
  <c r="D10" i="8"/>
  <c r="D11" i="8"/>
  <c r="D12" i="8"/>
  <c r="D13" i="8"/>
  <c r="D3" i="8"/>
  <c r="C15" i="2"/>
  <c r="H27" i="2"/>
  <c r="E47" i="8"/>
  <c r="K4" i="8" l="1"/>
  <c r="I4" i="8"/>
  <c r="L15" i="2"/>
  <c r="D15" i="8"/>
  <c r="I25" i="2"/>
  <c r="N15" i="5"/>
  <c r="I24" i="2"/>
  <c r="R25" i="2"/>
  <c r="N15" i="1"/>
  <c r="N5" i="2"/>
  <c r="Q5" i="2" s="1"/>
  <c r="N15" i="4"/>
  <c r="I23" i="2"/>
  <c r="L23" i="2" s="1"/>
  <c r="N15" i="2"/>
  <c r="Q15" i="2" s="1"/>
  <c r="D46" i="8"/>
  <c r="D45" i="8"/>
  <c r="D44" i="8"/>
  <c r="D43" i="8"/>
  <c r="D42" i="8"/>
  <c r="D41" i="8"/>
  <c r="D40" i="8"/>
  <c r="D39" i="8"/>
  <c r="D38" i="8"/>
  <c r="D37" i="8"/>
  <c r="D36" i="8"/>
  <c r="D35" i="8"/>
  <c r="G31" i="8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G23" i="8"/>
  <c r="D22" i="8"/>
  <c r="G22" i="8" s="1"/>
  <c r="D21" i="8"/>
  <c r="G21" i="8" s="1"/>
  <c r="G15" i="8" l="1"/>
  <c r="K15" i="8" s="1"/>
  <c r="R23" i="2"/>
  <c r="G35" i="8"/>
  <c r="D47" i="8"/>
  <c r="G36" i="8"/>
  <c r="G37" i="8"/>
  <c r="G38" i="8"/>
  <c r="G39" i="8"/>
  <c r="G40" i="8"/>
  <c r="G41" i="8"/>
  <c r="G42" i="8"/>
  <c r="G43" i="8"/>
  <c r="G44" i="8"/>
  <c r="G45" i="8"/>
  <c r="G46" i="8"/>
  <c r="G20" i="8"/>
  <c r="D32" i="8"/>
  <c r="D15" i="7"/>
  <c r="J26" i="2" s="1"/>
  <c r="S26" i="2" s="1"/>
  <c r="E15" i="7"/>
  <c r="K26" i="2" s="1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K15" i="7"/>
  <c r="J15" i="7"/>
  <c r="P14" i="7"/>
  <c r="O14" i="7"/>
  <c r="P13" i="7"/>
  <c r="O13" i="7"/>
  <c r="P12" i="7"/>
  <c r="O12" i="7"/>
  <c r="P11" i="7"/>
  <c r="O11" i="7"/>
  <c r="P10" i="7"/>
  <c r="O10" i="7"/>
  <c r="P9" i="7"/>
  <c r="O9" i="7"/>
  <c r="P8" i="7"/>
  <c r="O8" i="7"/>
  <c r="P7" i="7"/>
  <c r="O7" i="7"/>
  <c r="P6" i="7"/>
  <c r="O6" i="7"/>
  <c r="P5" i="7"/>
  <c r="O5" i="7"/>
  <c r="P4" i="7"/>
  <c r="O4" i="7"/>
  <c r="P3" i="7"/>
  <c r="O3" i="7"/>
  <c r="K15" i="6"/>
  <c r="J15" i="6"/>
  <c r="E15" i="6"/>
  <c r="K25" i="2" s="1"/>
  <c r="D15" i="6"/>
  <c r="J25" i="2" s="1"/>
  <c r="S25" i="2" s="1"/>
  <c r="P14" i="6"/>
  <c r="O14" i="6"/>
  <c r="P13" i="6"/>
  <c r="O13" i="6"/>
  <c r="P12" i="6"/>
  <c r="O12" i="6"/>
  <c r="P11" i="6"/>
  <c r="O11" i="6"/>
  <c r="P10" i="6"/>
  <c r="O10" i="6"/>
  <c r="P9" i="6"/>
  <c r="O9" i="6"/>
  <c r="P8" i="6"/>
  <c r="O8" i="6"/>
  <c r="P7" i="6"/>
  <c r="O7" i="6"/>
  <c r="P6" i="6"/>
  <c r="O6" i="6"/>
  <c r="P5" i="6"/>
  <c r="O5" i="6"/>
  <c r="P4" i="6"/>
  <c r="O4" i="6"/>
  <c r="P3" i="6"/>
  <c r="O3" i="6"/>
  <c r="K15" i="5"/>
  <c r="J15" i="5"/>
  <c r="E15" i="5"/>
  <c r="D15" i="5"/>
  <c r="J24" i="2" s="1"/>
  <c r="S24" i="2" s="1"/>
  <c r="P14" i="5"/>
  <c r="O14" i="5"/>
  <c r="P13" i="5"/>
  <c r="O13" i="5"/>
  <c r="P12" i="5"/>
  <c r="O12" i="5"/>
  <c r="P11" i="5"/>
  <c r="O11" i="5"/>
  <c r="P10" i="5"/>
  <c r="O10" i="5"/>
  <c r="P9" i="5"/>
  <c r="O9" i="5"/>
  <c r="P8" i="5"/>
  <c r="O8" i="5"/>
  <c r="P7" i="5"/>
  <c r="O7" i="5"/>
  <c r="P6" i="5"/>
  <c r="O6" i="5"/>
  <c r="P5" i="5"/>
  <c r="O5" i="5"/>
  <c r="P4" i="5"/>
  <c r="O4" i="5"/>
  <c r="P3" i="5"/>
  <c r="O3" i="5"/>
  <c r="K15" i="4"/>
  <c r="J15" i="4"/>
  <c r="E15" i="4"/>
  <c r="K23" i="2" s="1"/>
  <c r="S23" i="2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  <c r="P7" i="4"/>
  <c r="O7" i="4"/>
  <c r="P6" i="4"/>
  <c r="O6" i="4"/>
  <c r="P5" i="4"/>
  <c r="O5" i="4"/>
  <c r="P4" i="4"/>
  <c r="O4" i="4"/>
  <c r="P3" i="4"/>
  <c r="O3" i="4"/>
  <c r="K15" i="3"/>
  <c r="J15" i="3"/>
  <c r="E15" i="3"/>
  <c r="D15" i="3"/>
  <c r="P14" i="3"/>
  <c r="P13" i="3"/>
  <c r="P12" i="3"/>
  <c r="P11" i="3"/>
  <c r="P10" i="3"/>
  <c r="P9" i="3"/>
  <c r="P8" i="3"/>
  <c r="P7" i="3"/>
  <c r="P6" i="3"/>
  <c r="P5" i="3"/>
  <c r="P4" i="3"/>
  <c r="P3" i="3"/>
  <c r="K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E15" i="1"/>
  <c r="D15" i="1"/>
  <c r="F15" i="1" s="1"/>
  <c r="L21" i="2" l="1"/>
  <c r="R21" i="2"/>
  <c r="I27" i="2" s="1"/>
  <c r="L27" i="2" s="1"/>
  <c r="T25" i="2"/>
  <c r="P15" i="6"/>
  <c r="K24" i="2"/>
  <c r="E22" i="2"/>
  <c r="O15" i="3"/>
  <c r="J22" i="2"/>
  <c r="S22" i="2" s="1"/>
  <c r="O3" i="2"/>
  <c r="D22" i="2"/>
  <c r="K22" i="2"/>
  <c r="P15" i="1"/>
  <c r="G47" i="8"/>
  <c r="K21" i="2"/>
  <c r="S21" i="2"/>
  <c r="G32" i="8"/>
  <c r="O13" i="2"/>
  <c r="T26" i="2"/>
  <c r="O14" i="2"/>
  <c r="T23" i="2"/>
  <c r="O8" i="2"/>
  <c r="P9" i="2"/>
  <c r="P8" i="2"/>
  <c r="O12" i="2"/>
  <c r="O7" i="2"/>
  <c r="P12" i="2"/>
  <c r="O10" i="2"/>
  <c r="P5" i="2"/>
  <c r="D25" i="2"/>
  <c r="O15" i="6"/>
  <c r="O15" i="5"/>
  <c r="P15" i="5"/>
  <c r="F24" i="2" s="1"/>
  <c r="P11" i="2"/>
  <c r="O4" i="2"/>
  <c r="P4" i="2"/>
  <c r="D23" i="2"/>
  <c r="P15" i="4"/>
  <c r="F23" i="2" s="1"/>
  <c r="P13" i="2"/>
  <c r="P7" i="2"/>
  <c r="J15" i="2"/>
  <c r="O11" i="2"/>
  <c r="P15" i="3"/>
  <c r="D26" i="2"/>
  <c r="O15" i="7"/>
  <c r="P15" i="7"/>
  <c r="O5" i="2"/>
  <c r="O6" i="2"/>
  <c r="P6" i="2"/>
  <c r="O9" i="2"/>
  <c r="P10" i="2"/>
  <c r="P14" i="2"/>
  <c r="P3" i="2"/>
  <c r="K15" i="2"/>
  <c r="E15" i="2"/>
  <c r="D15" i="2"/>
  <c r="E26" i="2"/>
  <c r="F25" i="2"/>
  <c r="E25" i="2"/>
  <c r="E24" i="2"/>
  <c r="E23" i="2"/>
  <c r="O15" i="1"/>
  <c r="J31" i="2" l="1"/>
  <c r="J27" i="2"/>
  <c r="F21" i="2"/>
  <c r="T24" i="2"/>
  <c r="T22" i="2"/>
  <c r="T21" i="2"/>
  <c r="F26" i="2"/>
  <c r="K31" i="2"/>
  <c r="F22" i="2"/>
  <c r="O15" i="2"/>
  <c r="P15" i="2"/>
  <c r="D27" i="2"/>
  <c r="K27" i="2" l="1"/>
</calcChain>
</file>

<file path=xl/comments1.xml><?xml version="1.0" encoding="utf-8"?>
<comments xmlns="http://schemas.openxmlformats.org/spreadsheetml/2006/main">
  <authors>
    <author>Elizabeth Castillo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Elizabeth Castillo:</t>
        </r>
        <r>
          <rPr>
            <sz val="9"/>
            <color indexed="81"/>
            <rFont val="Tahoma"/>
            <family val="2"/>
          </rPr>
          <t xml:space="preserve">
Need to compare it between base not previous year</t>
        </r>
      </text>
    </comment>
  </commentList>
</comments>
</file>

<file path=xl/sharedStrings.xml><?xml version="1.0" encoding="utf-8"?>
<sst xmlns="http://schemas.openxmlformats.org/spreadsheetml/2006/main" count="409" uniqueCount="67">
  <si>
    <t>Month</t>
  </si>
  <si>
    <t>Difference</t>
  </si>
  <si>
    <t>Total</t>
  </si>
  <si>
    <t>Central Office</t>
  </si>
  <si>
    <t>Football Field/Press Box</t>
  </si>
  <si>
    <t>Berea Community School</t>
  </si>
  <si>
    <t>Annex/Frysc Building</t>
  </si>
  <si>
    <t>Maintenance Custodial Building</t>
  </si>
  <si>
    <t>Transportation Building</t>
  </si>
  <si>
    <t>Annual Percentage Reduction</t>
  </si>
  <si>
    <t>kWh</t>
  </si>
  <si>
    <t>$</t>
  </si>
  <si>
    <t>$/kWh</t>
  </si>
  <si>
    <t>OVERALL</t>
  </si>
  <si>
    <t>23-24</t>
  </si>
  <si>
    <t>22-23</t>
  </si>
  <si>
    <t>Mcf</t>
  </si>
  <si>
    <t>therms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</si>
  <si>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</si>
  <si>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</si>
  <si>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</si>
  <si>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</si>
  <si>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</si>
  <si>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</si>
  <si>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</si>
  <si>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</si>
  <si>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</si>
  <si>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</si>
  <si>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</si>
  <si>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</si>
  <si>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2023-2024</t>
  </si>
  <si>
    <t>2022-2023</t>
  </si>
  <si>
    <t>Percentage Reductions</t>
  </si>
  <si>
    <t>$/therm</t>
  </si>
  <si>
    <t>Square Footage</t>
  </si>
  <si>
    <t>Energy Usage Index (BTU/ft^2)</t>
  </si>
  <si>
    <t>Btu's</t>
  </si>
  <si>
    <t>Overall Cost</t>
  </si>
  <si>
    <t>Reduction</t>
  </si>
  <si>
    <t>Cost</t>
  </si>
  <si>
    <t>2024-2025</t>
  </si>
  <si>
    <t>24-25</t>
  </si>
  <si>
    <t>Bill Multiplier</t>
  </si>
  <si>
    <t>Account</t>
  </si>
  <si>
    <t>Meter</t>
  </si>
  <si>
    <t>007463-000</t>
  </si>
  <si>
    <t>007465-000</t>
  </si>
  <si>
    <t>007469-000</t>
  </si>
  <si>
    <t>007470-000</t>
  </si>
  <si>
    <t>007471-000</t>
  </si>
  <si>
    <t>007472-000</t>
  </si>
  <si>
    <t>Annex</t>
  </si>
  <si>
    <t>Transpt</t>
  </si>
  <si>
    <t>Main</t>
  </si>
  <si>
    <t>Football</t>
  </si>
  <si>
    <t>Maintenance</t>
  </si>
  <si>
    <t>Buildings</t>
  </si>
  <si>
    <t xml:space="preserve">"Heating degree days", or "HDD", are a measure of how much (in degrees), and for how long (in days), outside air temperature was lower than a specific "base temperature" (or "balance point"). They are used for calculations relating to the energy consumption required to heat buildings.
</t>
  </si>
  <si>
    <t>Pre-project</t>
  </si>
  <si>
    <t>Sept. 2022 - Aug. 2023</t>
  </si>
  <si>
    <t>Berea Heating Degree Days Comparison</t>
  </si>
  <si>
    <t>HDD</t>
  </si>
  <si>
    <r>
      <rPr>
        <b/>
        <u/>
        <sz val="12"/>
        <color theme="1"/>
        <rFont val="Calibri"/>
        <family val="2"/>
      </rPr>
      <t>Post</t>
    </r>
    <r>
      <rPr>
        <b/>
        <sz val="12"/>
        <color theme="1"/>
        <rFont val="Calibri"/>
        <family val="2"/>
      </rPr>
      <t>-project</t>
    </r>
  </si>
  <si>
    <t>Sept. 2024 - Aug. 2025</t>
  </si>
  <si>
    <t>TOTAL</t>
  </si>
  <si>
    <t>Comparison</t>
  </si>
  <si>
    <t>https://www.degreedays.net/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</si>
</sst>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00"/>
    <numFmt numFmtId="166" formatCode="0.0%"/>
    <numFmt numFmtId="167" formatCode="_(* #,##0.0_);_(* \(#,##0.0\);_(* &quot;-&quot;??_);_(@_)"/>
    <numFmt numFmtId="168" formatCode="&quot;$&quot;#,##0.00"/>
    <numFmt numFmtId="169" formatCode="_(* #,##0_);_(* \(#,##0\);_(* &quot;-&quot;??_);_(@_)"/>
    <numFmt numFmtId="170" formatCode="0.0"/>
    <numFmt numFmtId="171" formatCode="_(&quot;$&quot;* #,##0.0000_);_(&quot;$&quot;* \(#,##0.0000\);_(&quot;$&quot;* &quot;-&quot;??_);_(@_)"/>
    <numFmt numFmtId="172" formatCode="_(&quot;$&quot;* #,##0_);_(&quot;$&quot;* \(#,##0\);_(&quot;$&quot;* &quot;-&quot;??_);_(@_)"/>
  </numFmts>
  <fonts count="1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222222"/>
      <name val="Arial"/>
      <family val="2"/>
    </font>
    <font>
      <sz val="11"/>
      <color rgb="FF222222"/>
      <name val="Arial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BAC6CC"/>
      </bottom>
      <diagonal/>
    </border>
    <border>
      <left/>
      <right style="medium">
        <color rgb="FFBAC6CC"/>
      </right>
      <top/>
      <bottom/>
      <diagonal/>
    </border>
    <border>
      <left/>
      <right/>
      <top style="medium">
        <color rgb="FFBAC6CC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2" tint="-0.24994659260841701"/>
      </top>
      <bottom/>
      <diagonal/>
    </border>
    <border>
      <left/>
      <right/>
      <top style="medium">
        <color theme="2" tint="-9.9948118533890809E-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92">
    <xf numFmtId="0" fontId="0" fillId="0" borderId="0" xfId="0"/>
    <xf numFmtId="0" fontId="2" fillId="2" borderId="1" xfId="0" applyFont="1" applyFill="1" applyBorder="1" applyAlignment="1">
      <alignment horizontal="left" wrapText="1" indent="2"/>
    </xf>
    <xf numFmtId="17" fontId="3" fillId="3" borderId="2" xfId="0" applyNumberFormat="1" applyFont="1" applyFill="1" applyBorder="1" applyAlignment="1">
      <alignment horizontal="left" vertical="center" wrapText="1" indent="2"/>
    </xf>
    <xf numFmtId="3" fontId="3" fillId="3" borderId="2" xfId="0" applyNumberFormat="1" applyFont="1" applyFill="1" applyBorder="1" applyAlignment="1">
      <alignment horizontal="left" vertical="center" wrapText="1" indent="2"/>
    </xf>
    <xf numFmtId="17" fontId="3" fillId="2" borderId="2" xfId="0" applyNumberFormat="1" applyFont="1" applyFill="1" applyBorder="1" applyAlignment="1">
      <alignment horizontal="left" vertical="center" wrapText="1" indent="2"/>
    </xf>
    <xf numFmtId="3" fontId="3" fillId="2" borderId="2" xfId="0" applyNumberFormat="1" applyFont="1" applyFill="1" applyBorder="1" applyAlignment="1">
      <alignment horizontal="left" vertical="center" wrapText="1" indent="2"/>
    </xf>
    <xf numFmtId="0" fontId="2" fillId="2" borderId="3" xfId="0" applyFont="1" applyFill="1" applyBorder="1" applyAlignment="1">
      <alignment horizontal="left" vertical="center" wrapText="1" indent="2"/>
    </xf>
    <xf numFmtId="3" fontId="2" fillId="2" borderId="3" xfId="0" applyNumberFormat="1" applyFont="1" applyFill="1" applyBorder="1" applyAlignment="1">
      <alignment horizontal="left" vertical="center" wrapText="1" indent="2"/>
    </xf>
    <xf numFmtId="164" fontId="3" fillId="3" borderId="2" xfId="0" applyNumberFormat="1" applyFont="1" applyFill="1" applyBorder="1" applyAlignment="1">
      <alignment horizontal="left" vertical="center" wrapText="1" indent="2"/>
    </xf>
    <xf numFmtId="164" fontId="3" fillId="2" borderId="2" xfId="0" applyNumberFormat="1" applyFont="1" applyFill="1" applyBorder="1" applyAlignment="1">
      <alignment horizontal="left" vertical="center" wrapText="1" indent="2"/>
    </xf>
    <xf numFmtId="164" fontId="2" fillId="2" borderId="3" xfId="0" applyNumberFormat="1" applyFont="1" applyFill="1" applyBorder="1" applyAlignment="1">
      <alignment horizontal="left" vertical="center" wrapText="1" indent="2"/>
    </xf>
    <xf numFmtId="165" fontId="0" fillId="0" borderId="0" xfId="0" applyNumberFormat="1"/>
    <xf numFmtId="165" fontId="1" fillId="0" borderId="0" xfId="0" applyNumberFormat="1" applyFont="1"/>
    <xf numFmtId="166" fontId="3" fillId="3" borderId="0" xfId="0" applyNumberFormat="1" applyFont="1" applyFill="1" applyAlignment="1">
      <alignment horizontal="left" vertical="center" wrapText="1" indent="2"/>
    </xf>
    <xf numFmtId="166" fontId="3" fillId="2" borderId="0" xfId="0" applyNumberFormat="1" applyFont="1" applyFill="1" applyAlignment="1">
      <alignment horizontal="left" vertical="center" wrapText="1" indent="2"/>
    </xf>
    <xf numFmtId="166" fontId="2" fillId="2" borderId="3" xfId="0" applyNumberFormat="1" applyFont="1" applyFill="1" applyBorder="1" applyAlignment="1">
      <alignment horizontal="left" vertical="center" wrapText="1" indent="2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left" wrapText="1" indent="2"/>
    </xf>
    <xf numFmtId="0" fontId="1" fillId="0" borderId="0" xfId="0" applyFont="1"/>
    <xf numFmtId="0" fontId="1" fillId="0" borderId="4" xfId="0" applyFont="1" applyBorder="1" applyAlignment="1">
      <alignment horizontal="center"/>
    </xf>
    <xf numFmtId="17" fontId="0" fillId="0" borderId="0" xfId="0" applyNumberFormat="1"/>
    <xf numFmtId="167" fontId="1" fillId="0" borderId="4" xfId="1" applyNumberFormat="1" applyFont="1" applyBorder="1" applyAlignment="1">
      <alignment horizontal="center"/>
    </xf>
    <xf numFmtId="167" fontId="0" fillId="0" borderId="0" xfId="1" applyNumberFormat="1" applyFont="1"/>
    <xf numFmtId="168" fontId="0" fillId="0" borderId="0" xfId="0" applyNumberFormat="1"/>
    <xf numFmtId="0" fontId="0" fillId="0" borderId="0" xfId="0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0" fillId="0" borderId="0" xfId="0" applyNumberFormat="1"/>
    <xf numFmtId="167" fontId="1" fillId="0" borderId="0" xfId="1" applyNumberFormat="1" applyFont="1"/>
    <xf numFmtId="164" fontId="1" fillId="0" borderId="0" xfId="0" applyNumberFormat="1" applyFont="1"/>
    <xf numFmtId="168" fontId="1" fillId="0" borderId="0" xfId="0" applyNumberFormat="1" applyFont="1"/>
    <xf numFmtId="166" fontId="0" fillId="0" borderId="0" xfId="2" applyNumberFormat="1" applyFont="1"/>
    <xf numFmtId="3" fontId="0" fillId="0" borderId="0" xfId="0" applyNumberFormat="1"/>
    <xf numFmtId="43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166" fontId="2" fillId="2" borderId="0" xfId="0" applyNumberFormat="1" applyFont="1" applyFill="1" applyAlignment="1">
      <alignment horizontal="left" vertical="center" wrapText="1" indent="2"/>
    </xf>
    <xf numFmtId="0" fontId="2" fillId="2" borderId="0" xfId="0" applyFont="1" applyFill="1" applyAlignment="1">
      <alignment horizontal="center" wrapText="1"/>
    </xf>
    <xf numFmtId="44" fontId="0" fillId="0" borderId="0" xfId="3" applyFont="1"/>
    <xf numFmtId="44" fontId="1" fillId="0" borderId="0" xfId="3" applyFont="1"/>
    <xf numFmtId="0" fontId="0" fillId="0" borderId="5" xfId="0" applyBorder="1"/>
    <xf numFmtId="0" fontId="0" fillId="0" borderId="6" xfId="0" applyBorder="1"/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0" fillId="0" borderId="10" xfId="0" applyBorder="1"/>
    <xf numFmtId="170" fontId="0" fillId="0" borderId="11" xfId="0" applyNumberFormat="1" applyBorder="1"/>
    <xf numFmtId="0" fontId="0" fillId="0" borderId="12" xfId="0" applyBorder="1"/>
    <xf numFmtId="170" fontId="0" fillId="0" borderId="13" xfId="0" applyNumberFormat="1" applyBorder="1"/>
    <xf numFmtId="170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70" fontId="0" fillId="0" borderId="18" xfId="0" applyNumberFormat="1" applyBorder="1"/>
    <xf numFmtId="171" fontId="0" fillId="0" borderId="0" xfId="3" applyNumberFormat="1" applyFont="1"/>
    <xf numFmtId="171" fontId="1" fillId="0" borderId="0" xfId="3" applyNumberFormat="1" applyFont="1"/>
    <xf numFmtId="166" fontId="3" fillId="3" borderId="19" xfId="0" applyNumberFormat="1" applyFont="1" applyFill="1" applyBorder="1" applyAlignment="1">
      <alignment horizontal="left" vertical="center" wrapText="1" indent="2"/>
    </xf>
    <xf numFmtId="166" fontId="3" fillId="3" borderId="0" xfId="2" applyNumberFormat="1" applyFont="1" applyFill="1" applyAlignment="1">
      <alignment horizontal="left" vertical="center" wrapText="1" indent="2"/>
    </xf>
    <xf numFmtId="166" fontId="3" fillId="3" borderId="20" xfId="0" applyNumberFormat="1" applyFont="1" applyFill="1" applyBorder="1" applyAlignment="1">
      <alignment horizontal="left" vertical="center" wrapText="1" indent="2"/>
    </xf>
    <xf numFmtId="166" fontId="3" fillId="2" borderId="19" xfId="0" applyNumberFormat="1" applyFont="1" applyFill="1" applyBorder="1" applyAlignment="1">
      <alignment horizontal="left" vertical="center" wrapText="1" indent="2"/>
    </xf>
    <xf numFmtId="165" fontId="1" fillId="0" borderId="19" xfId="0" applyNumberFormat="1" applyFont="1" applyBorder="1"/>
    <xf numFmtId="165" fontId="0" fillId="0" borderId="19" xfId="0" applyNumberFormat="1" applyBorder="1"/>
    <xf numFmtId="166" fontId="3" fillId="3" borderId="20" xfId="2" applyNumberFormat="1" applyFont="1" applyFill="1" applyBorder="1" applyAlignment="1">
      <alignment horizontal="left" vertical="center" wrapText="1" indent="2"/>
    </xf>
    <xf numFmtId="1" fontId="0" fillId="0" borderId="0" xfId="0" applyNumberFormat="1"/>
    <xf numFmtId="172" fontId="0" fillId="0" borderId="0" xfId="3" applyNumberFormat="1" applyFont="1"/>
    <xf numFmtId="0" fontId="1" fillId="0" borderId="5" xfId="0" applyFont="1" applyBorder="1" applyAlignment="1">
      <alignment horizontal="center"/>
    </xf>
    <xf numFmtId="166" fontId="0" fillId="0" borderId="5" xfId="0" applyNumberFormat="1" applyBorder="1"/>
    <xf numFmtId="166" fontId="1" fillId="0" borderId="5" xfId="0" applyNumberFormat="1" applyFont="1" applyBorder="1" applyAlignment="1">
      <alignment horizontal="center"/>
    </xf>
    <xf numFmtId="169" fontId="0" fillId="0" borderId="5" xfId="1" applyNumberFormat="1" applyFont="1" applyBorder="1"/>
    <xf numFmtId="166" fontId="3" fillId="2" borderId="5" xfId="0" applyNumberFormat="1" applyFont="1" applyFill="1" applyBorder="1" applyAlignment="1">
      <alignment horizontal="left" vertical="center" wrapText="1" indent="2"/>
    </xf>
    <xf numFmtId="169" fontId="1" fillId="0" borderId="5" xfId="0" applyNumberFormat="1" applyFont="1" applyBorder="1"/>
    <xf numFmtId="169" fontId="1" fillId="0" borderId="5" xfId="1" applyNumberFormat="1" applyFont="1" applyBorder="1"/>
    <xf numFmtId="0" fontId="8" fillId="0" borderId="0" xfId="0" applyFont="1"/>
    <xf numFmtId="0" fontId="9" fillId="5" borderId="0" xfId="0" applyFont="1" applyFill="1"/>
    <xf numFmtId="0" fontId="0" fillId="5" borderId="0" xfId="0" applyFill="1"/>
    <xf numFmtId="0" fontId="10" fillId="5" borderId="0" xfId="0" applyFont="1" applyFill="1"/>
    <xf numFmtId="0" fontId="10" fillId="0" borderId="0" xfId="0" applyFont="1" applyFill="1"/>
    <xf numFmtId="0" fontId="0" fillId="0" borderId="0" xfId="0" applyFill="1"/>
    <xf numFmtId="17" fontId="1" fillId="0" borderId="0" xfId="0" applyNumberFormat="1" applyFont="1" applyAlignment="1">
      <alignment horizontal="center"/>
    </xf>
    <xf numFmtId="0" fontId="9" fillId="6" borderId="0" xfId="0" applyFont="1" applyFill="1"/>
    <xf numFmtId="0" fontId="0" fillId="6" borderId="0" xfId="0" applyFill="1"/>
    <xf numFmtId="0" fontId="10" fillId="6" borderId="0" xfId="0" applyFont="1" applyFill="1"/>
    <xf numFmtId="17" fontId="1" fillId="0" borderId="24" xfId="0" applyNumberFormat="1" applyFont="1" applyBorder="1"/>
    <xf numFmtId="167" fontId="1" fillId="0" borderId="25" xfId="0" applyNumberFormat="1" applyFont="1" applyBorder="1"/>
    <xf numFmtId="166" fontId="1" fillId="0" borderId="23" xfId="2" applyNumberFormat="1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0" fillId="0" borderId="0" xfId="0" applyAlignment="1">
      <alignment horizontal="left" wrapText="1"/>
    </xf>
    <xf numFmtId="17" fontId="12" fillId="0" borderId="0" xfId="4" applyNumberFormat="1" applyAlignment="1">
      <alignment horizontal="left"/>
    </xf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4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egreeday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W33"/>
  <sheetViews>
    <sheetView showGridLines="0" tabSelected="1" zoomScaleNormal="100" workbookViewId="0">
      <selection activeCell="L16" sqref="L16"/>
    </sheetView>
  </sheetViews>
  <sheetFormatPr defaultRowHeight="14.5" x14ac:dyDescent="0.35"/>
  <cols>
    <col min="2" max="6" width="15.7265625" customWidth="1"/>
    <col min="8" max="12" width="15.7265625" customWidth="1"/>
    <col min="13" max="13" width="11" bestFit="1" customWidth="1"/>
    <col min="14" max="14" width="11" customWidth="1"/>
    <col min="15" max="15" width="10" bestFit="1" customWidth="1"/>
    <col min="17" max="17" width="13.54296875" customWidth="1"/>
    <col min="18" max="18" width="13.26953125" customWidth="1"/>
    <col min="19" max="19" width="13.453125" customWidth="1"/>
    <col min="20" max="20" width="13" customWidth="1"/>
    <col min="21" max="21" width="16.26953125" customWidth="1"/>
    <col min="22" max="22" width="13" customWidth="1"/>
    <col min="23" max="23" width="14.26953125" customWidth="1"/>
  </cols>
  <sheetData>
    <row r="1" spans="2:23" ht="15" thickBot="1" x14ac:dyDescent="0.4">
      <c r="C1" t="s">
        <v>40</v>
      </c>
      <c r="D1" s="24" t="s">
        <v>30</v>
      </c>
      <c r="E1" s="24" t="s">
        <v>31</v>
      </c>
      <c r="I1" t="s">
        <v>40</v>
      </c>
      <c r="J1" s="24" t="s">
        <v>30</v>
      </c>
      <c r="K1" s="24" t="s">
        <v>31</v>
      </c>
    </row>
    <row r="2" spans="2:23" ht="15" thickBot="1" x14ac:dyDescent="0.4">
      <c r="B2" s="1" t="s">
        <v>0</v>
      </c>
      <c r="C2" s="1" t="s">
        <v>10</v>
      </c>
      <c r="D2" s="1" t="s">
        <v>10</v>
      </c>
      <c r="E2" s="1" t="s">
        <v>10</v>
      </c>
      <c r="F2" s="1" t="s">
        <v>1</v>
      </c>
      <c r="H2" s="1" t="s">
        <v>0</v>
      </c>
      <c r="I2" s="1" t="s">
        <v>39</v>
      </c>
      <c r="J2" s="1" t="s">
        <v>39</v>
      </c>
      <c r="K2" s="1" t="s">
        <v>39</v>
      </c>
      <c r="L2" s="1" t="s">
        <v>1</v>
      </c>
      <c r="N2" s="17" t="s">
        <v>41</v>
      </c>
      <c r="O2" s="17" t="s">
        <v>14</v>
      </c>
      <c r="P2" s="17" t="s">
        <v>15</v>
      </c>
      <c r="T2" s="41" t="s">
        <v>43</v>
      </c>
      <c r="U2" s="42" t="s">
        <v>44</v>
      </c>
      <c r="V2" s="43" t="s">
        <v>42</v>
      </c>
    </row>
    <row r="3" spans="2:23" x14ac:dyDescent="0.35">
      <c r="B3" s="2" t="s">
        <v>18</v>
      </c>
      <c r="C3" s="3">
        <f>Main!C3+Office!C3+Annex!C3+Maint!C3+Transpt!C3+Fball!C3</f>
        <v>163865.43999999997</v>
      </c>
      <c r="D3" s="3">
        <f>Main!D3+Office!D3+Annex!D3+Maint!D3+Transpt!D3+Fball!D3</f>
        <v>167231</v>
      </c>
      <c r="E3" s="3">
        <f>Main!E3+Office!E3+Annex!E3+Maint!E3+Transpt!E3+Fball!E3</f>
        <v>144500</v>
      </c>
      <c r="F3" s="13">
        <f t="shared" ref="F3:F8" si="0">(E3-C3)/E3</f>
        <v>-0.13401688581314861</v>
      </c>
      <c r="H3" s="2" t="s">
        <v>18</v>
      </c>
      <c r="I3" s="8">
        <f>Main!I3+Office!I3+Annex!I3+Maint!I3+Transpt!I3+Fball!I3</f>
        <v>17563.980000000003</v>
      </c>
      <c r="J3" s="8">
        <f>Main!J3+Office!J3+Annex!J3+Maint!J3+Transpt!J3+Fball!J3</f>
        <v>17728.21</v>
      </c>
      <c r="K3" s="8">
        <f>Main!K3+Office!K3+Annex!K3+Maint!K3+Transpt!K3+Fball!K3</f>
        <v>17001.14</v>
      </c>
      <c r="L3" s="13">
        <f t="shared" ref="L3:L15" si="1">(K3-I3)/K3</f>
        <v>-3.3106015243683881E-2</v>
      </c>
      <c r="N3" s="60">
        <f>IFERROR(I3/C3,0)</f>
        <v>0.10718538332426902</v>
      </c>
      <c r="O3" s="60">
        <f t="shared" ref="O3:O15" si="2">J3/D3</f>
        <v>0.10601030909340971</v>
      </c>
      <c r="P3" s="60">
        <f t="shared" ref="P3:P15" si="3">K3/E3</f>
        <v>0.11765494809688581</v>
      </c>
      <c r="Q3" s="55">
        <f t="shared" ref="Q3:Q15" si="4">(P3-N3)/P3</f>
        <v>8.8985333315479212E-2</v>
      </c>
      <c r="S3" s="18" t="s">
        <v>3</v>
      </c>
      <c r="T3" s="44" t="s">
        <v>45</v>
      </c>
      <c r="U3" s="39">
        <v>69909242</v>
      </c>
      <c r="V3" s="45">
        <v>40</v>
      </c>
    </row>
    <row r="4" spans="2:23" x14ac:dyDescent="0.35">
      <c r="B4" s="4" t="s">
        <v>19</v>
      </c>
      <c r="C4" s="3">
        <f>Main!C4+Office!C4+Annex!C4+Maint!C4+Transpt!C4+Fball!C4</f>
        <v>132289.14000000001</v>
      </c>
      <c r="D4" s="5">
        <f>Main!D4+Office!D4+Annex!D4+Maint!D4+Transpt!D4+Fball!D4</f>
        <v>140657</v>
      </c>
      <c r="E4" s="5">
        <f>Main!E4+Office!E4+Annex!E4+Maint!E4+Transpt!E4+Fball!E4</f>
        <v>124538</v>
      </c>
      <c r="F4" s="13">
        <f t="shared" si="0"/>
        <v>-6.2239155920281473E-2</v>
      </c>
      <c r="H4" s="4" t="s">
        <v>19</v>
      </c>
      <c r="I4" s="9">
        <f>Main!I4+Office!I4+Annex!I4+Maint!I4+Transpt!I4+Fball!I4</f>
        <v>14562.6</v>
      </c>
      <c r="J4" s="9">
        <f>Main!J4+Office!J4+Annex!J4+Maint!J4+Transpt!J4+Fball!J4</f>
        <v>15450.989999999998</v>
      </c>
      <c r="K4" s="9">
        <f>Main!K4+Office!K4+Annex!K4+Maint!K4+Transpt!K4+Fball!K4</f>
        <v>15840.15</v>
      </c>
      <c r="L4" s="13">
        <f t="shared" si="1"/>
        <v>8.0652645334797921E-2</v>
      </c>
      <c r="N4" s="11">
        <f t="shared" ref="N4:N15" si="5">IFERROR(I4/C4,0)</f>
        <v>0.11008159853484571</v>
      </c>
      <c r="O4" s="11">
        <f t="shared" si="2"/>
        <v>0.10984870998243954</v>
      </c>
      <c r="P4" s="11">
        <f t="shared" si="3"/>
        <v>0.12719129904125648</v>
      </c>
      <c r="Q4" s="13">
        <f t="shared" si="4"/>
        <v>0.13451942574201534</v>
      </c>
      <c r="S4" s="18" t="s">
        <v>54</v>
      </c>
      <c r="T4" s="46" t="s">
        <v>46</v>
      </c>
      <c r="U4" s="40">
        <v>93317458</v>
      </c>
      <c r="V4" s="47">
        <v>160</v>
      </c>
    </row>
    <row r="5" spans="2:23" x14ac:dyDescent="0.35">
      <c r="B5" s="2" t="s">
        <v>20</v>
      </c>
      <c r="C5" s="3">
        <f>Main!C5+Office!C5+Annex!C5+Maint!C5+Transpt!C5+Fball!C5</f>
        <v>104218.7</v>
      </c>
      <c r="D5" s="3">
        <f>Main!D5+Office!D5+Annex!D5+Maint!D5+Transpt!D5+Fball!D5</f>
        <v>121790</v>
      </c>
      <c r="E5" s="3">
        <f>Main!E5+Office!E5+Annex!E5+Maint!E5+Transpt!E5+Fball!E5</f>
        <v>115235</v>
      </c>
      <c r="F5" s="13">
        <f t="shared" si="0"/>
        <v>9.5598559465440214E-2</v>
      </c>
      <c r="H5" s="2" t="s">
        <v>20</v>
      </c>
      <c r="I5" s="8">
        <f>Main!I5+Office!I5+Annex!I5+Maint!I5+Transpt!I5+Fball!I5</f>
        <v>12255.480000000001</v>
      </c>
      <c r="J5" s="8">
        <f>Main!J5+Office!J5+Annex!J5+Maint!J5+Transpt!J5+Fball!J5</f>
        <v>13573.640000000001</v>
      </c>
      <c r="K5" s="8">
        <f>Main!K5+Office!K5+Annex!K5+Maint!K5+Transpt!K5+Fball!K5</f>
        <v>13926.650000000001</v>
      </c>
      <c r="L5" s="13">
        <f t="shared" si="1"/>
        <v>0.11999798946623919</v>
      </c>
      <c r="N5" s="11">
        <f t="shared" si="5"/>
        <v>0.11759386751130077</v>
      </c>
      <c r="O5" s="11">
        <f t="shared" si="2"/>
        <v>0.11145118646851138</v>
      </c>
      <c r="P5" s="11">
        <f t="shared" si="3"/>
        <v>0.12085434112899728</v>
      </c>
      <c r="Q5" s="13">
        <f t="shared" si="4"/>
        <v>2.6978539514905357E-2</v>
      </c>
      <c r="S5" s="18" t="s">
        <v>53</v>
      </c>
      <c r="T5" s="46" t="s">
        <v>47</v>
      </c>
      <c r="U5" s="39">
        <v>310048188</v>
      </c>
      <c r="V5" s="48">
        <v>400</v>
      </c>
      <c r="W5">
        <v>90580425</v>
      </c>
    </row>
    <row r="6" spans="2:23" x14ac:dyDescent="0.35">
      <c r="B6" s="4" t="s">
        <v>21</v>
      </c>
      <c r="C6" s="3">
        <f>Main!C6+Office!C6+Annex!C6+Maint!C6+Transpt!C6+Fball!C6</f>
        <v>115002.45999999999</v>
      </c>
      <c r="D6" s="5">
        <f>Main!D6+Office!D6+Annex!D6+Maint!D6+Transpt!D6+Fball!D6</f>
        <v>131386</v>
      </c>
      <c r="E6" s="5">
        <f>Main!E6+Office!E6+Annex!E6+Maint!E6+Transpt!E6+Fball!E6</f>
        <v>128139</v>
      </c>
      <c r="F6" s="13">
        <f t="shared" si="0"/>
        <v>0.10251789072803759</v>
      </c>
      <c r="H6" s="4" t="s">
        <v>21</v>
      </c>
      <c r="I6" s="9">
        <f>Main!I6+Office!I6+Annex!I6+Maint!I6+Transpt!I6+Fball!I6</f>
        <v>13531.730000000003</v>
      </c>
      <c r="J6" s="9">
        <f>Main!J6+Office!J6+Annex!J6+Maint!J6+Transpt!J6+Fball!J6</f>
        <v>14021.490000000002</v>
      </c>
      <c r="K6" s="9">
        <f>Main!K6+Office!K6+Annex!K6+Maint!K6+Transpt!K6+Fball!K6</f>
        <v>14154.96</v>
      </c>
      <c r="L6" s="13">
        <f t="shared" si="1"/>
        <v>4.4029089449916917E-2</v>
      </c>
      <c r="N6" s="11">
        <f t="shared" si="5"/>
        <v>0.11766470038988734</v>
      </c>
      <c r="O6" s="11">
        <f t="shared" si="2"/>
        <v>0.10671981794102874</v>
      </c>
      <c r="P6" s="11">
        <f t="shared" si="3"/>
        <v>0.11046566619062112</v>
      </c>
      <c r="Q6" s="13">
        <f t="shared" si="4"/>
        <v>-6.5169879904978495E-2</v>
      </c>
      <c r="S6" s="18"/>
      <c r="T6" s="49"/>
      <c r="U6" s="39">
        <v>90580418</v>
      </c>
      <c r="V6" s="48">
        <v>100</v>
      </c>
      <c r="W6">
        <v>57426110</v>
      </c>
    </row>
    <row r="7" spans="2:23" x14ac:dyDescent="0.35">
      <c r="B7" s="2" t="s">
        <v>22</v>
      </c>
      <c r="C7" s="3">
        <f>Main!C7+Office!C7+Annex!C7+Maint!C7+Transpt!C7+Fball!C7</f>
        <v>120499.55</v>
      </c>
      <c r="D7" s="3">
        <f>Main!D7+Office!D7+Annex!D7+Maint!D7+Transpt!D7+Fball!D7</f>
        <v>163407</v>
      </c>
      <c r="E7" s="3">
        <f>Main!E7+Office!E7+Annex!E7+Maint!E7+Transpt!E7+Fball!E7</f>
        <v>151531</v>
      </c>
      <c r="F7" s="13">
        <f t="shared" si="0"/>
        <v>0.20478614936877601</v>
      </c>
      <c r="H7" s="2" t="s">
        <v>22</v>
      </c>
      <c r="I7" s="8">
        <f>Main!I7+Office!I7+Annex!I7+Maint!I7+Transpt!I7+Fball!I7</f>
        <v>13003.34</v>
      </c>
      <c r="J7" s="8">
        <f>Main!J7+Office!J7+Annex!J7+Maint!J7+Transpt!J7+Fball!J7</f>
        <v>15585.64</v>
      </c>
      <c r="K7" s="8">
        <f>Main!K7+Office!K7+Annex!K7+Maint!K7+Transpt!K7+Fball!K7</f>
        <v>16237.69</v>
      </c>
      <c r="L7" s="13">
        <f t="shared" si="1"/>
        <v>0.19918781550824041</v>
      </c>
      <c r="N7" s="11">
        <f t="shared" si="5"/>
        <v>0.10791193826035035</v>
      </c>
      <c r="O7" s="11">
        <f t="shared" si="2"/>
        <v>9.5379267718029209E-2</v>
      </c>
      <c r="P7" s="11">
        <f t="shared" si="3"/>
        <v>0.10715754532075945</v>
      </c>
      <c r="Q7" s="13">
        <f t="shared" si="4"/>
        <v>-7.0400356534179621E-3</v>
      </c>
      <c r="S7" s="18" t="s">
        <v>51</v>
      </c>
      <c r="T7" s="46" t="s">
        <v>48</v>
      </c>
      <c r="U7" s="39">
        <v>59138606</v>
      </c>
      <c r="V7" s="48">
        <v>1</v>
      </c>
    </row>
    <row r="8" spans="2:23" x14ac:dyDescent="0.35">
      <c r="B8" s="4" t="s">
        <v>23</v>
      </c>
      <c r="C8" s="3">
        <f>Main!C8+Office!C8+Annex!C8+Maint!C8+Transpt!C8+Fball!C8</f>
        <v>144696.46</v>
      </c>
      <c r="D8" s="5">
        <f>Main!D8+Office!D8+Annex!D8+Maint!D8+Transpt!D8+Fball!D8</f>
        <v>139858</v>
      </c>
      <c r="E8" s="5">
        <f>Main!E8+Office!E8+Annex!E8+Maint!E8+Transpt!E8+Fball!E8</f>
        <v>126533</v>
      </c>
      <c r="F8" s="13">
        <f t="shared" si="0"/>
        <v>-0.1435472169315514</v>
      </c>
      <c r="H8" s="4" t="s">
        <v>23</v>
      </c>
      <c r="I8" s="9">
        <f>Main!I8+Office!I8+Annex!I8+Maint!I8+Transpt!I8+Fball!I8</f>
        <v>15039.289999999997</v>
      </c>
      <c r="J8" s="9">
        <f>Main!J8+Office!J8+Annex!J8+Maint!J8+Transpt!J8+Fball!J8</f>
        <v>14169.550000000001</v>
      </c>
      <c r="K8" s="9">
        <f>Main!K8+Office!K8+Annex!K8+Maint!K8+Transpt!K8+Fball!K8</f>
        <v>13440.35</v>
      </c>
      <c r="L8" s="13">
        <f t="shared" si="1"/>
        <v>-0.11896565193614726</v>
      </c>
      <c r="N8" s="11">
        <f t="shared" si="5"/>
        <v>0.10393682056907265</v>
      </c>
      <c r="O8" s="11">
        <f t="shared" si="2"/>
        <v>0.10131383260163881</v>
      </c>
      <c r="P8" s="11">
        <f t="shared" si="3"/>
        <v>0.10622011649135009</v>
      </c>
      <c r="Q8" s="13">
        <f t="shared" si="4"/>
        <v>2.1495889834232833E-2</v>
      </c>
      <c r="S8" s="18"/>
      <c r="T8" s="49"/>
      <c r="U8" s="39">
        <v>90580426</v>
      </c>
      <c r="V8" s="48">
        <v>40</v>
      </c>
    </row>
    <row r="9" spans="2:23" x14ac:dyDescent="0.35">
      <c r="B9" s="2" t="s">
        <v>24</v>
      </c>
      <c r="C9" s="3">
        <f>Main!C9+Office!C9+Annex!C9+Maint!C9+Transpt!C9+Fball!C9</f>
        <v>118646.48999999999</v>
      </c>
      <c r="D9" s="3">
        <f>Main!D9+Office!D9+Annex!D9+Maint!D9+Transpt!D9+Fball!D9</f>
        <v>128547</v>
      </c>
      <c r="E9" s="3">
        <f>Main!E9+Office!E9+Annex!E9+Maint!E9+Transpt!E9+Fball!E9</f>
        <v>132724</v>
      </c>
      <c r="F9" s="13">
        <f t="shared" ref="F9:F13" si="6">(E9-C9)/E9</f>
        <v>0.10606604683403159</v>
      </c>
      <c r="H9" s="2" t="s">
        <v>24</v>
      </c>
      <c r="I9" s="8">
        <f>Main!I9+Office!I9+Annex!I9+Maint!I9+Transpt!I9+Fball!I9</f>
        <v>28480.629999999997</v>
      </c>
      <c r="J9" s="8">
        <f>Main!J9+Office!J9+Annex!J9+Maint!J9+Transpt!J9+Fball!J9</f>
        <v>13558.73</v>
      </c>
      <c r="K9" s="8">
        <f>Main!K9+Office!K9+Annex!K9+Maint!K9+Transpt!K9+Fball!K9</f>
        <v>14340.02</v>
      </c>
      <c r="L9" s="13">
        <f t="shared" si="1"/>
        <v>-0.98609416165388863</v>
      </c>
      <c r="N9" s="11">
        <f t="shared" si="5"/>
        <v>0.24004612357264002</v>
      </c>
      <c r="O9" s="11">
        <f t="shared" si="2"/>
        <v>0.10547682948649131</v>
      </c>
      <c r="P9" s="11">
        <f t="shared" si="3"/>
        <v>0.10804391067176999</v>
      </c>
      <c r="Q9" s="13">
        <f t="shared" si="4"/>
        <v>-1.2217459742075027</v>
      </c>
      <c r="S9" s="18" t="s">
        <v>55</v>
      </c>
      <c r="T9" s="44" t="s">
        <v>49</v>
      </c>
      <c r="U9" s="39">
        <v>90111588</v>
      </c>
      <c r="V9" s="48">
        <v>1</v>
      </c>
    </row>
    <row r="10" spans="2:23" ht="15" thickBot="1" x14ac:dyDescent="0.4">
      <c r="B10" s="4" t="s">
        <v>25</v>
      </c>
      <c r="C10" s="3">
        <f>Main!C10+Office!C10+Annex!C10+Maint!C10+Transpt!C10+Fball!C10</f>
        <v>94583.700000000012</v>
      </c>
      <c r="D10" s="5">
        <f>Main!D10+Office!D10+Annex!D10+Maint!D10+Transpt!D10+Fball!D10</f>
        <v>134663</v>
      </c>
      <c r="E10" s="5">
        <f>Main!E10+Office!E10+Annex!E10+Maint!E10+Transpt!E10+Fball!E10</f>
        <v>137376</v>
      </c>
      <c r="F10" s="13">
        <f t="shared" si="6"/>
        <v>0.31149764150943388</v>
      </c>
      <c r="H10" s="4" t="s">
        <v>25</v>
      </c>
      <c r="I10" s="9">
        <f>Main!I10+Office!I10+Annex!I10+Maint!I10+Transpt!I10+Fball!I10</f>
        <v>10888.580000000002</v>
      </c>
      <c r="J10" s="9">
        <f>Main!J10+Office!J10+Annex!J10+Maint!J10+Transpt!J10+Fball!J10</f>
        <v>13998.11</v>
      </c>
      <c r="K10" s="9">
        <f>Main!K10+Office!K10+Annex!K10+Maint!K10+Transpt!K10+Fball!K10</f>
        <v>15046.880000000001</v>
      </c>
      <c r="L10" s="13">
        <f t="shared" si="1"/>
        <v>0.27635629446104437</v>
      </c>
      <c r="N10" s="11">
        <f t="shared" si="5"/>
        <v>0.11512110437633546</v>
      </c>
      <c r="O10" s="11">
        <f t="shared" si="2"/>
        <v>0.10394919168591224</v>
      </c>
      <c r="P10" s="11">
        <f t="shared" si="3"/>
        <v>0.10953063126019101</v>
      </c>
      <c r="Q10" s="13">
        <f t="shared" si="4"/>
        <v>-5.1040271126204267E-2</v>
      </c>
      <c r="S10" s="18" t="s">
        <v>52</v>
      </c>
      <c r="T10" s="50" t="s">
        <v>50</v>
      </c>
      <c r="U10" s="51">
        <v>90111954</v>
      </c>
      <c r="V10" s="52">
        <v>1</v>
      </c>
    </row>
    <row r="11" spans="2:23" x14ac:dyDescent="0.35">
      <c r="B11" s="2" t="s">
        <v>26</v>
      </c>
      <c r="C11" s="3">
        <f>Main!C11+Office!C11+Annex!C11+Maint!C11+Transpt!C11+Fball!C11</f>
        <v>89591.040000000008</v>
      </c>
      <c r="D11" s="3">
        <f>Main!D11+Office!D11+Annex!D11+Maint!D11+Transpt!D11+Fball!D11</f>
        <v>111951</v>
      </c>
      <c r="E11" s="3">
        <f>Main!E11+Office!E11+Annex!E11+Maint!E11+Transpt!E11+Fball!E11</f>
        <v>160280</v>
      </c>
      <c r="F11" s="13">
        <f>(E11-C11)/E11</f>
        <v>0.44103419016720735</v>
      </c>
      <c r="H11" s="2" t="s">
        <v>26</v>
      </c>
      <c r="I11" s="8">
        <f>Main!I11+Office!I11+Annex!I11+Maint!I11+Transpt!I11+Fball!I11</f>
        <v>10640.560000000001</v>
      </c>
      <c r="J11" s="8">
        <f>Main!J11+Office!J11+Annex!J11+Maint!J11+Transpt!J11+Fball!J11</f>
        <v>12315.15</v>
      </c>
      <c r="K11" s="8">
        <f>Main!K11+Office!K11+Annex!K11+Maint!K11+Transpt!K11+Fball!K11</f>
        <v>16980.830000000002</v>
      </c>
      <c r="L11" s="13">
        <f t="shared" si="1"/>
        <v>0.37337809753704615</v>
      </c>
      <c r="N11" s="11">
        <f t="shared" si="5"/>
        <v>0.11876812681268127</v>
      </c>
      <c r="O11" s="11">
        <f t="shared" si="2"/>
        <v>0.11000482353886969</v>
      </c>
      <c r="P11" s="11">
        <f t="shared" si="3"/>
        <v>0.1059447841277764</v>
      </c>
      <c r="Q11" s="13">
        <f t="shared" si="4"/>
        <v>-0.12103798021277831</v>
      </c>
    </row>
    <row r="12" spans="2:23" x14ac:dyDescent="0.35">
      <c r="B12" s="4" t="s">
        <v>27</v>
      </c>
      <c r="C12" s="3">
        <f>Main!C12+Office!C12+Annex!C12+Maint!C12+Transpt!C12+Fball!C12</f>
        <v>100642.87</v>
      </c>
      <c r="D12" s="5">
        <f>Main!D12+Office!D12+Annex!D12+Maint!D12+Transpt!D12+Fball!D12</f>
        <v>100914</v>
      </c>
      <c r="E12" s="5">
        <f>Main!E12+Office!E12+Annex!E12+Maint!E12+Transpt!E12+Fball!E12</f>
        <v>143936</v>
      </c>
      <c r="F12" s="13">
        <f>(E12-C12)/E12</f>
        <v>0.30078041629613167</v>
      </c>
      <c r="H12" s="4" t="s">
        <v>27</v>
      </c>
      <c r="I12" s="9">
        <f>Main!I12+Office!I12+Annex!I12+Maint!I12+Transpt!I12+Fball!I12</f>
        <v>12737.39</v>
      </c>
      <c r="J12" s="9">
        <f>Main!J12+Office!J12+Annex!J12+Maint!J12+Transpt!J12+Fball!J12</f>
        <v>10421.040000000001</v>
      </c>
      <c r="K12" s="9">
        <f>Main!K12+Office!K12+Annex!K12+Maint!K12+Transpt!K12+Fball!K12</f>
        <v>14801.220000000001</v>
      </c>
      <c r="L12" s="13">
        <f t="shared" si="1"/>
        <v>0.13943647888484878</v>
      </c>
      <c r="N12" s="11">
        <f>IFERROR(I12/C12,0)</f>
        <v>0.12656028191564886</v>
      </c>
      <c r="O12" s="11">
        <f t="shared" si="2"/>
        <v>0.10326654378976159</v>
      </c>
      <c r="P12" s="11">
        <f t="shared" si="3"/>
        <v>0.10283195309026234</v>
      </c>
      <c r="Q12" s="13">
        <f t="shared" si="4"/>
        <v>-0.23074859625158153</v>
      </c>
    </row>
    <row r="13" spans="2:23" x14ac:dyDescent="0.35">
      <c r="B13" s="2" t="s">
        <v>28</v>
      </c>
      <c r="C13" s="3">
        <f>Main!C13+Office!C13+Annex!C13+Maint!C13+Transpt!C13+Fball!C13</f>
        <v>113986.3</v>
      </c>
      <c r="D13" s="3">
        <f>Main!D13+Office!D13+Annex!D13+Maint!D13+Transpt!D13+Fball!D13</f>
        <v>149755</v>
      </c>
      <c r="E13" s="3">
        <f>Main!E13+Office!E13+Annex!E13+Maint!E13+Transpt!E13+Fball!E13</f>
        <v>183359</v>
      </c>
      <c r="F13" s="13">
        <f t="shared" si="6"/>
        <v>0.37834357735371593</v>
      </c>
      <c r="H13" s="2" t="s">
        <v>28</v>
      </c>
      <c r="I13" s="8">
        <f>Main!I13+Office!I13+Annex!I13+Maint!I13+Transpt!I13+Fball!I13</f>
        <v>13093.119999999999</v>
      </c>
      <c r="J13" s="8">
        <f>Main!J13+Office!J13+Annex!J13+Maint!J13+Transpt!J13+Fball!J13</f>
        <v>14583.96</v>
      </c>
      <c r="K13" s="8">
        <f>Main!K13+Office!K13+Annex!K13+Maint!K13+Transpt!K13+Fball!K13</f>
        <v>17769.980000000003</v>
      </c>
      <c r="L13" s="13">
        <f t="shared" si="1"/>
        <v>0.26318881619450352</v>
      </c>
      <c r="N13" s="11">
        <f t="shared" si="5"/>
        <v>0.11486573386450827</v>
      </c>
      <c r="O13" s="11">
        <f t="shared" si="2"/>
        <v>9.7385462922773863E-2</v>
      </c>
      <c r="P13" s="11">
        <f t="shared" si="3"/>
        <v>9.6913595732961044E-2</v>
      </c>
      <c r="Q13" s="13">
        <f t="shared" si="4"/>
        <v>-0.18523859315893246</v>
      </c>
    </row>
    <row r="14" spans="2:23" ht="15" thickBot="1" x14ac:dyDescent="0.4">
      <c r="B14" s="4" t="s">
        <v>29</v>
      </c>
      <c r="C14" s="3">
        <f>Main!C14+Office!C14+Annex!C14+Maint!C14+Transpt!C14+Fball!C14</f>
        <v>139234.62000000002</v>
      </c>
      <c r="D14" s="5">
        <f>Main!D14+Office!D14+Annex!D14+Maint!D14+Transpt!D14+Fball!D14</f>
        <v>155543</v>
      </c>
      <c r="E14" s="5">
        <f>Main!E14+Office!E14+Annex!E14+Maint!E14+Transpt!E14+Fball!E14</f>
        <v>205526</v>
      </c>
      <c r="F14" s="13">
        <f>(E14-C14)/E14</f>
        <v>0.32254498214337834</v>
      </c>
      <c r="H14" s="4" t="s">
        <v>29</v>
      </c>
      <c r="I14" s="9">
        <f>Main!I14+Office!I14+Annex!I14+Maint!I14+Transpt!I14+Fball!I14</f>
        <v>14727.19</v>
      </c>
      <c r="J14" s="9">
        <f>Main!J14+Office!J14+Annex!J14+Maint!J14+Transpt!J14+Fball!J14</f>
        <v>16390.64</v>
      </c>
      <c r="K14" s="9">
        <f>Main!K14+Office!K14+Annex!K14+Maint!K14+Transpt!K14+Fball!K14</f>
        <v>20910.32</v>
      </c>
      <c r="L14" s="13">
        <f t="shared" si="1"/>
        <v>0.29569753117121111</v>
      </c>
      <c r="N14" s="11">
        <f t="shared" si="5"/>
        <v>0.10577247239228288</v>
      </c>
      <c r="O14" s="11">
        <f t="shared" si="2"/>
        <v>0.10537690542165189</v>
      </c>
      <c r="P14" s="11">
        <f t="shared" si="3"/>
        <v>0.10174050971653222</v>
      </c>
      <c r="Q14" s="13">
        <f t="shared" si="4"/>
        <v>-3.9629865104710539E-2</v>
      </c>
    </row>
    <row r="15" spans="2:23" x14ac:dyDescent="0.35">
      <c r="B15" s="6" t="s">
        <v>2</v>
      </c>
      <c r="C15" s="7">
        <f>SUM(C3:C14)</f>
        <v>1437256.7700000003</v>
      </c>
      <c r="D15" s="7">
        <f>SUM(D3:D14)</f>
        <v>1645702</v>
      </c>
      <c r="E15" s="7">
        <f>SUM(E3:E14)</f>
        <v>1753677</v>
      </c>
      <c r="F15" s="55">
        <f>(E15-C15)/E15</f>
        <v>0.18043244565561375</v>
      </c>
      <c r="H15" s="6" t="s">
        <v>2</v>
      </c>
      <c r="I15" s="10">
        <f>SUM(I3:I14)</f>
        <v>176523.89</v>
      </c>
      <c r="J15" s="10">
        <f>SUM(J3:J14)</f>
        <v>171797.14999999997</v>
      </c>
      <c r="K15" s="10">
        <f>SUM(K3:K14)</f>
        <v>190450.19000000003</v>
      </c>
      <c r="L15" s="55">
        <f t="shared" si="1"/>
        <v>7.312305648001724E-2</v>
      </c>
      <c r="N15" s="59">
        <f t="shared" si="5"/>
        <v>0.12282000939887727</v>
      </c>
      <c r="O15" s="59">
        <f t="shared" si="2"/>
        <v>0.10439140865114095</v>
      </c>
      <c r="P15" s="59">
        <f t="shared" si="3"/>
        <v>0.10860049484597223</v>
      </c>
      <c r="Q15" s="55">
        <f t="shared" si="4"/>
        <v>-0.1309341598587791</v>
      </c>
    </row>
    <row r="16" spans="2:23" x14ac:dyDescent="0.35">
      <c r="F16" s="31">
        <f>E15-C15</f>
        <v>316420.22999999975</v>
      </c>
      <c r="L16" s="31">
        <f>K15-I15</f>
        <v>13926.300000000017</v>
      </c>
    </row>
    <row r="19" spans="2:20" x14ac:dyDescent="0.35">
      <c r="B19" s="86" t="s">
        <v>9</v>
      </c>
      <c r="C19" s="86"/>
      <c r="D19" s="86"/>
      <c r="E19" s="86"/>
      <c r="F19" s="86"/>
      <c r="H19" s="86" t="s">
        <v>35</v>
      </c>
      <c r="I19" s="86"/>
      <c r="J19" s="86"/>
      <c r="K19" s="86"/>
      <c r="L19" s="86"/>
      <c r="S19" s="87" t="s">
        <v>36</v>
      </c>
      <c r="T19" s="87"/>
    </row>
    <row r="20" spans="2:20" x14ac:dyDescent="0.35">
      <c r="B20" s="84" t="s">
        <v>56</v>
      </c>
      <c r="C20" s="85"/>
      <c r="D20" s="64" t="s">
        <v>10</v>
      </c>
      <c r="E20" s="64" t="s">
        <v>11</v>
      </c>
      <c r="F20" s="64" t="s">
        <v>12</v>
      </c>
      <c r="H20" s="64" t="s">
        <v>34</v>
      </c>
      <c r="I20" s="64" t="s">
        <v>40</v>
      </c>
      <c r="J20" s="64" t="s">
        <v>30</v>
      </c>
      <c r="K20" s="64" t="s">
        <v>31</v>
      </c>
      <c r="L20" s="64" t="s">
        <v>1</v>
      </c>
      <c r="R20" s="18" t="s">
        <v>40</v>
      </c>
      <c r="S20" s="16" t="s">
        <v>30</v>
      </c>
      <c r="T20" s="16" t="s">
        <v>31</v>
      </c>
    </row>
    <row r="21" spans="2:20" x14ac:dyDescent="0.35">
      <c r="B21" s="88" t="s">
        <v>5</v>
      </c>
      <c r="C21" s="89"/>
      <c r="D21" s="65">
        <f>Main!F15</f>
        <v>0.13645173274722078</v>
      </c>
      <c r="E21" s="65">
        <f>Main!L15</f>
        <v>6.8258733168679031E-2</v>
      </c>
      <c r="F21" s="65">
        <f>Main!Q15</f>
        <v>-0.14054577769398843</v>
      </c>
      <c r="H21" s="67">
        <v>152682</v>
      </c>
      <c r="I21" s="67">
        <f>((Main!C15*3413)/SUMMARY!H21)+(('Delta Gas'!D15*100000)/SUMMARY!H21)</f>
        <v>42390.164197482351</v>
      </c>
      <c r="J21" s="67">
        <f>Main!D15*3413/SUMMARY!$H21+'Delta Gas'!D32*100000/SUMMARY!$H21</f>
        <v>46985.356937949458</v>
      </c>
      <c r="K21" s="67">
        <f>Main!E15*3413/SUMMARY!$H21+'Delta Gas'!D47*100000/SUMMARY!$H21</f>
        <v>45661.998480501963</v>
      </c>
      <c r="L21" s="68">
        <f t="shared" ref="L21:L27" si="7">(K21-I21)/K21</f>
        <v>7.1653330819865704E-2</v>
      </c>
      <c r="R21" s="62">
        <f>I21*H21</f>
        <v>6472215050</v>
      </c>
      <c r="S21">
        <f>J21*$H21</f>
        <v>7173818267.999999</v>
      </c>
      <c r="T21">
        <f t="shared" ref="S21:T26" si="8">K21*$H21</f>
        <v>6971765252.000001</v>
      </c>
    </row>
    <row r="22" spans="2:20" x14ac:dyDescent="0.35">
      <c r="B22" s="88" t="s">
        <v>3</v>
      </c>
      <c r="C22" s="89"/>
      <c r="D22" s="65">
        <f>Office!F15</f>
        <v>8.4704416290617923E-2</v>
      </c>
      <c r="E22" s="65">
        <f>Office!L15</f>
        <v>8.8277394141885443E-2</v>
      </c>
      <c r="F22" s="65">
        <f>Office!Q15</f>
        <v>3.9036327879869554E-3</v>
      </c>
      <c r="H22" s="67">
        <v>6850</v>
      </c>
      <c r="I22" s="67">
        <f>(Office!C15*3413)/SUMMARY!H22</f>
        <v>24153.477138686132</v>
      </c>
      <c r="J22" s="67">
        <f>Office!D15*3413/SUMMARY!$H22</f>
        <v>24173.506715328465</v>
      </c>
      <c r="K22" s="67">
        <f>Office!E15*3413/SUMMARY!$H22</f>
        <v>26388.718102189781</v>
      </c>
      <c r="L22" s="68">
        <f t="shared" si="7"/>
        <v>8.4704416290617965E-2</v>
      </c>
      <c r="R22" s="62">
        <f>I22*H22</f>
        <v>165451318.40000001</v>
      </c>
      <c r="S22">
        <f>J22*$H22</f>
        <v>165588521</v>
      </c>
      <c r="T22">
        <f t="shared" si="8"/>
        <v>180762719</v>
      </c>
    </row>
    <row r="23" spans="2:20" x14ac:dyDescent="0.35">
      <c r="B23" s="88" t="s">
        <v>6</v>
      </c>
      <c r="C23" s="89"/>
      <c r="D23" s="65">
        <f>Annex!F15</f>
        <v>0.21619077968982359</v>
      </c>
      <c r="E23" s="65">
        <f>Annex!L15</f>
        <v>0.1333386477473528</v>
      </c>
      <c r="F23" s="65">
        <f>Annex!Q15</f>
        <v>-0.10570446199865284</v>
      </c>
      <c r="H23" s="67">
        <v>3650</v>
      </c>
      <c r="I23" s="67">
        <f>(Annex!C15*3413)/SUMMARY!H23</f>
        <v>13799.329391780822</v>
      </c>
      <c r="J23" s="67">
        <f>Annex!D15*3413/SUMMARY!$H23</f>
        <v>16216.892876712329</v>
      </c>
      <c r="K23" s="67">
        <f>Annex!E15*3413/SUMMARY!$H23</f>
        <v>17605.469589041095</v>
      </c>
      <c r="L23" s="68">
        <f t="shared" si="7"/>
        <v>0.21619077968982359</v>
      </c>
      <c r="R23" s="62">
        <f>I23*H23</f>
        <v>50367552.280000001</v>
      </c>
      <c r="S23">
        <f t="shared" si="8"/>
        <v>59191659</v>
      </c>
      <c r="T23">
        <f t="shared" si="8"/>
        <v>64259964</v>
      </c>
    </row>
    <row r="24" spans="2:20" x14ac:dyDescent="0.35">
      <c r="B24" s="88" t="s">
        <v>7</v>
      </c>
      <c r="C24" s="89"/>
      <c r="D24" s="65">
        <f>Maint!F15</f>
        <v>-1.9409785255700803E-2</v>
      </c>
      <c r="E24" s="65">
        <f>Maint!L15</f>
        <v>-2.8077852226628335E-2</v>
      </c>
      <c r="F24" s="65">
        <f>Maint!Q15</f>
        <v>-8.5030250800989752E-3</v>
      </c>
      <c r="H24" s="67">
        <v>1000</v>
      </c>
      <c r="I24" s="67">
        <f>(Maint!C15*3413)/SUMMARY!H24</f>
        <v>78578.761809999996</v>
      </c>
      <c r="J24" s="67">
        <f>Maint!D15*3413/SUMMARY!$H24</f>
        <v>50126.731</v>
      </c>
      <c r="K24" s="67">
        <f>Maint!E15*3413/SUMMARY!$H24</f>
        <v>77082.604999999996</v>
      </c>
      <c r="L24" s="68">
        <f t="shared" si="7"/>
        <v>-1.9409785255700692E-2</v>
      </c>
      <c r="R24" s="62">
        <f>I24*H24</f>
        <v>78578761.810000002</v>
      </c>
      <c r="S24">
        <f t="shared" si="8"/>
        <v>50126731</v>
      </c>
      <c r="T24">
        <f t="shared" si="8"/>
        <v>77082605</v>
      </c>
    </row>
    <row r="25" spans="2:20" x14ac:dyDescent="0.35">
      <c r="B25" s="88" t="s">
        <v>8</v>
      </c>
      <c r="C25" s="89"/>
      <c r="D25" s="65">
        <f>Transpt!F15</f>
        <v>0.17507635558834378</v>
      </c>
      <c r="E25" s="65">
        <f>Transpt!L15</f>
        <v>0.25585898416808889</v>
      </c>
      <c r="F25" s="65">
        <f>Transpt!Q15</f>
        <v>9.7927401071598738E-2</v>
      </c>
      <c r="H25" s="67">
        <v>2600</v>
      </c>
      <c r="I25" s="67">
        <f>(Transpt!C15*3413)/SUMMARY!H25</f>
        <v>14678.315353846154</v>
      </c>
      <c r="J25" s="67">
        <f>Transpt!D15*3413/SUMMARY!$H25</f>
        <v>16199.935769230769</v>
      </c>
      <c r="K25" s="67">
        <f>Transpt!E15*3413/SUMMARY!$H25</f>
        <v>17793.544230769232</v>
      </c>
      <c r="L25" s="68">
        <f t="shared" si="7"/>
        <v>0.17507635558834383</v>
      </c>
      <c r="R25" s="62">
        <f t="shared" ref="R25" si="9">I25*H25</f>
        <v>38163619.920000002</v>
      </c>
      <c r="S25">
        <f t="shared" si="8"/>
        <v>42119833</v>
      </c>
      <c r="T25">
        <f t="shared" si="8"/>
        <v>46263215</v>
      </c>
    </row>
    <row r="26" spans="2:20" x14ac:dyDescent="0.35">
      <c r="B26" s="88" t="s">
        <v>4</v>
      </c>
      <c r="C26" s="89"/>
      <c r="D26" s="65">
        <f>Fball!F15</f>
        <v>0.43716697730511989</v>
      </c>
      <c r="E26" s="65">
        <f>Fball!L15</f>
        <v>0.18842392674313663</v>
      </c>
      <c r="F26" s="65">
        <f>Fball!Q15</f>
        <v>-0.44194821649054239</v>
      </c>
      <c r="H26" s="67">
        <v>200</v>
      </c>
      <c r="I26" s="67">
        <f>(Fball!C15*3413)/SUMMARY!H26</f>
        <v>175209.76800000004</v>
      </c>
      <c r="J26" s="67">
        <f>Fball!D15*3413/SUMMARY!$H26</f>
        <v>224882.57</v>
      </c>
      <c r="K26" s="67">
        <f>Fball!E15*3413/SUMMARY!$H26</f>
        <v>311299.73</v>
      </c>
      <c r="L26" s="68">
        <f t="shared" si="7"/>
        <v>0.43716697730511989</v>
      </c>
      <c r="R26" s="62">
        <f>I26*H26</f>
        <v>35041953.600000009</v>
      </c>
      <c r="S26">
        <f t="shared" si="8"/>
        <v>44976514</v>
      </c>
      <c r="T26">
        <f t="shared" si="8"/>
        <v>62259946</v>
      </c>
    </row>
    <row r="27" spans="2:20" x14ac:dyDescent="0.35">
      <c r="B27" s="84" t="s">
        <v>13</v>
      </c>
      <c r="C27" s="85"/>
      <c r="D27" s="66">
        <f>F15</f>
        <v>0.18043244565561375</v>
      </c>
      <c r="E27" s="66">
        <f>L15</f>
        <v>7.312305648001724E-2</v>
      </c>
      <c r="F27" s="66">
        <f>Q15</f>
        <v>-0.1309341598587791</v>
      </c>
      <c r="H27" s="69">
        <f>SUM(H21:H26)</f>
        <v>166982</v>
      </c>
      <c r="I27" s="70">
        <f>SUM(R21:R26)/H27</f>
        <v>40961.410547304498</v>
      </c>
      <c r="J27" s="69">
        <f>SUM(S21:S26)/$H$27</f>
        <v>45129.544058641048</v>
      </c>
      <c r="K27" s="69">
        <f>SUM(T21:T26)/$H$27</f>
        <v>44330.488920961543</v>
      </c>
      <c r="L27" s="68">
        <f t="shared" si="7"/>
        <v>7.5999125109219939E-2</v>
      </c>
    </row>
    <row r="30" spans="2:20" x14ac:dyDescent="0.35">
      <c r="H30" s="18" t="s">
        <v>37</v>
      </c>
      <c r="I30" s="18" t="s">
        <v>40</v>
      </c>
      <c r="J30" s="16" t="s">
        <v>30</v>
      </c>
      <c r="K30" s="16" t="s">
        <v>31</v>
      </c>
    </row>
    <row r="31" spans="2:20" x14ac:dyDescent="0.35">
      <c r="I31" s="63">
        <f>I15+'Delta Gas'!E15</f>
        <v>197760.12000000002</v>
      </c>
      <c r="J31" s="26">
        <f>J15+'Delta Gas'!E32</f>
        <v>191972.50999999995</v>
      </c>
      <c r="K31" s="26">
        <f>K15+'Delta Gas'!E47</f>
        <v>211156.16000000003</v>
      </c>
    </row>
    <row r="33" spans="8:10" x14ac:dyDescent="0.35">
      <c r="H33" s="18" t="s">
        <v>38</v>
      </c>
      <c r="I33" s="28">
        <f>K31-I31</f>
        <v>13396.040000000008</v>
      </c>
      <c r="J33" s="26">
        <f>K31-J31</f>
        <v>19183.650000000081</v>
      </c>
    </row>
  </sheetData>
  <mergeCells count="11">
    <mergeCell ref="B27:C27"/>
    <mergeCell ref="H19:L19"/>
    <mergeCell ref="B19:F19"/>
    <mergeCell ref="S19:T19"/>
    <mergeCell ref="B26:C26"/>
    <mergeCell ref="B25:C25"/>
    <mergeCell ref="B24:C24"/>
    <mergeCell ref="B23:C23"/>
    <mergeCell ref="B22:C22"/>
    <mergeCell ref="B21:C21"/>
    <mergeCell ref="B20:C20"/>
  </mergeCells>
  <conditionalFormatting sqref="D21:D26">
    <cfRule type="colorScale" priority="12">
      <colorScale>
        <cfvo type="min"/>
        <cfvo type="percentile" val="50"/>
        <cfvo type="max"/>
        <color theme="6" tint="0.79998168889431442"/>
        <color theme="6" tint="0.59999389629810485"/>
        <color rgb="FF63BE7B"/>
      </colorScale>
    </cfRule>
  </conditionalFormatting>
  <conditionalFormatting sqref="D21:F26">
    <cfRule type="cellIs" dxfId="48" priority="7" operator="lessThan">
      <formula>0</formula>
    </cfRule>
  </conditionalFormatting>
  <conditionalFormatting sqref="E21:E26">
    <cfRule type="colorScale" priority="9">
      <colorScale>
        <cfvo type="min"/>
        <cfvo type="percentile" val="50"/>
        <cfvo type="max"/>
        <color theme="6" tint="0.79998168889431442"/>
        <color theme="6" tint="0.59999389629810485"/>
        <color rgb="FF63BE7B"/>
      </colorScale>
    </cfRule>
  </conditionalFormatting>
  <conditionalFormatting sqref="F3:F15">
    <cfRule type="cellIs" dxfId="47" priority="17" operator="greaterThan">
      <formula>0</formula>
    </cfRule>
    <cfRule type="cellIs" dxfId="46" priority="18" operator="lessThan">
      <formula>0</formula>
    </cfRule>
  </conditionalFormatting>
  <conditionalFormatting sqref="F21:F26">
    <cfRule type="colorScale" priority="8">
      <colorScale>
        <cfvo type="min"/>
        <cfvo type="percentile" val="50"/>
        <cfvo type="max"/>
        <color theme="6" tint="0.79998168889431442"/>
        <color theme="6" tint="0.59999389629810485"/>
        <color rgb="FF63BE7B"/>
      </colorScale>
    </cfRule>
  </conditionalFormatting>
  <conditionalFormatting sqref="I21:I27">
    <cfRule type="cellIs" dxfId="45" priority="1" operator="lessThan">
      <formula>$K21</formula>
    </cfRule>
    <cfRule type="cellIs" dxfId="44" priority="2" operator="greaterThan">
      <formula>$K21</formula>
    </cfRule>
  </conditionalFormatting>
  <conditionalFormatting sqref="L3:L15">
    <cfRule type="cellIs" dxfId="43" priority="15" operator="greaterThan">
      <formula>0</formula>
    </cfRule>
    <cfRule type="cellIs" dxfId="42" priority="16" operator="lessThan">
      <formula>0</formula>
    </cfRule>
  </conditionalFormatting>
  <conditionalFormatting sqref="L21:L27">
    <cfRule type="cellIs" dxfId="41" priority="3" operator="greaterThan">
      <formula>0</formula>
    </cfRule>
    <cfRule type="cellIs" dxfId="40" priority="4" operator="lessThan">
      <formula>0</formula>
    </cfRule>
  </conditionalFormatting>
  <conditionalFormatting sqref="Q3:Q15">
    <cfRule type="cellIs" dxfId="39" priority="13" operator="greaterThan">
      <formula>0</formula>
    </cfRule>
    <cfRule type="cellIs" dxfId="38" priority="14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Q15"/>
  <sheetViews>
    <sheetView workbookViewId="0">
      <selection activeCell="Q15" sqref="Q15"/>
    </sheetView>
  </sheetViews>
  <sheetFormatPr defaultRowHeight="14.5" x14ac:dyDescent="0.35"/>
  <cols>
    <col min="2" max="6" width="15.7265625" customWidth="1"/>
    <col min="8" max="12" width="15.7265625" customWidth="1"/>
    <col min="17" max="17" width="11.7265625" bestFit="1" customWidth="1"/>
  </cols>
  <sheetData>
    <row r="1" spans="1:17" x14ac:dyDescent="0.35">
      <c r="C1" s="24" t="s">
        <v>40</v>
      </c>
      <c r="D1" s="24" t="s">
        <v>30</v>
      </c>
      <c r="E1" s="24" t="s">
        <v>31</v>
      </c>
      <c r="I1" s="24" t="s">
        <v>40</v>
      </c>
      <c r="J1" s="24" t="s">
        <v>30</v>
      </c>
      <c r="K1" s="24" t="s">
        <v>31</v>
      </c>
      <c r="N1" s="17" t="s">
        <v>41</v>
      </c>
      <c r="O1" s="17" t="s">
        <v>14</v>
      </c>
      <c r="P1" s="17" t="s">
        <v>15</v>
      </c>
    </row>
    <row r="2" spans="1:17" ht="15" thickBot="1" x14ac:dyDescent="0.4">
      <c r="B2" s="1" t="s">
        <v>0</v>
      </c>
      <c r="C2" s="1" t="s">
        <v>10</v>
      </c>
      <c r="D2" s="1" t="s">
        <v>10</v>
      </c>
      <c r="E2" s="1" t="s">
        <v>10</v>
      </c>
      <c r="F2" s="1" t="s">
        <v>1</v>
      </c>
      <c r="H2" s="1" t="s">
        <v>0</v>
      </c>
      <c r="I2" s="1" t="s">
        <v>39</v>
      </c>
      <c r="J2" s="1" t="s">
        <v>39</v>
      </c>
      <c r="K2" s="1" t="s">
        <v>39</v>
      </c>
      <c r="L2" s="1" t="s">
        <v>1</v>
      </c>
      <c r="N2" s="33" t="s">
        <v>12</v>
      </c>
      <c r="O2" s="33" t="s">
        <v>12</v>
      </c>
      <c r="P2" s="33" t="s">
        <v>12</v>
      </c>
      <c r="Q2" s="33" t="s">
        <v>1</v>
      </c>
    </row>
    <row r="3" spans="1:17" x14ac:dyDescent="0.35">
      <c r="A3" s="18">
        <v>2024</v>
      </c>
      <c r="B3" s="2" t="s">
        <v>18</v>
      </c>
      <c r="C3" s="3">
        <f>100*309+100*0.71+1*400+302*400</f>
        <v>152171</v>
      </c>
      <c r="D3" s="3">
        <v>155505</v>
      </c>
      <c r="E3" s="3">
        <v>133216</v>
      </c>
      <c r="F3" s="13">
        <f>(D3-C3)/D3</f>
        <v>2.1439825086010098E-2</v>
      </c>
      <c r="H3" s="2" t="s">
        <v>18</v>
      </c>
      <c r="I3" s="8">
        <f>16987.95-398.16-13-458.28-10.5-143.4-1.88-47.25</f>
        <v>15915.480000000001</v>
      </c>
      <c r="J3" s="8">
        <v>16064.93</v>
      </c>
      <c r="K3" s="8">
        <v>15376.43</v>
      </c>
      <c r="L3" s="14">
        <f t="shared" ref="L3:L15" si="0">(K3-I3)/K3</f>
        <v>-3.5056902024722322E-2</v>
      </c>
      <c r="N3" s="60">
        <f>IFERROR(I3/C3,0)</f>
        <v>0.10458944214074956</v>
      </c>
      <c r="O3" s="60">
        <f t="shared" ref="O3:O15" si="1">J3/D3</f>
        <v>0.10330812514067073</v>
      </c>
      <c r="P3" s="60">
        <f t="shared" ref="P3:P15" si="2">K3/E3</f>
        <v>0.11542479882296421</v>
      </c>
      <c r="Q3" s="55">
        <f t="shared" ref="Q3:Q15" si="3">(P3-N3)/P3</f>
        <v>9.3873732444911262E-2</v>
      </c>
    </row>
    <row r="4" spans="1:17" x14ac:dyDescent="0.35">
      <c r="A4" s="18">
        <v>2024</v>
      </c>
      <c r="B4" s="4" t="s">
        <v>19</v>
      </c>
      <c r="C4" s="5">
        <f>0.66*100+276*100+0.83*400+240*400</f>
        <v>123998</v>
      </c>
      <c r="D4" s="5">
        <v>130662</v>
      </c>
      <c r="E4" s="5">
        <v>114418</v>
      </c>
      <c r="F4" s="13">
        <f>(D4-C4)/D4</f>
        <v>5.1001821493624776E-2</v>
      </c>
      <c r="H4" s="4" t="s">
        <v>19</v>
      </c>
      <c r="I4" s="9">
        <f>13989.32-266.02-13-295.79-10.5-143.4-1.23-47.25</f>
        <v>13212.13</v>
      </c>
      <c r="J4" s="9">
        <v>13916.46</v>
      </c>
      <c r="K4" s="9">
        <v>14233.08</v>
      </c>
      <c r="L4" s="14">
        <f t="shared" si="0"/>
        <v>7.1730784903899975E-2</v>
      </c>
      <c r="N4" s="11">
        <f t="shared" ref="N4:N15" si="4">IFERROR(I4/C4,0)</f>
        <v>0.10655115405087179</v>
      </c>
      <c r="O4" s="11">
        <f t="shared" si="1"/>
        <v>0.10650732424117187</v>
      </c>
      <c r="P4" s="11">
        <f t="shared" si="2"/>
        <v>0.1243954622524428</v>
      </c>
      <c r="Q4" s="13">
        <f t="shared" si="3"/>
        <v>0.14344822454502834</v>
      </c>
    </row>
    <row r="5" spans="1:17" x14ac:dyDescent="0.35">
      <c r="A5" s="18">
        <v>2024</v>
      </c>
      <c r="B5" s="2" t="s">
        <v>20</v>
      </c>
      <c r="C5" s="3">
        <f>11*100+0.67*100+215*100+400*0.7+182*400</f>
        <v>95747</v>
      </c>
      <c r="D5" s="3">
        <v>114871</v>
      </c>
      <c r="E5" s="3">
        <v>105581</v>
      </c>
      <c r="F5" s="13">
        <f t="shared" ref="F5:F14" si="5">(D5-C5)/D5</f>
        <v>0.16648240199876382</v>
      </c>
      <c r="H5" s="2" t="s">
        <v>20</v>
      </c>
      <c r="I5" s="8">
        <f>11515.28-195.8-13-211.01-10.5-143.4-0.89-47.25</f>
        <v>10893.430000000002</v>
      </c>
      <c r="J5" s="8">
        <v>12319.69</v>
      </c>
      <c r="K5" s="8">
        <v>12676.04</v>
      </c>
      <c r="L5" s="14">
        <f t="shared" si="0"/>
        <v>0.14062830347647992</v>
      </c>
      <c r="N5" s="11">
        <f t="shared" si="4"/>
        <v>0.11377306860789374</v>
      </c>
      <c r="O5" s="11">
        <f t="shared" si="1"/>
        <v>0.10724804345744357</v>
      </c>
      <c r="P5" s="11">
        <f t="shared" si="2"/>
        <v>0.1200598592549796</v>
      </c>
      <c r="Q5" s="13">
        <f t="shared" si="3"/>
        <v>5.2363801574464255E-2</v>
      </c>
    </row>
    <row r="6" spans="1:17" x14ac:dyDescent="0.35">
      <c r="A6" s="18">
        <v>2024</v>
      </c>
      <c r="B6" s="4" t="s">
        <v>21</v>
      </c>
      <c r="C6" s="5">
        <f>100*0.72+100*215+400*0.82+400*207</f>
        <v>104700</v>
      </c>
      <c r="D6" s="5">
        <v>123932</v>
      </c>
      <c r="E6" s="5">
        <v>117644</v>
      </c>
      <c r="F6" s="13">
        <f t="shared" si="5"/>
        <v>0.1551818739308653</v>
      </c>
      <c r="H6" s="4" t="s">
        <v>21</v>
      </c>
      <c r="I6" s="9">
        <f>12658.37-200.03-13-215.72-10.5-143.4-0.9-47.25</f>
        <v>12027.570000000002</v>
      </c>
      <c r="J6" s="9">
        <v>12997.44</v>
      </c>
      <c r="K6" s="9">
        <v>12927.65</v>
      </c>
      <c r="L6" s="14">
        <f t="shared" si="0"/>
        <v>6.9624409695497491E-2</v>
      </c>
      <c r="N6" s="11">
        <f t="shared" si="4"/>
        <v>0.11487650429799429</v>
      </c>
      <c r="O6" s="11">
        <f t="shared" si="1"/>
        <v>0.1048755769292838</v>
      </c>
      <c r="P6" s="11">
        <f t="shared" si="2"/>
        <v>0.1098878820849342</v>
      </c>
      <c r="Q6" s="13">
        <f t="shared" si="3"/>
        <v>-4.5397382481211994E-2</v>
      </c>
    </row>
    <row r="7" spans="1:17" x14ac:dyDescent="0.35">
      <c r="A7" s="18">
        <v>2025</v>
      </c>
      <c r="B7" s="2" t="s">
        <v>22</v>
      </c>
      <c r="C7" s="3">
        <f>100*0.64+231*100+400*0.76+400*215</f>
        <v>109468</v>
      </c>
      <c r="D7" s="3">
        <v>155243</v>
      </c>
      <c r="E7" s="3">
        <v>140074</v>
      </c>
      <c r="F7" s="13">
        <f t="shared" si="5"/>
        <v>0.29486031576302957</v>
      </c>
      <c r="H7" s="2" t="s">
        <v>22</v>
      </c>
      <c r="I7" s="8">
        <f>12253.03-116.28-13-122.46-10.5-143.4-0.53-47.25</f>
        <v>11799.61</v>
      </c>
      <c r="J7" s="8">
        <v>14611.71</v>
      </c>
      <c r="K7" s="8">
        <v>14907.33</v>
      </c>
      <c r="L7" s="14">
        <f t="shared" si="0"/>
        <v>0.20846925639936859</v>
      </c>
      <c r="N7" s="11">
        <f t="shared" si="4"/>
        <v>0.10779049585266928</v>
      </c>
      <c r="O7" s="11">
        <f t="shared" si="1"/>
        <v>9.4121538491268517E-2</v>
      </c>
      <c r="P7" s="11">
        <f t="shared" si="2"/>
        <v>0.10642467552864915</v>
      </c>
      <c r="Q7" s="13">
        <f t="shared" si="3"/>
        <v>-1.2833680884960367E-2</v>
      </c>
    </row>
    <row r="8" spans="1:17" ht="15" customHeight="1" x14ac:dyDescent="0.35">
      <c r="A8" s="18">
        <v>2025</v>
      </c>
      <c r="B8" s="4" t="s">
        <v>23</v>
      </c>
      <c r="C8" s="5">
        <f>145*400+0.71*100+241*100+0.83*400+132*400</f>
        <v>135303</v>
      </c>
      <c r="D8" s="5">
        <v>133030</v>
      </c>
      <c r="E8" s="5">
        <v>116155</v>
      </c>
      <c r="F8" s="13">
        <f t="shared" si="5"/>
        <v>-1.7086371495151468E-2</v>
      </c>
      <c r="H8" s="4" t="s">
        <v>23</v>
      </c>
      <c r="I8" s="9">
        <f>14150.75-155.2-13-165.79-10.5-143.4-0.7-47.25</f>
        <v>13614.909999999998</v>
      </c>
      <c r="J8" s="9">
        <v>13295.83</v>
      </c>
      <c r="K8" s="9">
        <v>12224.14</v>
      </c>
      <c r="L8" s="14">
        <f t="shared" si="0"/>
        <v>-0.11377242080015434</v>
      </c>
      <c r="N8" s="11">
        <f t="shared" si="4"/>
        <v>0.10062533720612254</v>
      </c>
      <c r="O8" s="11">
        <f t="shared" si="1"/>
        <v>9.9946102382921148E-2</v>
      </c>
      <c r="P8" s="11">
        <f t="shared" si="2"/>
        <v>0.10523989496793078</v>
      </c>
      <c r="Q8" s="13">
        <f t="shared" si="3"/>
        <v>4.3847989046496137E-2</v>
      </c>
    </row>
    <row r="9" spans="1:17" x14ac:dyDescent="0.35">
      <c r="A9" s="18">
        <v>2025</v>
      </c>
      <c r="B9" s="2" t="s">
        <v>24</v>
      </c>
      <c r="C9" s="3">
        <f>3.71*400+226*400+0.71*100+199*100</f>
        <v>111855</v>
      </c>
      <c r="D9" s="3">
        <v>122301</v>
      </c>
      <c r="E9" s="3">
        <v>121601</v>
      </c>
      <c r="F9" s="13">
        <f t="shared" si="5"/>
        <v>8.5412220668678096E-2</v>
      </c>
      <c r="H9" s="2" t="s">
        <v>24</v>
      </c>
      <c r="I9" s="8">
        <f>28150.73-160.7-13-171.92-10.5-143.4-0.73-47.25</f>
        <v>27603.23</v>
      </c>
      <c r="J9" s="8">
        <v>12466</v>
      </c>
      <c r="K9" s="8">
        <v>12840.9</v>
      </c>
      <c r="L9" s="14">
        <f t="shared" si="0"/>
        <v>-1.1496335926609507</v>
      </c>
      <c r="N9" s="11">
        <f t="shared" si="4"/>
        <v>0.24677689866344821</v>
      </c>
      <c r="O9" s="11">
        <f t="shared" si="1"/>
        <v>0.10192884767908685</v>
      </c>
      <c r="P9" s="11">
        <f t="shared" si="2"/>
        <v>0.105598638169094</v>
      </c>
      <c r="Q9" s="13">
        <f t="shared" si="3"/>
        <v>-1.336932586841574</v>
      </c>
    </row>
    <row r="10" spans="1:17" x14ac:dyDescent="0.35">
      <c r="A10" s="18">
        <v>2025</v>
      </c>
      <c r="B10" s="4" t="s">
        <v>25</v>
      </c>
      <c r="C10" s="5">
        <f>0.68*400+182*400+0.64*100+155*100</f>
        <v>88636</v>
      </c>
      <c r="D10" s="5">
        <v>128036</v>
      </c>
      <c r="E10" s="5">
        <v>129002</v>
      </c>
      <c r="F10" s="13">
        <f t="shared" si="5"/>
        <v>0.30772595207597864</v>
      </c>
      <c r="H10" s="4" t="s">
        <v>25</v>
      </c>
      <c r="I10" s="9">
        <f>10721.52-199.61-13-215.25-10.5-143.4-0.9-47.25</f>
        <v>10091.61</v>
      </c>
      <c r="J10" s="9">
        <v>13073.98</v>
      </c>
      <c r="K10" s="9">
        <v>13914.59</v>
      </c>
      <c r="L10" s="14">
        <f t="shared" si="0"/>
        <v>0.2747461477485143</v>
      </c>
      <c r="N10" s="11">
        <f t="shared" si="4"/>
        <v>0.11385452863396363</v>
      </c>
      <c r="O10" s="11">
        <f t="shared" si="1"/>
        <v>0.10211174982036302</v>
      </c>
      <c r="P10" s="11">
        <f t="shared" si="2"/>
        <v>0.10786336645943474</v>
      </c>
      <c r="Q10" s="13">
        <f t="shared" si="3"/>
        <v>-5.55439939544446E-2</v>
      </c>
    </row>
    <row r="11" spans="1:17" x14ac:dyDescent="0.35">
      <c r="A11" s="18">
        <v>2025</v>
      </c>
      <c r="B11" s="2" t="s">
        <v>26</v>
      </c>
      <c r="C11" s="3">
        <f>0.74*400+172*400+0.58*100+143*100</f>
        <v>83454</v>
      </c>
      <c r="D11" s="3">
        <v>104134</v>
      </c>
      <c r="E11" s="3">
        <v>151534</v>
      </c>
      <c r="F11" s="13">
        <f t="shared" si="5"/>
        <v>0.19859027791115294</v>
      </c>
      <c r="H11" s="2" t="s">
        <v>26</v>
      </c>
      <c r="I11" s="8">
        <f>10487.93-210.49-13-227.49-10.5-143.4-0.95-47.25</f>
        <v>9834.85</v>
      </c>
      <c r="J11" s="8">
        <v>11368.74</v>
      </c>
      <c r="K11" s="8">
        <v>15656.6</v>
      </c>
      <c r="L11" s="14">
        <f t="shared" si="0"/>
        <v>0.37183999080260083</v>
      </c>
      <c r="N11" s="11">
        <f t="shared" si="4"/>
        <v>0.11784755673784361</v>
      </c>
      <c r="O11" s="11">
        <f t="shared" si="1"/>
        <v>0.10917414101062092</v>
      </c>
      <c r="P11" s="11">
        <f t="shared" si="2"/>
        <v>0.10332070690406114</v>
      </c>
      <c r="Q11" s="13">
        <f t="shared" si="3"/>
        <v>-0.14059959778702863</v>
      </c>
    </row>
    <row r="12" spans="1:17" x14ac:dyDescent="0.35">
      <c r="A12" s="18">
        <v>2025</v>
      </c>
      <c r="B12" s="4" t="s">
        <v>27</v>
      </c>
      <c r="C12" s="5">
        <f>0.99*400+191*400+0.55*100+169*100</f>
        <v>93751</v>
      </c>
      <c r="D12" s="5">
        <v>90192</v>
      </c>
      <c r="E12" s="5">
        <v>135047</v>
      </c>
      <c r="F12" s="13">
        <f t="shared" si="5"/>
        <v>-3.9460262551002309E-2</v>
      </c>
      <c r="H12" s="4" t="s">
        <v>27</v>
      </c>
      <c r="I12" s="9">
        <f>12342.95-131.09-13-138.95-10.5-143.4-0.6-47.25</f>
        <v>11858.16</v>
      </c>
      <c r="J12" s="9">
        <v>8952.81</v>
      </c>
      <c r="K12" s="9">
        <v>13419.61</v>
      </c>
      <c r="L12" s="14">
        <f t="shared" si="0"/>
        <v>0.11635584044543773</v>
      </c>
      <c r="N12" s="11">
        <f t="shared" si="4"/>
        <v>0.12648569081929792</v>
      </c>
      <c r="O12" s="11">
        <f t="shared" si="1"/>
        <v>9.9263903672166046E-2</v>
      </c>
      <c r="P12" s="11">
        <f t="shared" si="2"/>
        <v>9.9369923063822224E-2</v>
      </c>
      <c r="Q12" s="13">
        <f t="shared" si="3"/>
        <v>-0.27287701267575781</v>
      </c>
    </row>
    <row r="13" spans="1:17" x14ac:dyDescent="0.35">
      <c r="A13" s="18">
        <v>2025</v>
      </c>
      <c r="B13" s="2" t="s">
        <v>28</v>
      </c>
      <c r="C13" s="3">
        <f>0.82*400+217*400+0.68*100+164*100</f>
        <v>103596</v>
      </c>
      <c r="D13" s="3">
        <v>137417</v>
      </c>
      <c r="E13" s="3">
        <v>171351</v>
      </c>
      <c r="F13" s="13">
        <f t="shared" si="5"/>
        <v>0.24611947575627469</v>
      </c>
      <c r="H13" s="2" t="s">
        <v>28</v>
      </c>
      <c r="I13" s="8">
        <f>11828.28-2.29-13-2.36-10.5-143.4-0.05-47.25</f>
        <v>11609.43</v>
      </c>
      <c r="J13" s="8">
        <v>13139.87</v>
      </c>
      <c r="K13" s="8">
        <v>16334.53</v>
      </c>
      <c r="L13" s="14">
        <f t="shared" si="0"/>
        <v>0.28927064323246521</v>
      </c>
      <c r="N13" s="11">
        <f t="shared" si="4"/>
        <v>0.11206446194833777</v>
      </c>
      <c r="O13" s="11">
        <f t="shared" si="1"/>
        <v>9.5620410866195604E-2</v>
      </c>
      <c r="P13" s="11">
        <f t="shared" si="2"/>
        <v>9.5327894205461311E-2</v>
      </c>
      <c r="Q13" s="13">
        <f t="shared" si="3"/>
        <v>-0.17556841974085721</v>
      </c>
    </row>
    <row r="14" spans="1:17" ht="15" thickBot="1" x14ac:dyDescent="0.4">
      <c r="A14" s="18">
        <v>2025</v>
      </c>
      <c r="B14" s="4" t="s">
        <v>29</v>
      </c>
      <c r="C14" s="5">
        <v>126871</v>
      </c>
      <c r="D14" s="5">
        <v>144313</v>
      </c>
      <c r="E14" s="5">
        <v>191881</v>
      </c>
      <c r="F14" s="13">
        <f t="shared" si="5"/>
        <v>0.12086229237837201</v>
      </c>
      <c r="H14" s="4" t="s">
        <v>29</v>
      </c>
      <c r="I14" s="9">
        <f>13592.34-17.4-13-17.9-10.5-47.25-143.4</f>
        <v>13342.890000000001</v>
      </c>
      <c r="J14" s="9">
        <v>14896.35</v>
      </c>
      <c r="K14" s="9">
        <v>19146</v>
      </c>
      <c r="L14" s="14">
        <f t="shared" si="0"/>
        <v>0.30309777499216539</v>
      </c>
      <c r="N14" s="11">
        <f t="shared" si="4"/>
        <v>0.10516895113934628</v>
      </c>
      <c r="O14" s="11">
        <f t="shared" si="1"/>
        <v>0.10322250940663696</v>
      </c>
      <c r="P14" s="11">
        <f t="shared" si="2"/>
        <v>9.9780593180148119E-2</v>
      </c>
      <c r="Q14" s="13">
        <f t="shared" si="3"/>
        <v>-5.4002063802825781E-2</v>
      </c>
    </row>
    <row r="15" spans="1:17" x14ac:dyDescent="0.35">
      <c r="B15" s="6" t="s">
        <v>2</v>
      </c>
      <c r="C15" s="7">
        <f>SUM(C3:C14)</f>
        <v>1329550</v>
      </c>
      <c r="D15" s="7">
        <f>SUM(D3:D14)</f>
        <v>1539636</v>
      </c>
      <c r="E15" s="7">
        <f>SUM(E3:E14)</f>
        <v>1627504</v>
      </c>
      <c r="F15" s="55">
        <f>(D15-C15)/D15</f>
        <v>0.13645173274722078</v>
      </c>
      <c r="H15" s="6" t="s">
        <v>2</v>
      </c>
      <c r="I15" s="10">
        <f>SUM(I3:I14)</f>
        <v>161803.30000000002</v>
      </c>
      <c r="J15" s="10">
        <f>SUM(J3:J14)</f>
        <v>157103.81000000003</v>
      </c>
      <c r="K15" s="10">
        <f>SUM(K3:K14)</f>
        <v>173656.9</v>
      </c>
      <c r="L15" s="58">
        <f t="shared" si="0"/>
        <v>6.8258733168679031E-2</v>
      </c>
      <c r="N15" s="59">
        <f t="shared" si="4"/>
        <v>0.12169779248617955</v>
      </c>
      <c r="O15" s="59">
        <f t="shared" si="1"/>
        <v>0.10203957948502115</v>
      </c>
      <c r="P15" s="59">
        <f t="shared" si="2"/>
        <v>0.10670136601814803</v>
      </c>
      <c r="Q15" s="55">
        <f t="shared" si="3"/>
        <v>-0.14054577769398843</v>
      </c>
    </row>
  </sheetData>
  <conditionalFormatting sqref="F3:F15">
    <cfRule type="cellIs" dxfId="37" priority="5" operator="greaterThan">
      <formula>0</formula>
    </cfRule>
    <cfRule type="cellIs" dxfId="36" priority="6" operator="lessThan">
      <formula>0</formula>
    </cfRule>
  </conditionalFormatting>
  <conditionalFormatting sqref="L3:L15">
    <cfRule type="cellIs" dxfId="35" priority="3" operator="greaterThan">
      <formula>0</formula>
    </cfRule>
    <cfRule type="cellIs" dxfId="34" priority="4" operator="lessThan">
      <formula>0</formula>
    </cfRule>
  </conditionalFormatting>
  <conditionalFormatting sqref="Q3:Q15">
    <cfRule type="cellIs" dxfId="33" priority="1" operator="greaterThan">
      <formula>0</formula>
    </cfRule>
    <cfRule type="cellIs" dxfId="32" priority="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Q15"/>
  <sheetViews>
    <sheetView workbookViewId="0">
      <selection activeCell="Q16" sqref="Q16"/>
    </sheetView>
  </sheetViews>
  <sheetFormatPr defaultRowHeight="14.5" x14ac:dyDescent="0.35"/>
  <cols>
    <col min="2" max="6" width="15.7265625" customWidth="1"/>
    <col min="8" max="12" width="15.7265625" customWidth="1"/>
    <col min="17" max="17" width="10.54296875" bestFit="1" customWidth="1"/>
  </cols>
  <sheetData>
    <row r="1" spans="1:17" x14ac:dyDescent="0.35">
      <c r="C1" s="24" t="s">
        <v>40</v>
      </c>
      <c r="D1" s="24" t="s">
        <v>30</v>
      </c>
      <c r="E1" s="24" t="s">
        <v>31</v>
      </c>
      <c r="I1" s="24" t="s">
        <v>40</v>
      </c>
      <c r="J1" s="24" t="s">
        <v>30</v>
      </c>
      <c r="K1" s="24" t="s">
        <v>31</v>
      </c>
      <c r="N1" s="17" t="s">
        <v>41</v>
      </c>
      <c r="O1" s="17" t="s">
        <v>14</v>
      </c>
      <c r="P1" s="17" t="s">
        <v>15</v>
      </c>
    </row>
    <row r="2" spans="1:17" ht="15" thickBot="1" x14ac:dyDescent="0.4">
      <c r="B2" s="1" t="s">
        <v>0</v>
      </c>
      <c r="C2" s="1" t="s">
        <v>10</v>
      </c>
      <c r="D2" s="1" t="s">
        <v>10</v>
      </c>
      <c r="E2" s="1" t="s">
        <v>10</v>
      </c>
      <c r="F2" s="1" t="s">
        <v>1</v>
      </c>
      <c r="H2" s="1" t="s">
        <v>0</v>
      </c>
      <c r="I2" s="1" t="s">
        <v>39</v>
      </c>
      <c r="J2" s="1" t="s">
        <v>39</v>
      </c>
      <c r="K2" s="1" t="s">
        <v>39</v>
      </c>
      <c r="L2" s="1" t="s">
        <v>1</v>
      </c>
      <c r="N2" s="33" t="s">
        <v>12</v>
      </c>
      <c r="O2" s="33" t="s">
        <v>12</v>
      </c>
      <c r="P2" s="33" t="s">
        <v>12</v>
      </c>
      <c r="Q2" s="34" t="s">
        <v>1</v>
      </c>
    </row>
    <row r="3" spans="1:17" x14ac:dyDescent="0.35">
      <c r="A3" s="18">
        <v>2024</v>
      </c>
      <c r="B3" s="2" t="s">
        <v>18</v>
      </c>
      <c r="C3" s="3">
        <f>40*116+40*0.35</f>
        <v>4654</v>
      </c>
      <c r="D3" s="3">
        <v>4195</v>
      </c>
      <c r="E3" s="3">
        <v>4476</v>
      </c>
      <c r="F3" s="13">
        <f t="shared" ref="F3:F15" si="0">(E3-C3)/E3</f>
        <v>-3.9767649687220734E-2</v>
      </c>
      <c r="H3" s="2" t="s">
        <v>18</v>
      </c>
      <c r="I3" s="8">
        <v>486.71</v>
      </c>
      <c r="J3" s="8">
        <v>448.42</v>
      </c>
      <c r="K3" s="8">
        <v>459.86</v>
      </c>
      <c r="L3" s="13">
        <f t="shared" ref="L3:L15" si="1">(K3-I3)/K3</f>
        <v>-5.8387335275953474E-2</v>
      </c>
      <c r="N3" s="53">
        <f>IFERROR(I3/C3,0)</f>
        <v>0.10457885689729264</v>
      </c>
      <c r="O3" s="11">
        <f t="shared" ref="O3:O15" si="2">J3/D3</f>
        <v>0.10689392133492254</v>
      </c>
      <c r="P3" s="11">
        <f t="shared" ref="P3:P15" si="3">K3/E3</f>
        <v>0.1027390527256479</v>
      </c>
      <c r="Q3" s="13">
        <f t="shared" ref="Q3:Q15" si="4">(P3-N3)/P3</f>
        <v>-1.7907544627238418E-2</v>
      </c>
    </row>
    <row r="4" spans="1:17" x14ac:dyDescent="0.35">
      <c r="A4" s="18">
        <v>2024</v>
      </c>
      <c r="B4" s="4" t="s">
        <v>19</v>
      </c>
      <c r="C4" s="5">
        <f>40*(99+0.3)</f>
        <v>3972</v>
      </c>
      <c r="D4" s="5">
        <v>3824</v>
      </c>
      <c r="E4" s="5">
        <v>4295</v>
      </c>
      <c r="F4" s="13">
        <f t="shared" si="0"/>
        <v>7.5203725261932475E-2</v>
      </c>
      <c r="H4" s="4" t="s">
        <v>19</v>
      </c>
      <c r="I4" s="9">
        <v>421.69</v>
      </c>
      <c r="J4" s="9">
        <v>422.01</v>
      </c>
      <c r="K4" s="9">
        <v>479.11</v>
      </c>
      <c r="L4" s="13">
        <f t="shared" si="1"/>
        <v>0.11984721671432451</v>
      </c>
      <c r="N4" s="53">
        <f t="shared" ref="N4:N15" si="5">IFERROR(I4/C4,0)</f>
        <v>0.10616565961732125</v>
      </c>
      <c r="O4" s="11">
        <f t="shared" si="2"/>
        <v>0.11035826359832636</v>
      </c>
      <c r="P4" s="11">
        <f t="shared" si="3"/>
        <v>0.11155064027939465</v>
      </c>
      <c r="Q4" s="13">
        <f t="shared" si="4"/>
        <v>4.8273866009069494E-2</v>
      </c>
    </row>
    <row r="5" spans="1:17" x14ac:dyDescent="0.35">
      <c r="A5" s="18">
        <v>2024</v>
      </c>
      <c r="B5" s="2" t="s">
        <v>20</v>
      </c>
      <c r="C5" s="3">
        <f>40*(88+0.35)</f>
        <v>3534</v>
      </c>
      <c r="D5" s="3">
        <v>3539</v>
      </c>
      <c r="E5" s="3">
        <v>4409</v>
      </c>
      <c r="F5" s="13">
        <f t="shared" si="0"/>
        <v>0.19845770015876615</v>
      </c>
      <c r="H5" s="2" t="s">
        <v>20</v>
      </c>
      <c r="I5" s="8">
        <v>398.58</v>
      </c>
      <c r="J5" s="8">
        <v>409.25</v>
      </c>
      <c r="K5" s="8">
        <v>482.54</v>
      </c>
      <c r="L5" s="13">
        <f t="shared" si="1"/>
        <v>0.17399593816056708</v>
      </c>
      <c r="N5" s="53">
        <f t="shared" si="5"/>
        <v>0.11278438030560271</v>
      </c>
      <c r="O5" s="11">
        <f t="shared" si="2"/>
        <v>0.11564001130262785</v>
      </c>
      <c r="P5" s="11">
        <f t="shared" si="3"/>
        <v>0.10944431843955546</v>
      </c>
      <c r="Q5" s="13">
        <f t="shared" si="4"/>
        <v>-3.0518366907204247E-2</v>
      </c>
    </row>
    <row r="6" spans="1:17" x14ac:dyDescent="0.35">
      <c r="A6" s="18">
        <v>2024</v>
      </c>
      <c r="B6" s="4" t="s">
        <v>21</v>
      </c>
      <c r="C6" s="5">
        <f>40*(94+0.35)</f>
        <v>3774</v>
      </c>
      <c r="D6" s="5">
        <v>3826</v>
      </c>
      <c r="E6" s="5">
        <v>4433</v>
      </c>
      <c r="F6" s="13">
        <f t="shared" si="0"/>
        <v>0.14865779381908414</v>
      </c>
      <c r="H6" s="4" t="s">
        <v>21</v>
      </c>
      <c r="I6" s="9">
        <v>417.74</v>
      </c>
      <c r="J6" s="9">
        <v>442.68</v>
      </c>
      <c r="K6" s="9">
        <v>464.41</v>
      </c>
      <c r="L6" s="13">
        <f t="shared" si="1"/>
        <v>0.10049309877048301</v>
      </c>
      <c r="N6" s="53">
        <f t="shared" si="5"/>
        <v>0.11068892421833598</v>
      </c>
      <c r="O6" s="11">
        <f t="shared" si="2"/>
        <v>0.11570308416100367</v>
      </c>
      <c r="P6" s="11">
        <f t="shared" si="3"/>
        <v>0.10476201218136702</v>
      </c>
      <c r="Q6" s="13">
        <f t="shared" si="4"/>
        <v>-5.6575011433611266E-2</v>
      </c>
    </row>
    <row r="7" spans="1:17" x14ac:dyDescent="0.35">
      <c r="A7" s="18">
        <v>2025</v>
      </c>
      <c r="B7" s="2" t="s">
        <v>22</v>
      </c>
      <c r="C7" s="3">
        <f>40*(100+0.3)</f>
        <v>4012</v>
      </c>
      <c r="D7" s="3">
        <v>4190</v>
      </c>
      <c r="E7" s="3">
        <v>5051</v>
      </c>
      <c r="F7" s="13">
        <f t="shared" si="0"/>
        <v>0.20570184121956048</v>
      </c>
      <c r="H7" s="2" t="s">
        <v>22</v>
      </c>
      <c r="I7" s="8">
        <v>420.72</v>
      </c>
      <c r="J7" s="8">
        <v>458.68</v>
      </c>
      <c r="K7" s="8">
        <v>528.27</v>
      </c>
      <c r="L7" s="13">
        <f t="shared" si="1"/>
        <v>0.20358907376909527</v>
      </c>
      <c r="N7" s="53">
        <f t="shared" si="5"/>
        <v>0.1048654037886341</v>
      </c>
      <c r="O7" s="11">
        <f t="shared" si="2"/>
        <v>0.10947016706443914</v>
      </c>
      <c r="P7" s="11">
        <f t="shared" si="3"/>
        <v>0.10458721045337556</v>
      </c>
      <c r="Q7" s="13">
        <f t="shared" si="4"/>
        <v>-2.6599173460368402E-3</v>
      </c>
    </row>
    <row r="8" spans="1:17" x14ac:dyDescent="0.35">
      <c r="A8" s="18">
        <v>2025</v>
      </c>
      <c r="B8" s="4" t="s">
        <v>23</v>
      </c>
      <c r="C8" s="5">
        <f>40*(107+0.44)</f>
        <v>4297.6000000000004</v>
      </c>
      <c r="D8" s="5">
        <v>3819</v>
      </c>
      <c r="E8" s="5">
        <v>4015</v>
      </c>
      <c r="F8" s="13">
        <f t="shared" si="0"/>
        <v>-7.0386052303860608E-2</v>
      </c>
      <c r="H8" s="4" t="s">
        <v>23</v>
      </c>
      <c r="I8" s="9">
        <v>469.67</v>
      </c>
      <c r="J8" s="9">
        <v>435.2</v>
      </c>
      <c r="K8" s="9">
        <v>430.37</v>
      </c>
      <c r="L8" s="13">
        <f t="shared" si="1"/>
        <v>-9.1316773938703938E-2</v>
      </c>
      <c r="N8" s="53">
        <f t="shared" si="5"/>
        <v>0.10928657855547282</v>
      </c>
      <c r="O8" s="11">
        <f t="shared" si="2"/>
        <v>0.11395653312385441</v>
      </c>
      <c r="P8" s="11">
        <f t="shared" si="3"/>
        <v>0.10719053549190535</v>
      </c>
      <c r="Q8" s="13">
        <f t="shared" si="4"/>
        <v>-1.9554366940593822E-2</v>
      </c>
    </row>
    <row r="9" spans="1:17" x14ac:dyDescent="0.35">
      <c r="A9" s="18">
        <v>2025</v>
      </c>
      <c r="B9" s="2" t="s">
        <v>24</v>
      </c>
      <c r="C9" s="3">
        <f>40*(94+0.38)</f>
        <v>3775.2</v>
      </c>
      <c r="D9" s="3">
        <v>3571</v>
      </c>
      <c r="E9" s="3">
        <v>3849</v>
      </c>
      <c r="F9" s="13">
        <f t="shared" si="0"/>
        <v>1.9173811379579159E-2</v>
      </c>
      <c r="H9" s="2" t="s">
        <v>24</v>
      </c>
      <c r="I9" s="8">
        <v>421.78</v>
      </c>
      <c r="J9" s="8">
        <v>421.91</v>
      </c>
      <c r="K9" s="8">
        <v>414.27</v>
      </c>
      <c r="L9" s="13">
        <f t="shared" si="1"/>
        <v>-1.812827383107633E-2</v>
      </c>
      <c r="N9" s="53">
        <f t="shared" si="5"/>
        <v>0.11172388217842763</v>
      </c>
      <c r="O9" s="11">
        <f t="shared" si="2"/>
        <v>0.11814897787734528</v>
      </c>
      <c r="P9" s="11">
        <f t="shared" si="3"/>
        <v>0.10763055339049103</v>
      </c>
      <c r="Q9" s="13">
        <f t="shared" si="4"/>
        <v>-3.8031289991474079E-2</v>
      </c>
    </row>
    <row r="10" spans="1:17" x14ac:dyDescent="0.35">
      <c r="A10" s="18">
        <v>2025</v>
      </c>
      <c r="B10" s="4" t="s">
        <v>25</v>
      </c>
      <c r="C10" s="5">
        <f>40*(89+0.3)</f>
        <v>3572</v>
      </c>
      <c r="D10" s="5">
        <v>3537</v>
      </c>
      <c r="E10" s="5">
        <v>3821</v>
      </c>
      <c r="F10" s="13">
        <f t="shared" si="0"/>
        <v>6.5166186862077993E-2</v>
      </c>
      <c r="H10" s="4" t="s">
        <v>25</v>
      </c>
      <c r="I10" s="9">
        <v>386.75</v>
      </c>
      <c r="J10" s="9">
        <v>388.7</v>
      </c>
      <c r="K10" s="9">
        <v>432.18</v>
      </c>
      <c r="L10" s="13">
        <f t="shared" si="1"/>
        <v>0.10511823777129901</v>
      </c>
      <c r="N10" s="53">
        <f t="shared" si="5"/>
        <v>0.10827267637178052</v>
      </c>
      <c r="O10" s="11">
        <f t="shared" si="2"/>
        <v>0.10989539157478088</v>
      </c>
      <c r="P10" s="11">
        <f t="shared" si="3"/>
        <v>0.1131065166186862</v>
      </c>
      <c r="Q10" s="13">
        <f t="shared" si="4"/>
        <v>4.2737062296789793E-2</v>
      </c>
    </row>
    <row r="11" spans="1:17" x14ac:dyDescent="0.35">
      <c r="A11" s="18">
        <v>2025</v>
      </c>
      <c r="B11" s="2" t="s">
        <v>26</v>
      </c>
      <c r="C11" s="3">
        <f>40*(87+0.24)</f>
        <v>3489.6</v>
      </c>
      <c r="D11" s="3">
        <v>3808</v>
      </c>
      <c r="E11" s="3">
        <v>4193</v>
      </c>
      <c r="F11" s="13">
        <f t="shared" si="0"/>
        <v>0.16775578344860484</v>
      </c>
      <c r="H11" s="2" t="s">
        <v>26</v>
      </c>
      <c r="I11" s="8">
        <v>358.44</v>
      </c>
      <c r="J11" s="8">
        <v>408.1</v>
      </c>
      <c r="K11" s="8">
        <v>457.92</v>
      </c>
      <c r="L11" s="13">
        <f t="shared" si="1"/>
        <v>0.21724318658280925</v>
      </c>
      <c r="N11" s="53">
        <f t="shared" si="5"/>
        <v>0.10271664374140303</v>
      </c>
      <c r="O11" s="11">
        <f t="shared" si="2"/>
        <v>0.10716911764705883</v>
      </c>
      <c r="P11" s="11">
        <f t="shared" si="3"/>
        <v>0.10921058907703315</v>
      </c>
      <c r="Q11" s="13">
        <f t="shared" si="4"/>
        <v>5.9462597816861244E-2</v>
      </c>
    </row>
    <row r="12" spans="1:17" x14ac:dyDescent="0.35">
      <c r="A12" s="18">
        <v>2025</v>
      </c>
      <c r="B12" s="4" t="s">
        <v>27</v>
      </c>
      <c r="C12" s="5">
        <f>40*(95+0.26)</f>
        <v>3810.4</v>
      </c>
      <c r="D12" s="5">
        <v>4563</v>
      </c>
      <c r="E12" s="5">
        <v>4063</v>
      </c>
      <c r="F12" s="13">
        <f t="shared" si="0"/>
        <v>6.2170809746492715E-2</v>
      </c>
      <c r="H12" s="4" t="s">
        <v>27</v>
      </c>
      <c r="I12" s="9">
        <v>392.41</v>
      </c>
      <c r="J12" s="9">
        <v>475.23</v>
      </c>
      <c r="K12" s="9">
        <v>429.44</v>
      </c>
      <c r="L12" s="13">
        <f t="shared" si="1"/>
        <v>8.6228576751117669E-2</v>
      </c>
      <c r="N12" s="53">
        <f t="shared" si="5"/>
        <v>0.10298393869410036</v>
      </c>
      <c r="O12" s="11">
        <f t="shared" si="2"/>
        <v>0.10414858645627877</v>
      </c>
      <c r="P12" s="11">
        <f t="shared" si="3"/>
        <v>0.10569529904011814</v>
      </c>
      <c r="Q12" s="13">
        <f t="shared" si="4"/>
        <v>2.5652610576262669E-2</v>
      </c>
    </row>
    <row r="13" spans="1:17" x14ac:dyDescent="0.35">
      <c r="A13" s="18">
        <v>2025</v>
      </c>
      <c r="B13" s="2" t="s">
        <v>28</v>
      </c>
      <c r="C13" s="3">
        <f>40*(111+0.3)</f>
        <v>4452</v>
      </c>
      <c r="D13" s="3">
        <v>5114</v>
      </c>
      <c r="E13" s="3">
        <v>5191</v>
      </c>
      <c r="F13" s="13">
        <f t="shared" si="0"/>
        <v>0.14236178000385283</v>
      </c>
      <c r="H13" s="2" t="s">
        <v>28</v>
      </c>
      <c r="I13" s="8">
        <v>449.39</v>
      </c>
      <c r="J13" s="8">
        <v>521.79</v>
      </c>
      <c r="K13" s="8">
        <v>534.29</v>
      </c>
      <c r="L13" s="13">
        <f t="shared" si="1"/>
        <v>0.15890246869677513</v>
      </c>
      <c r="N13" s="53">
        <f t="shared" si="5"/>
        <v>0.10094115004492363</v>
      </c>
      <c r="O13" s="11">
        <f t="shared" si="2"/>
        <v>0.10203167774736017</v>
      </c>
      <c r="P13" s="11">
        <f t="shared" si="3"/>
        <v>0.1029262184550183</v>
      </c>
      <c r="Q13" s="13">
        <f t="shared" si="4"/>
        <v>1.928632412510331E-2</v>
      </c>
    </row>
    <row r="14" spans="1:17" ht="15" thickBot="1" x14ac:dyDescent="0.4">
      <c r="A14" s="18">
        <v>2025</v>
      </c>
      <c r="B14" s="4" t="s">
        <v>29</v>
      </c>
      <c r="C14" s="5">
        <f>40*128+40*0.35</f>
        <v>5134</v>
      </c>
      <c r="D14" s="5">
        <v>4531</v>
      </c>
      <c r="E14" s="5">
        <v>5167</v>
      </c>
      <c r="F14" s="13">
        <f t="shared" si="0"/>
        <v>6.3866847300174182E-3</v>
      </c>
      <c r="H14" s="4" t="s">
        <v>29</v>
      </c>
      <c r="I14" s="9">
        <v>522.63</v>
      </c>
      <c r="J14" s="9">
        <v>471.55</v>
      </c>
      <c r="K14" s="9">
        <v>532.16</v>
      </c>
      <c r="L14" s="13">
        <f t="shared" si="1"/>
        <v>1.7908147925435908E-2</v>
      </c>
      <c r="N14" s="53">
        <f t="shared" si="5"/>
        <v>0.1017978184651344</v>
      </c>
      <c r="O14" s="11">
        <f t="shared" si="2"/>
        <v>0.10407194879717502</v>
      </c>
      <c r="P14" s="11">
        <f t="shared" si="3"/>
        <v>0.1029920650280627</v>
      </c>
      <c r="Q14" s="13">
        <f t="shared" si="4"/>
        <v>1.1595520126748558E-2</v>
      </c>
    </row>
    <row r="15" spans="1:17" x14ac:dyDescent="0.35">
      <c r="B15" s="6" t="s">
        <v>2</v>
      </c>
      <c r="C15" s="7">
        <f>SUM(C3:C14)</f>
        <v>48476.800000000003</v>
      </c>
      <c r="D15" s="7">
        <f>SUM(D3:D14)</f>
        <v>48517</v>
      </c>
      <c r="E15" s="7">
        <f>SUM(E3:E14)</f>
        <v>52963</v>
      </c>
      <c r="F15" s="55">
        <f t="shared" si="0"/>
        <v>8.4704416290617923E-2</v>
      </c>
      <c r="H15" s="6" t="s">
        <v>2</v>
      </c>
      <c r="I15" s="10">
        <f>SUM(I3:I14)</f>
        <v>5146.5100000000011</v>
      </c>
      <c r="J15" s="10">
        <f>SUM(J3:J14)</f>
        <v>5303.5199999999995</v>
      </c>
      <c r="K15" s="10">
        <f>SUM(K3:K14)</f>
        <v>5644.8199999999988</v>
      </c>
      <c r="L15" s="55">
        <f t="shared" si="1"/>
        <v>8.8277394141885443E-2</v>
      </c>
      <c r="N15" s="54">
        <f t="shared" si="5"/>
        <v>0.1061643920390785</v>
      </c>
      <c r="O15" s="12">
        <f t="shared" si="2"/>
        <v>0.10931261207411834</v>
      </c>
      <c r="P15" s="12">
        <f t="shared" si="3"/>
        <v>0.10658044295073918</v>
      </c>
      <c r="Q15" s="13">
        <f t="shared" si="4"/>
        <v>3.9036327879869554E-3</v>
      </c>
    </row>
  </sheetData>
  <conditionalFormatting sqref="F3:F15">
    <cfRule type="cellIs" dxfId="31" priority="5" operator="greaterThan">
      <formula>0</formula>
    </cfRule>
    <cfRule type="cellIs" dxfId="30" priority="6" operator="lessThan">
      <formula>0</formula>
    </cfRule>
  </conditionalFormatting>
  <conditionalFormatting sqref="L3:L15">
    <cfRule type="cellIs" dxfId="29" priority="3" operator="greaterThan">
      <formula>0</formula>
    </cfRule>
    <cfRule type="cellIs" dxfId="28" priority="4" operator="lessThan">
      <formula>0</formula>
    </cfRule>
  </conditionalFormatting>
  <conditionalFormatting sqref="Q3:Q15">
    <cfRule type="cellIs" dxfId="27" priority="1" operator="greaterThan">
      <formula>0</formula>
    </cfRule>
    <cfRule type="cellIs" dxfId="26" priority="2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Q15"/>
  <sheetViews>
    <sheetView workbookViewId="0">
      <selection activeCell="Q16" sqref="Q16"/>
    </sheetView>
  </sheetViews>
  <sheetFormatPr defaultRowHeight="14.5" x14ac:dyDescent="0.35"/>
  <cols>
    <col min="2" max="6" width="15.7265625" customWidth="1"/>
    <col min="8" max="13" width="15.7265625" customWidth="1"/>
    <col min="14" max="14" width="10.26953125" customWidth="1"/>
    <col min="16" max="16" width="10.453125" customWidth="1"/>
    <col min="17" max="17" width="12" customWidth="1"/>
  </cols>
  <sheetData>
    <row r="1" spans="1:17" x14ac:dyDescent="0.35">
      <c r="C1" t="s">
        <v>40</v>
      </c>
      <c r="D1" s="24" t="s">
        <v>30</v>
      </c>
      <c r="E1" s="24" t="s">
        <v>31</v>
      </c>
      <c r="I1" t="s">
        <v>40</v>
      </c>
      <c r="J1" s="24" t="s">
        <v>30</v>
      </c>
      <c r="K1" s="24" t="s">
        <v>31</v>
      </c>
      <c r="N1" s="17" t="s">
        <v>41</v>
      </c>
      <c r="O1" s="17" t="s">
        <v>14</v>
      </c>
      <c r="P1" s="17" t="s">
        <v>15</v>
      </c>
    </row>
    <row r="2" spans="1:17" ht="15" thickBot="1" x14ac:dyDescent="0.4">
      <c r="B2" s="1" t="s">
        <v>0</v>
      </c>
      <c r="C2" s="1" t="s">
        <v>10</v>
      </c>
      <c r="D2" s="1" t="s">
        <v>10</v>
      </c>
      <c r="E2" s="1" t="s">
        <v>10</v>
      </c>
      <c r="F2" s="1" t="s">
        <v>1</v>
      </c>
      <c r="H2" s="1" t="s">
        <v>0</v>
      </c>
      <c r="I2" s="1" t="s">
        <v>39</v>
      </c>
      <c r="J2" s="1" t="s">
        <v>39</v>
      </c>
      <c r="K2" s="1" t="s">
        <v>39</v>
      </c>
      <c r="L2" s="1" t="s">
        <v>1</v>
      </c>
      <c r="M2" s="17"/>
      <c r="N2" s="36" t="s">
        <v>12</v>
      </c>
      <c r="O2" s="33" t="s">
        <v>12</v>
      </c>
      <c r="P2" s="33" t="s">
        <v>12</v>
      </c>
      <c r="Q2" s="34" t="s">
        <v>1</v>
      </c>
    </row>
    <row r="3" spans="1:17" x14ac:dyDescent="0.35">
      <c r="A3" s="18">
        <v>2024</v>
      </c>
      <c r="B3" s="2" t="s">
        <v>18</v>
      </c>
      <c r="C3" s="5">
        <f>0.72+29+0.27*40+52*40</f>
        <v>2120.52</v>
      </c>
      <c r="D3" s="3">
        <v>2463</v>
      </c>
      <c r="E3" s="3">
        <v>1681</v>
      </c>
      <c r="F3" s="13">
        <f t="shared" ref="F3:F15" si="0">(E3-C3)/E3</f>
        <v>-0.26146341463414635</v>
      </c>
      <c r="H3" s="2" t="s">
        <v>18</v>
      </c>
      <c r="I3" s="8">
        <v>313.24</v>
      </c>
      <c r="J3" s="8">
        <v>341.56</v>
      </c>
      <c r="K3" s="8">
        <v>263.24</v>
      </c>
      <c r="L3" s="13">
        <f t="shared" ref="L3:L15" si="1">(K3-I3)/K3</f>
        <v>-0.18994073848959125</v>
      </c>
      <c r="M3" s="13"/>
      <c r="N3" s="53">
        <f>IFERROR(I3/C3,0)</f>
        <v>0.14771848414539832</v>
      </c>
      <c r="O3" s="11">
        <f t="shared" ref="O3:O14" si="2">J3/D3</f>
        <v>0.13867641088103938</v>
      </c>
      <c r="P3" s="11">
        <f t="shared" ref="P3:P15" si="3">K3/E3</f>
        <v>0.15659726353361095</v>
      </c>
      <c r="Q3" s="13">
        <f t="shared" ref="Q3:Q15" si="4">(P3-N3)/P3</f>
        <v>5.6698177144755488E-2</v>
      </c>
    </row>
    <row r="4" spans="1:17" x14ac:dyDescent="0.35">
      <c r="A4" s="18">
        <v>2024</v>
      </c>
      <c r="B4" s="4" t="s">
        <v>19</v>
      </c>
      <c r="C4" s="5">
        <f>0.43+32+40*0.26+40*34</f>
        <v>1402.83</v>
      </c>
      <c r="D4" s="5">
        <v>1506</v>
      </c>
      <c r="E4" s="5">
        <v>1106</v>
      </c>
      <c r="F4" s="13">
        <f t="shared" si="0"/>
        <v>-0.26838155515370699</v>
      </c>
      <c r="H4" s="4" t="s">
        <v>19</v>
      </c>
      <c r="I4" s="9">
        <v>253.14</v>
      </c>
      <c r="J4" s="9">
        <v>254.14</v>
      </c>
      <c r="K4" s="9">
        <v>214.83</v>
      </c>
      <c r="L4" s="13">
        <f t="shared" si="1"/>
        <v>-0.1783270492947911</v>
      </c>
      <c r="M4" s="14"/>
      <c r="N4" s="53">
        <f t="shared" ref="N4:N14" si="5">IFERROR(I4/C4,0)</f>
        <v>0.18044951989906119</v>
      </c>
      <c r="O4" s="11">
        <f t="shared" si="2"/>
        <v>0.16875166002656042</v>
      </c>
      <c r="P4" s="11">
        <f t="shared" si="3"/>
        <v>0.19424050632911394</v>
      </c>
      <c r="Q4" s="13">
        <f t="shared" si="4"/>
        <v>7.0999539131584688E-2</v>
      </c>
    </row>
    <row r="5" spans="1:17" x14ac:dyDescent="0.35">
      <c r="A5" s="18">
        <v>2024</v>
      </c>
      <c r="B5" s="2" t="s">
        <v>20</v>
      </c>
      <c r="C5" s="3">
        <f>0.63+45+0.16*40+21*40</f>
        <v>892.03</v>
      </c>
      <c r="D5" s="3">
        <v>1032</v>
      </c>
      <c r="E5" s="3">
        <v>1073</v>
      </c>
      <c r="F5" s="13">
        <f t="shared" si="0"/>
        <v>0.16865796831314075</v>
      </c>
      <c r="H5" s="2" t="s">
        <v>20</v>
      </c>
      <c r="I5" s="8">
        <v>190.17</v>
      </c>
      <c r="J5" s="8">
        <v>199.04</v>
      </c>
      <c r="K5" s="8">
        <v>195.03</v>
      </c>
      <c r="L5" s="13">
        <f t="shared" si="1"/>
        <v>2.4919243193354937E-2</v>
      </c>
      <c r="M5" s="13"/>
      <c r="N5" s="53">
        <f t="shared" si="5"/>
        <v>0.21318789726802909</v>
      </c>
      <c r="O5" s="11">
        <f t="shared" si="2"/>
        <v>0.19286821705426355</v>
      </c>
      <c r="P5" s="11">
        <f t="shared" si="3"/>
        <v>0.1817614165890028</v>
      </c>
      <c r="Q5" s="13">
        <f t="shared" si="4"/>
        <v>-0.17289962451210175</v>
      </c>
    </row>
    <row r="6" spans="1:17" ht="14.25" customHeight="1" x14ac:dyDescent="0.35">
      <c r="A6" s="18">
        <v>2024</v>
      </c>
      <c r="B6" s="4" t="s">
        <v>21</v>
      </c>
      <c r="C6" s="5">
        <f>1.67+63+40*0.12+40*19</f>
        <v>829.47</v>
      </c>
      <c r="D6" s="5">
        <v>956</v>
      </c>
      <c r="E6" s="5">
        <v>1197</v>
      </c>
      <c r="F6" s="13">
        <f t="shared" si="0"/>
        <v>0.30704260651629073</v>
      </c>
      <c r="H6" s="4" t="s">
        <v>21</v>
      </c>
      <c r="I6" s="9">
        <v>182.03</v>
      </c>
      <c r="J6" s="9">
        <v>178.81</v>
      </c>
      <c r="K6" s="9">
        <v>211.81</v>
      </c>
      <c r="L6" s="13">
        <f t="shared" si="1"/>
        <v>0.14059770549077003</v>
      </c>
      <c r="M6" s="14"/>
      <c r="N6" s="53">
        <f t="shared" si="5"/>
        <v>0.21945338589701857</v>
      </c>
      <c r="O6" s="11">
        <f t="shared" si="2"/>
        <v>0.1870397489539749</v>
      </c>
      <c r="P6" s="11">
        <f t="shared" si="3"/>
        <v>0.17695071010860486</v>
      </c>
      <c r="Q6" s="13">
        <f t="shared" si="4"/>
        <v>-0.24019499985237341</v>
      </c>
    </row>
    <row r="7" spans="1:17" x14ac:dyDescent="0.35">
      <c r="A7" s="18">
        <v>2025</v>
      </c>
      <c r="B7" s="2" t="s">
        <v>22</v>
      </c>
      <c r="C7" s="3">
        <f>1.18+69+40*(0.09+18)</f>
        <v>793.78</v>
      </c>
      <c r="D7" s="3">
        <v>1009</v>
      </c>
      <c r="E7" s="3">
        <v>1243</v>
      </c>
      <c r="F7" s="13">
        <f t="shared" si="0"/>
        <v>0.36139983909895418</v>
      </c>
      <c r="H7" s="2" t="s">
        <v>22</v>
      </c>
      <c r="I7" s="8">
        <v>168.39</v>
      </c>
      <c r="J7" s="8">
        <v>174.73</v>
      </c>
      <c r="K7" s="8">
        <v>218.77</v>
      </c>
      <c r="L7" s="13">
        <f t="shared" si="1"/>
        <v>0.2302875165699137</v>
      </c>
      <c r="M7" s="13"/>
      <c r="N7" s="53">
        <f t="shared" si="5"/>
        <v>0.21213686411852151</v>
      </c>
      <c r="O7" s="11">
        <f t="shared" si="2"/>
        <v>0.17317145688800792</v>
      </c>
      <c r="P7" s="11">
        <f t="shared" si="3"/>
        <v>0.17600160901045858</v>
      </c>
      <c r="Q7" s="13">
        <f t="shared" si="4"/>
        <v>-0.20531207249313074</v>
      </c>
    </row>
    <row r="8" spans="1:17" x14ac:dyDescent="0.35">
      <c r="A8" s="18">
        <v>2025</v>
      </c>
      <c r="B8" s="4" t="s">
        <v>23</v>
      </c>
      <c r="C8" s="5">
        <f>1.28+84+40*(0.11+24)</f>
        <v>1049.68</v>
      </c>
      <c r="D8" s="5">
        <v>983</v>
      </c>
      <c r="E8" s="5">
        <v>1071</v>
      </c>
      <c r="F8" s="13">
        <f t="shared" si="0"/>
        <v>1.9906629318393966E-2</v>
      </c>
      <c r="H8" s="4" t="s">
        <v>23</v>
      </c>
      <c r="I8" s="9">
        <v>191.88</v>
      </c>
      <c r="J8" s="9">
        <v>174.22</v>
      </c>
      <c r="K8" s="9">
        <v>197.34</v>
      </c>
      <c r="L8" s="13">
        <f t="shared" si="1"/>
        <v>2.7667984189723362E-2</v>
      </c>
      <c r="M8" s="14"/>
      <c r="N8" s="53">
        <f t="shared" si="5"/>
        <v>0.18279856718237938</v>
      </c>
      <c r="O8" s="11">
        <f t="shared" si="2"/>
        <v>0.17723296032553407</v>
      </c>
      <c r="P8" s="11">
        <f t="shared" si="3"/>
        <v>0.18425770308123249</v>
      </c>
      <c r="Q8" s="13">
        <f t="shared" si="4"/>
        <v>7.9189953768707497E-3</v>
      </c>
    </row>
    <row r="9" spans="1:17" x14ac:dyDescent="0.35">
      <c r="A9" s="18">
        <v>2025</v>
      </c>
      <c r="B9" s="2" t="s">
        <v>24</v>
      </c>
      <c r="C9" s="3">
        <f>1.3+63+40*(0.11+19)</f>
        <v>828.69999999999993</v>
      </c>
      <c r="D9" s="3">
        <v>908</v>
      </c>
      <c r="E9" s="3">
        <v>1110</v>
      </c>
      <c r="F9" s="13">
        <f t="shared" si="0"/>
        <v>0.2534234234234235</v>
      </c>
      <c r="H9" s="2" t="s">
        <v>24</v>
      </c>
      <c r="I9" s="8">
        <v>176.64</v>
      </c>
      <c r="J9" s="8">
        <v>175.69</v>
      </c>
      <c r="K9" s="8">
        <v>198.55</v>
      </c>
      <c r="L9" s="13">
        <f t="shared" si="1"/>
        <v>0.11035003777386061</v>
      </c>
      <c r="M9" s="13"/>
      <c r="N9" s="53">
        <f t="shared" si="5"/>
        <v>0.21315313141064318</v>
      </c>
      <c r="O9" s="11">
        <f t="shared" si="2"/>
        <v>0.19349118942731278</v>
      </c>
      <c r="P9" s="11">
        <f t="shared" si="3"/>
        <v>0.17887387387387388</v>
      </c>
      <c r="Q9" s="13">
        <f t="shared" si="4"/>
        <v>-0.191639263993019</v>
      </c>
    </row>
    <row r="10" spans="1:17" x14ac:dyDescent="0.35">
      <c r="A10" s="18">
        <v>2025</v>
      </c>
      <c r="B10" s="4" t="s">
        <v>25</v>
      </c>
      <c r="C10" s="5">
        <f>1.03+58+40*(0.15+19)</f>
        <v>825.03</v>
      </c>
      <c r="D10" s="5">
        <v>1233</v>
      </c>
      <c r="E10" s="5">
        <v>1253</v>
      </c>
      <c r="F10" s="13">
        <f t="shared" si="0"/>
        <v>0.3415562649640862</v>
      </c>
      <c r="H10" s="4" t="s">
        <v>25</v>
      </c>
      <c r="I10" s="9">
        <v>184.36</v>
      </c>
      <c r="J10" s="9">
        <v>212.92</v>
      </c>
      <c r="K10" s="9">
        <v>222.83</v>
      </c>
      <c r="L10" s="13">
        <f t="shared" si="1"/>
        <v>0.1726428218821523</v>
      </c>
      <c r="M10" s="14"/>
      <c r="N10" s="53">
        <f t="shared" si="5"/>
        <v>0.22345854090154299</v>
      </c>
      <c r="O10" s="11">
        <f t="shared" si="2"/>
        <v>0.17268450932684509</v>
      </c>
      <c r="P10" s="11">
        <f t="shared" si="3"/>
        <v>0.17783719074221868</v>
      </c>
      <c r="Q10" s="13">
        <f t="shared" si="4"/>
        <v>-0.25653436139493496</v>
      </c>
    </row>
    <row r="11" spans="1:17" x14ac:dyDescent="0.35">
      <c r="A11" s="18">
        <v>2025</v>
      </c>
      <c r="B11" s="2" t="s">
        <v>26</v>
      </c>
      <c r="C11" s="3">
        <f>0.37+46+40*(0.15+21)</f>
        <v>892.37</v>
      </c>
      <c r="D11" s="3">
        <v>1244</v>
      </c>
      <c r="E11" s="3">
        <v>1769</v>
      </c>
      <c r="F11" s="13">
        <f t="shared" si="0"/>
        <v>0.49555115884680612</v>
      </c>
      <c r="H11" s="2" t="s">
        <v>26</v>
      </c>
      <c r="I11" s="8">
        <v>183.64</v>
      </c>
      <c r="J11" s="8">
        <v>214.65</v>
      </c>
      <c r="K11" s="8">
        <v>281.11</v>
      </c>
      <c r="L11" s="13">
        <f t="shared" si="1"/>
        <v>0.34673259578101107</v>
      </c>
      <c r="M11" s="13"/>
      <c r="N11" s="53">
        <f t="shared" si="5"/>
        <v>0.20578907852124118</v>
      </c>
      <c r="O11" s="11">
        <f t="shared" si="2"/>
        <v>0.17254823151125404</v>
      </c>
      <c r="P11" s="11">
        <f t="shared" si="3"/>
        <v>0.15890898812888637</v>
      </c>
      <c r="Q11" s="13">
        <f t="shared" si="4"/>
        <v>-0.29501220128802119</v>
      </c>
    </row>
    <row r="12" spans="1:17" x14ac:dyDescent="0.35">
      <c r="A12" s="18">
        <v>2025</v>
      </c>
      <c r="B12" s="4" t="s">
        <v>27</v>
      </c>
      <c r="C12" s="5">
        <f>0.41+31+40*(0.2+21)</f>
        <v>879.41</v>
      </c>
      <c r="D12" s="5">
        <v>1657</v>
      </c>
      <c r="E12" s="5">
        <v>1659</v>
      </c>
      <c r="F12" s="13">
        <f t="shared" si="0"/>
        <v>0.46991561181434599</v>
      </c>
      <c r="H12" s="4" t="s">
        <v>27</v>
      </c>
      <c r="I12" s="9">
        <v>196.11</v>
      </c>
      <c r="J12" s="9">
        <v>261.79000000000002</v>
      </c>
      <c r="K12" s="9">
        <v>261.36</v>
      </c>
      <c r="L12" s="13">
        <f t="shared" si="1"/>
        <v>0.24965564738292009</v>
      </c>
      <c r="M12" s="14"/>
      <c r="N12" s="53">
        <f t="shared" si="5"/>
        <v>0.22300178528786349</v>
      </c>
      <c r="O12" s="11">
        <f t="shared" si="2"/>
        <v>0.15799034399517201</v>
      </c>
      <c r="P12" s="11">
        <f t="shared" si="3"/>
        <v>0.15754068716094033</v>
      </c>
      <c r="Q12" s="13">
        <f t="shared" si="4"/>
        <v>-0.4155186784227331</v>
      </c>
    </row>
    <row r="13" spans="1:17" x14ac:dyDescent="0.35">
      <c r="A13" s="18">
        <v>2025</v>
      </c>
      <c r="B13" s="2" t="s">
        <v>28</v>
      </c>
      <c r="C13" s="3">
        <f>0.05+9+40*(0.22+43)</f>
        <v>1737.85</v>
      </c>
      <c r="D13" s="3">
        <v>2280</v>
      </c>
      <c r="E13" s="3">
        <v>2464</v>
      </c>
      <c r="F13" s="13">
        <f t="shared" si="0"/>
        <v>0.29470373376623382</v>
      </c>
      <c r="H13" s="2" t="s">
        <v>28</v>
      </c>
      <c r="I13" s="8">
        <v>263.64</v>
      </c>
      <c r="J13" s="8">
        <v>322.83999999999997</v>
      </c>
      <c r="K13" s="8">
        <v>342.02</v>
      </c>
      <c r="L13" s="13">
        <f t="shared" si="1"/>
        <v>0.22916788491901058</v>
      </c>
      <c r="M13" s="13"/>
      <c r="N13" s="53">
        <f t="shared" si="5"/>
        <v>0.15170469257991195</v>
      </c>
      <c r="O13" s="11">
        <f t="shared" si="2"/>
        <v>0.14159649122807016</v>
      </c>
      <c r="P13" s="11">
        <f t="shared" si="3"/>
        <v>0.13880681818181817</v>
      </c>
      <c r="Q13" s="13">
        <f t="shared" si="4"/>
        <v>-9.2919602704236839E-2</v>
      </c>
    </row>
    <row r="14" spans="1:17" ht="15" thickBot="1" x14ac:dyDescent="0.4">
      <c r="A14" s="18">
        <v>2025</v>
      </c>
      <c r="B14" s="4" t="s">
        <v>29</v>
      </c>
      <c r="C14" s="3">
        <f>1*0.49+1*15+40*0.26+40*62</f>
        <v>2505.89</v>
      </c>
      <c r="D14" s="5">
        <v>2072</v>
      </c>
      <c r="E14" s="5">
        <v>3202</v>
      </c>
      <c r="F14" s="13">
        <f t="shared" si="0"/>
        <v>0.21739850093691446</v>
      </c>
      <c r="H14" s="4" t="s">
        <v>29</v>
      </c>
      <c r="I14" s="9">
        <v>306</v>
      </c>
      <c r="J14" s="9">
        <v>302.42</v>
      </c>
      <c r="K14" s="9">
        <v>403.79</v>
      </c>
      <c r="L14" s="13">
        <f t="shared" si="1"/>
        <v>0.24218034126649995</v>
      </c>
      <c r="M14" s="14"/>
      <c r="N14" s="53">
        <f t="shared" si="5"/>
        <v>0.12211230341315861</v>
      </c>
      <c r="O14" s="11">
        <f t="shared" si="2"/>
        <v>0.14595559845559847</v>
      </c>
      <c r="P14" s="11">
        <f t="shared" si="3"/>
        <v>0.12610555902560899</v>
      </c>
      <c r="Q14" s="13">
        <f t="shared" si="4"/>
        <v>3.1665976054548468E-2</v>
      </c>
    </row>
    <row r="15" spans="1:17" x14ac:dyDescent="0.35">
      <c r="B15" s="6" t="s">
        <v>2</v>
      </c>
      <c r="C15" s="7">
        <f>SUM(C3:C14)</f>
        <v>14757.560000000001</v>
      </c>
      <c r="D15" s="7">
        <f>SUM(D3:D14)</f>
        <v>17343</v>
      </c>
      <c r="E15" s="7">
        <f>SUM(E3:E14)</f>
        <v>18828</v>
      </c>
      <c r="F15" s="15">
        <f t="shared" si="0"/>
        <v>0.21619077968982359</v>
      </c>
      <c r="H15" s="6" t="s">
        <v>2</v>
      </c>
      <c r="I15" s="10">
        <f>SUM(I3:I14)</f>
        <v>2609.2399999999998</v>
      </c>
      <c r="J15" s="10">
        <f>SUM(J3:J14)</f>
        <v>2812.8100000000004</v>
      </c>
      <c r="K15" s="10">
        <f>SUM(K3:K14)</f>
        <v>3010.68</v>
      </c>
      <c r="L15" s="15">
        <f t="shared" si="1"/>
        <v>0.1333386477473528</v>
      </c>
      <c r="M15" s="35"/>
      <c r="N15" s="54">
        <f>IFERROR(I15/C15,0)</f>
        <v>0.17680700603622818</v>
      </c>
      <c r="O15" s="12">
        <f>J15/D15</f>
        <v>0.16218704953006979</v>
      </c>
      <c r="P15" s="12">
        <f t="shared" si="3"/>
        <v>0.15990439770554493</v>
      </c>
      <c r="Q15" s="13">
        <f t="shared" si="4"/>
        <v>-0.10570446199865284</v>
      </c>
    </row>
  </sheetData>
  <conditionalFormatting sqref="F3:F15">
    <cfRule type="cellIs" dxfId="25" priority="5" operator="greaterThan">
      <formula>0</formula>
    </cfRule>
    <cfRule type="cellIs" dxfId="24" priority="6" operator="lessThan">
      <formula>0</formula>
    </cfRule>
  </conditionalFormatting>
  <conditionalFormatting sqref="L3:M15">
    <cfRule type="cellIs" dxfId="23" priority="3" operator="greaterThan">
      <formula>0</formula>
    </cfRule>
    <cfRule type="cellIs" dxfId="22" priority="4" operator="lessThan">
      <formula>0</formula>
    </cfRule>
  </conditionalFormatting>
  <conditionalFormatting sqref="Q3:Q15">
    <cfRule type="cellIs" dxfId="21" priority="1" operator="greaterThan">
      <formula>0</formula>
    </cfRule>
    <cfRule type="cellIs" dxfId="20" priority="2" operator="less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Q17"/>
  <sheetViews>
    <sheetView workbookViewId="0">
      <selection activeCell="L15" sqref="L15"/>
    </sheetView>
  </sheetViews>
  <sheetFormatPr defaultRowHeight="14.5" x14ac:dyDescent="0.35"/>
  <cols>
    <col min="2" max="6" width="15.7265625" customWidth="1"/>
    <col min="8" max="12" width="15.7265625" customWidth="1"/>
    <col min="17" max="17" width="10.54296875" bestFit="1" customWidth="1"/>
  </cols>
  <sheetData>
    <row r="1" spans="1:17" x14ac:dyDescent="0.35">
      <c r="C1" s="24" t="s">
        <v>40</v>
      </c>
      <c r="D1" s="24" t="s">
        <v>30</v>
      </c>
      <c r="E1" s="24" t="s">
        <v>31</v>
      </c>
      <c r="I1" s="24" t="s">
        <v>40</v>
      </c>
      <c r="J1" s="24" t="s">
        <v>30</v>
      </c>
      <c r="K1" s="24" t="s">
        <v>31</v>
      </c>
      <c r="N1" s="17" t="s">
        <v>41</v>
      </c>
      <c r="O1" s="17" t="s">
        <v>14</v>
      </c>
      <c r="P1" s="17" t="s">
        <v>15</v>
      </c>
    </row>
    <row r="2" spans="1:17" ht="15" thickBot="1" x14ac:dyDescent="0.4">
      <c r="B2" s="1" t="s">
        <v>0</v>
      </c>
      <c r="C2" s="1" t="s">
        <v>10</v>
      </c>
      <c r="D2" s="1" t="s">
        <v>10</v>
      </c>
      <c r="E2" s="1" t="s">
        <v>10</v>
      </c>
      <c r="F2" s="1" t="s">
        <v>1</v>
      </c>
      <c r="H2" s="1" t="s">
        <v>0</v>
      </c>
      <c r="I2" s="1" t="s">
        <v>39</v>
      </c>
      <c r="J2" s="1" t="s">
        <v>39</v>
      </c>
      <c r="K2" s="1" t="s">
        <v>39</v>
      </c>
      <c r="L2" s="1" t="s">
        <v>1</v>
      </c>
      <c r="N2" s="33" t="s">
        <v>12</v>
      </c>
      <c r="O2" s="33" t="s">
        <v>12</v>
      </c>
      <c r="P2" s="33" t="s">
        <v>12</v>
      </c>
      <c r="Q2" s="34" t="s">
        <v>1</v>
      </c>
    </row>
    <row r="3" spans="1:17" x14ac:dyDescent="0.35">
      <c r="A3" s="18">
        <v>2024</v>
      </c>
      <c r="B3" s="2" t="s">
        <v>18</v>
      </c>
      <c r="C3" s="3">
        <f>10.84+2353</f>
        <v>2363.84</v>
      </c>
      <c r="D3" s="3">
        <v>1911</v>
      </c>
      <c r="E3" s="3">
        <v>1480</v>
      </c>
      <c r="F3" s="13">
        <f t="shared" ref="F3:F14" si="0">(E3-C3)/E3</f>
        <v>-0.59718918918918928</v>
      </c>
      <c r="H3" s="2" t="s">
        <v>18</v>
      </c>
      <c r="I3" s="8">
        <v>224.56</v>
      </c>
      <c r="J3" s="8">
        <v>186.28</v>
      </c>
      <c r="K3" s="8">
        <v>145.81</v>
      </c>
      <c r="L3" s="13">
        <f t="shared" ref="L3:L15" si="1">(K3-I3)/K3</f>
        <v>-0.54008641382621214</v>
      </c>
      <c r="N3" s="11">
        <f>IFERROR(I3/C3,0)</f>
        <v>9.4997969405712729E-2</v>
      </c>
      <c r="O3" s="11">
        <f t="shared" ref="O3:O15" si="2">J3/D3</f>
        <v>9.7477760334903199E-2</v>
      </c>
      <c r="P3" s="11">
        <f t="shared" ref="P3:P15" si="3">K3/E3</f>
        <v>9.8520270270270272E-2</v>
      </c>
      <c r="Q3" s="13">
        <f t="shared" ref="Q3:Q15" si="4">(P3-N3)/P3</f>
        <v>3.5752042243640099E-2</v>
      </c>
    </row>
    <row r="4" spans="1:17" x14ac:dyDescent="0.35">
      <c r="A4" s="18">
        <v>2024</v>
      </c>
      <c r="B4" s="4" t="s">
        <v>19</v>
      </c>
      <c r="C4" s="5">
        <f>9.5+1469</f>
        <v>1478.5</v>
      </c>
      <c r="D4" s="5">
        <v>941</v>
      </c>
      <c r="E4" s="5">
        <v>951</v>
      </c>
      <c r="F4" s="14">
        <f>(E4-C4)/E4</f>
        <v>-0.55467928496319663</v>
      </c>
      <c r="H4" s="4" t="s">
        <v>19</v>
      </c>
      <c r="I4" s="9">
        <v>149.84</v>
      </c>
      <c r="J4" s="9">
        <v>105.43</v>
      </c>
      <c r="K4" s="9">
        <v>104.65</v>
      </c>
      <c r="L4" s="14">
        <f t="shared" si="1"/>
        <v>-0.43182035355948395</v>
      </c>
      <c r="N4" s="11">
        <f t="shared" ref="N4:N15" si="5">IFERROR(I4/C4,0)</f>
        <v>0.10134595874196821</v>
      </c>
      <c r="O4" s="11">
        <f t="shared" si="2"/>
        <v>0.11204038257173221</v>
      </c>
      <c r="P4" s="11">
        <f t="shared" si="3"/>
        <v>0.11004206098843324</v>
      </c>
      <c r="Q4" s="13">
        <f t="shared" si="4"/>
        <v>7.9025257872797322E-2</v>
      </c>
    </row>
    <row r="5" spans="1:17" x14ac:dyDescent="0.35">
      <c r="A5" s="18">
        <v>2024</v>
      </c>
      <c r="B5" s="2" t="s">
        <v>20</v>
      </c>
      <c r="C5" s="3">
        <f>11.73+1998</f>
        <v>2009.73</v>
      </c>
      <c r="D5" s="3">
        <v>465</v>
      </c>
      <c r="E5" s="3">
        <v>800</v>
      </c>
      <c r="F5" s="13">
        <f t="shared" si="0"/>
        <v>-1.5121625000000001</v>
      </c>
      <c r="H5" s="2" t="s">
        <v>20</v>
      </c>
      <c r="I5" s="8">
        <f>194.1</f>
        <v>194.1</v>
      </c>
      <c r="J5" s="8">
        <v>64.56</v>
      </c>
      <c r="K5" s="8">
        <v>90.74</v>
      </c>
      <c r="L5" s="13">
        <f t="shared" si="1"/>
        <v>-1.1390786863566233</v>
      </c>
      <c r="N5" s="11">
        <f t="shared" si="5"/>
        <v>9.658013763042797E-2</v>
      </c>
      <c r="O5" s="11">
        <f t="shared" si="2"/>
        <v>0.13883870967741935</v>
      </c>
      <c r="P5" s="11">
        <f t="shared" si="3"/>
        <v>0.113425</v>
      </c>
      <c r="Q5" s="13">
        <f t="shared" si="4"/>
        <v>0.14851101934822153</v>
      </c>
    </row>
    <row r="6" spans="1:17" x14ac:dyDescent="0.35">
      <c r="A6" s="18">
        <v>2024</v>
      </c>
      <c r="B6" s="4" t="s">
        <v>21</v>
      </c>
      <c r="C6" s="5">
        <f>11.45+3917</f>
        <v>3928.45</v>
      </c>
      <c r="D6" s="5">
        <v>465</v>
      </c>
      <c r="E6" s="5">
        <v>868</v>
      </c>
      <c r="F6" s="14">
        <f>(E6-C6)/E6</f>
        <v>-3.5258640552995391</v>
      </c>
      <c r="H6" s="4" t="s">
        <v>21</v>
      </c>
      <c r="I6" s="9">
        <v>356.6</v>
      </c>
      <c r="J6" s="9">
        <v>64.489999999999995</v>
      </c>
      <c r="K6" s="9">
        <v>97.68</v>
      </c>
      <c r="L6" s="14">
        <f t="shared" si="1"/>
        <v>-2.6506961506961506</v>
      </c>
      <c r="N6" s="11">
        <f t="shared" si="5"/>
        <v>9.0773714823912749E-2</v>
      </c>
      <c r="O6" s="11">
        <f t="shared" si="2"/>
        <v>0.13868817204301073</v>
      </c>
      <c r="P6" s="11">
        <f t="shared" si="3"/>
        <v>0.11253456221198158</v>
      </c>
      <c r="Q6" s="13">
        <f t="shared" si="4"/>
        <v>0.19337034738783518</v>
      </c>
    </row>
    <row r="7" spans="1:17" x14ac:dyDescent="0.35">
      <c r="A7" s="18">
        <v>2025</v>
      </c>
      <c r="B7" s="2" t="s">
        <v>22</v>
      </c>
      <c r="C7" s="3">
        <f>11.76+4588</f>
        <v>4599.76</v>
      </c>
      <c r="D7" s="3">
        <v>516</v>
      </c>
      <c r="E7" s="3">
        <v>1124</v>
      </c>
      <c r="F7" s="13">
        <f>(E7-C7)/E7</f>
        <v>-3.0923131672597868</v>
      </c>
      <c r="H7" s="2" t="s">
        <v>22</v>
      </c>
      <c r="I7" s="8">
        <v>409.32</v>
      </c>
      <c r="J7" s="8">
        <v>67.900000000000006</v>
      </c>
      <c r="K7" s="8">
        <v>120.97</v>
      </c>
      <c r="L7" s="13">
        <f t="shared" si="1"/>
        <v>-2.3836488385550139</v>
      </c>
      <c r="N7" s="11">
        <f t="shared" si="5"/>
        <v>8.8987251508774359E-2</v>
      </c>
      <c r="O7" s="11">
        <f t="shared" si="2"/>
        <v>0.13158914728682172</v>
      </c>
      <c r="P7" s="11">
        <f t="shared" si="3"/>
        <v>0.10762455516014235</v>
      </c>
      <c r="Q7" s="13">
        <f t="shared" si="4"/>
        <v>0.17316962308124018</v>
      </c>
    </row>
    <row r="8" spans="1:17" x14ac:dyDescent="0.35">
      <c r="A8" s="18">
        <v>2025</v>
      </c>
      <c r="B8" s="4" t="s">
        <v>23</v>
      </c>
      <c r="C8" s="5">
        <f>8.59+1763</f>
        <v>1771.59</v>
      </c>
      <c r="D8" s="5">
        <v>463</v>
      </c>
      <c r="E8" s="5">
        <v>2622</v>
      </c>
      <c r="F8" s="14">
        <f>(E8-C8)/E8</f>
        <v>0.3243363844393593</v>
      </c>
      <c r="H8" s="4" t="s">
        <v>23</v>
      </c>
      <c r="I8" s="9">
        <v>170.15</v>
      </c>
      <c r="J8" s="9">
        <v>63.99</v>
      </c>
      <c r="K8" s="9">
        <v>245.12</v>
      </c>
      <c r="L8" s="14">
        <f t="shared" si="1"/>
        <v>0.30585019582245432</v>
      </c>
      <c r="N8" s="11">
        <f t="shared" si="5"/>
        <v>9.6043666988411547E-2</v>
      </c>
      <c r="O8" s="11">
        <f t="shared" si="2"/>
        <v>0.138207343412527</v>
      </c>
      <c r="P8" s="11">
        <f t="shared" si="3"/>
        <v>9.348588863463006E-2</v>
      </c>
      <c r="Q8" s="13">
        <f t="shared" si="4"/>
        <v>-2.7360047501693286E-2</v>
      </c>
    </row>
    <row r="9" spans="1:17" x14ac:dyDescent="0.35">
      <c r="A9" s="18">
        <v>2025</v>
      </c>
      <c r="B9" s="2" t="s">
        <v>24</v>
      </c>
      <c r="C9" s="3">
        <f>8.62+491</f>
        <v>499.62</v>
      </c>
      <c r="D9" s="3">
        <v>462</v>
      </c>
      <c r="E9" s="3">
        <v>4070</v>
      </c>
      <c r="F9" s="13">
        <f t="shared" si="0"/>
        <v>0.87724324324324332</v>
      </c>
      <c r="H9" s="2" t="s">
        <v>24</v>
      </c>
      <c r="I9" s="8">
        <v>66.540000000000006</v>
      </c>
      <c r="J9" s="8">
        <v>65.069999999999993</v>
      </c>
      <c r="K9" s="8">
        <v>364.16</v>
      </c>
      <c r="L9" s="13">
        <f t="shared" si="1"/>
        <v>0.81727811950790852</v>
      </c>
      <c r="N9" s="11">
        <f t="shared" si="5"/>
        <v>0.13318121772547137</v>
      </c>
      <c r="O9" s="11">
        <f t="shared" si="2"/>
        <v>0.14084415584415583</v>
      </c>
      <c r="P9" s="11">
        <f t="shared" si="3"/>
        <v>8.9474201474201487E-2</v>
      </c>
      <c r="Q9" s="13">
        <f t="shared" si="4"/>
        <v>-0.48848735759739781</v>
      </c>
    </row>
    <row r="10" spans="1:17" x14ac:dyDescent="0.35">
      <c r="A10" s="18">
        <v>2025</v>
      </c>
      <c r="B10" s="4" t="s">
        <v>25</v>
      </c>
      <c r="C10" s="5">
        <f>7.33+456</f>
        <v>463.33</v>
      </c>
      <c r="D10" s="5">
        <v>669</v>
      </c>
      <c r="E10" s="5">
        <v>1969</v>
      </c>
      <c r="F10" s="14">
        <f>(E10-C10)/E10</f>
        <v>0.7646876587100051</v>
      </c>
      <c r="H10" s="4" t="s">
        <v>25</v>
      </c>
      <c r="I10" s="9">
        <v>63.58</v>
      </c>
      <c r="J10" s="9">
        <v>80.680000000000007</v>
      </c>
      <c r="K10" s="9">
        <v>191.67</v>
      </c>
      <c r="L10" s="14">
        <f t="shared" si="1"/>
        <v>0.6682840298429592</v>
      </c>
      <c r="N10" s="11">
        <f t="shared" si="5"/>
        <v>0.13722400880581875</v>
      </c>
      <c r="O10" s="11">
        <f t="shared" si="2"/>
        <v>0.12059790732436473</v>
      </c>
      <c r="P10" s="11">
        <f t="shared" si="3"/>
        <v>9.7343829355002534E-2</v>
      </c>
      <c r="Q10" s="13">
        <f t="shared" si="4"/>
        <v>-0.4096836924852984</v>
      </c>
    </row>
    <row r="11" spans="1:17" x14ac:dyDescent="0.35">
      <c r="A11" s="18">
        <v>2025</v>
      </c>
      <c r="B11" s="2" t="s">
        <v>26</v>
      </c>
      <c r="C11" s="3">
        <f>7.81+503</f>
        <v>510.81</v>
      </c>
      <c r="D11" s="3">
        <v>1287</v>
      </c>
      <c r="E11" s="3">
        <v>1615</v>
      </c>
      <c r="F11" s="13">
        <f t="shared" si="0"/>
        <v>0.68370897832817346</v>
      </c>
      <c r="H11" s="2" t="s">
        <v>26</v>
      </c>
      <c r="I11" s="8">
        <v>66.430000000000007</v>
      </c>
      <c r="J11" s="8">
        <v>132.16999999999999</v>
      </c>
      <c r="K11" s="8">
        <v>162.38</v>
      </c>
      <c r="L11" s="13">
        <f t="shared" si="1"/>
        <v>0.59089789382928926</v>
      </c>
      <c r="N11" s="11">
        <f t="shared" si="5"/>
        <v>0.13004835457410779</v>
      </c>
      <c r="O11" s="11">
        <f t="shared" si="2"/>
        <v>0.10269619269619269</v>
      </c>
      <c r="P11" s="11">
        <f t="shared" si="3"/>
        <v>0.10054489164086687</v>
      </c>
      <c r="Q11" s="13">
        <f t="shared" si="4"/>
        <v>-0.29343572260859768</v>
      </c>
    </row>
    <row r="12" spans="1:17" x14ac:dyDescent="0.35">
      <c r="A12" s="18">
        <v>2025</v>
      </c>
      <c r="B12" s="4" t="s">
        <v>27</v>
      </c>
      <c r="C12" s="5">
        <f>7.76+785</f>
        <v>792.76</v>
      </c>
      <c r="D12" s="5">
        <v>2295</v>
      </c>
      <c r="E12" s="5">
        <v>1764</v>
      </c>
      <c r="F12" s="14">
        <f>(E12-C12)/E12</f>
        <v>0.55058956916099777</v>
      </c>
      <c r="H12" s="4" t="s">
        <v>27</v>
      </c>
      <c r="I12" s="9">
        <v>90.47</v>
      </c>
      <c r="J12" s="9">
        <v>218.6</v>
      </c>
      <c r="K12" s="9">
        <v>172.57</v>
      </c>
      <c r="L12" s="14">
        <f t="shared" si="1"/>
        <v>0.47574897143188272</v>
      </c>
      <c r="N12" s="11">
        <f t="shared" si="5"/>
        <v>0.11412028861193804</v>
      </c>
      <c r="O12" s="11">
        <f t="shared" si="2"/>
        <v>9.5250544662309367E-2</v>
      </c>
      <c r="P12" s="11">
        <f t="shared" si="3"/>
        <v>9.7828798185941035E-2</v>
      </c>
      <c r="Q12" s="13">
        <f t="shared" si="4"/>
        <v>-0.16653062010464578</v>
      </c>
    </row>
    <row r="13" spans="1:17" x14ac:dyDescent="0.35">
      <c r="A13" s="18">
        <v>2025</v>
      </c>
      <c r="B13" s="2" t="s">
        <v>28</v>
      </c>
      <c r="C13" s="3">
        <f>9+2076</f>
        <v>2085</v>
      </c>
      <c r="D13" s="3">
        <v>2846</v>
      </c>
      <c r="E13" s="3">
        <v>2665</v>
      </c>
      <c r="F13" s="13">
        <f>(E13-C13)/E13</f>
        <v>0.2176360225140713</v>
      </c>
      <c r="H13" s="2" t="s">
        <v>28</v>
      </c>
      <c r="I13" s="8">
        <v>196.67</v>
      </c>
      <c r="J13" s="8">
        <v>265.20999999999998</v>
      </c>
      <c r="K13" s="8">
        <v>249.04</v>
      </c>
      <c r="L13" s="13">
        <f t="shared" si="1"/>
        <v>0.21028750401541924</v>
      </c>
      <c r="N13" s="11">
        <f t="shared" si="5"/>
        <v>9.4326139088729014E-2</v>
      </c>
      <c r="O13" s="11">
        <f t="shared" si="2"/>
        <v>9.3186929023190437E-2</v>
      </c>
      <c r="P13" s="11">
        <f t="shared" si="3"/>
        <v>9.3448405253283295E-2</v>
      </c>
      <c r="Q13" s="13">
        <f t="shared" si="4"/>
        <v>-9.3927106949198477E-3</v>
      </c>
    </row>
    <row r="14" spans="1:17" ht="15" thickBot="1" x14ac:dyDescent="0.4">
      <c r="A14" s="18">
        <v>2025</v>
      </c>
      <c r="B14" s="4" t="s">
        <v>29</v>
      </c>
      <c r="C14" s="5">
        <f>1*8.98+1*2511</f>
        <v>2519.98</v>
      </c>
      <c r="D14" s="5">
        <v>2367</v>
      </c>
      <c r="E14" s="5">
        <v>2657</v>
      </c>
      <c r="F14" s="14">
        <f t="shared" si="0"/>
        <v>5.1569439217162207E-2</v>
      </c>
      <c r="H14" s="4" t="s">
        <v>29</v>
      </c>
      <c r="I14" s="9">
        <v>267.24</v>
      </c>
      <c r="J14" s="9">
        <v>223.5</v>
      </c>
      <c r="K14" s="9">
        <v>249.11</v>
      </c>
      <c r="L14" s="14">
        <f t="shared" si="1"/>
        <v>-7.277909357312029E-2</v>
      </c>
      <c r="N14" s="11">
        <f t="shared" si="5"/>
        <v>0.10604846070206907</v>
      </c>
      <c r="O14" s="11">
        <f t="shared" si="2"/>
        <v>9.4423320659062102E-2</v>
      </c>
      <c r="P14" s="11">
        <f t="shared" si="3"/>
        <v>9.375611592021077E-2</v>
      </c>
      <c r="Q14" s="13">
        <f t="shared" si="4"/>
        <v>-0.13110979119825578</v>
      </c>
    </row>
    <row r="15" spans="1:17" x14ac:dyDescent="0.35">
      <c r="B15" s="6" t="s">
        <v>2</v>
      </c>
      <c r="C15" s="7">
        <f>SUM(C3:C14)</f>
        <v>23023.370000000003</v>
      </c>
      <c r="D15" s="7">
        <f>SUM(D3:D14)</f>
        <v>14687</v>
      </c>
      <c r="E15" s="7">
        <f>SUM(E3:E14)</f>
        <v>22585</v>
      </c>
      <c r="F15" s="15">
        <f>(E15-C15)/E15</f>
        <v>-1.9409785255700803E-2</v>
      </c>
      <c r="H15" s="6" t="s">
        <v>2</v>
      </c>
      <c r="I15" s="10">
        <f>SUM(I3:I14)</f>
        <v>2255.5</v>
      </c>
      <c r="J15" s="10">
        <f>SUM(J3:J14)</f>
        <v>1537.88</v>
      </c>
      <c r="K15" s="10">
        <f>SUM(K3:K14)</f>
        <v>2193.9</v>
      </c>
      <c r="L15" s="15">
        <f t="shared" si="1"/>
        <v>-2.8077852226628335E-2</v>
      </c>
      <c r="N15" s="12">
        <f t="shared" si="5"/>
        <v>9.7965675745991992E-2</v>
      </c>
      <c r="O15" s="12">
        <f t="shared" si="2"/>
        <v>0.1047102880098046</v>
      </c>
      <c r="P15" s="12">
        <f t="shared" si="3"/>
        <v>9.7139694487491698E-2</v>
      </c>
      <c r="Q15" s="15">
        <f t="shared" si="4"/>
        <v>-8.5030250800989752E-3</v>
      </c>
    </row>
    <row r="17" spans="6:12" x14ac:dyDescent="0.35">
      <c r="F17" s="31">
        <f>E15-C15</f>
        <v>-438.37000000000262</v>
      </c>
      <c r="L17" s="26">
        <f>K15-I15</f>
        <v>-61.599999999999909</v>
      </c>
    </row>
  </sheetData>
  <conditionalFormatting sqref="F3:F15">
    <cfRule type="cellIs" dxfId="19" priority="5" operator="greaterThan">
      <formula>0</formula>
    </cfRule>
    <cfRule type="cellIs" dxfId="18" priority="6" operator="lessThan">
      <formula>0</formula>
    </cfRule>
  </conditionalFormatting>
  <conditionalFormatting sqref="L3:L15">
    <cfRule type="cellIs" dxfId="17" priority="3" operator="greaterThan">
      <formula>0</formula>
    </cfRule>
    <cfRule type="cellIs" dxfId="16" priority="4" operator="lessThan">
      <formula>0</formula>
    </cfRule>
  </conditionalFormatting>
  <conditionalFormatting sqref="Q3:Q15">
    <cfRule type="cellIs" dxfId="15" priority="1" operator="greaterThan">
      <formula>0</formula>
    </cfRule>
    <cfRule type="cellIs" dxfId="14" priority="2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Q15"/>
  <sheetViews>
    <sheetView workbookViewId="0">
      <selection activeCell="Q16" sqref="Q16"/>
    </sheetView>
  </sheetViews>
  <sheetFormatPr defaultRowHeight="14.5" x14ac:dyDescent="0.35"/>
  <cols>
    <col min="2" max="6" width="15.7265625" customWidth="1"/>
    <col min="8" max="12" width="15.7265625" customWidth="1"/>
    <col min="17" max="17" width="10.54296875" bestFit="1" customWidth="1"/>
  </cols>
  <sheetData>
    <row r="1" spans="1:17" x14ac:dyDescent="0.35">
      <c r="C1" s="24" t="s">
        <v>40</v>
      </c>
      <c r="D1" s="24" t="s">
        <v>30</v>
      </c>
      <c r="E1" s="24" t="s">
        <v>31</v>
      </c>
      <c r="I1" s="24" t="s">
        <v>40</v>
      </c>
      <c r="J1" s="24" t="s">
        <v>30</v>
      </c>
      <c r="K1" s="24" t="s">
        <v>31</v>
      </c>
      <c r="N1" s="17" t="s">
        <v>41</v>
      </c>
      <c r="O1" s="17" t="s">
        <v>14</v>
      </c>
      <c r="P1" s="17" t="s">
        <v>15</v>
      </c>
    </row>
    <row r="2" spans="1:17" ht="15" thickBot="1" x14ac:dyDescent="0.4">
      <c r="B2" s="1" t="s">
        <v>0</v>
      </c>
      <c r="C2" s="1" t="s">
        <v>10</v>
      </c>
      <c r="D2" s="1" t="s">
        <v>10</v>
      </c>
      <c r="E2" s="1" t="s">
        <v>10</v>
      </c>
      <c r="F2" s="1" t="s">
        <v>1</v>
      </c>
      <c r="H2" s="1" t="s">
        <v>0</v>
      </c>
      <c r="I2" s="1" t="s">
        <v>39</v>
      </c>
      <c r="J2" s="1" t="s">
        <v>39</v>
      </c>
      <c r="K2" s="1" t="s">
        <v>39</v>
      </c>
      <c r="L2" s="1" t="s">
        <v>1</v>
      </c>
      <c r="N2" s="33" t="s">
        <v>12</v>
      </c>
      <c r="O2" s="33" t="s">
        <v>12</v>
      </c>
      <c r="P2" s="33" t="s">
        <v>12</v>
      </c>
      <c r="Q2" s="34" t="s">
        <v>1</v>
      </c>
    </row>
    <row r="3" spans="1:17" x14ac:dyDescent="0.35">
      <c r="A3" s="18">
        <v>2024</v>
      </c>
      <c r="B3" s="2" t="s">
        <v>18</v>
      </c>
      <c r="C3" s="3">
        <f>4.08+1376</f>
        <v>1380.08</v>
      </c>
      <c r="D3" s="3">
        <v>1015</v>
      </c>
      <c r="E3" s="3">
        <v>870</v>
      </c>
      <c r="F3" s="13">
        <f t="shared" ref="F3:F15" si="0">(E3-C3)/E3</f>
        <v>-0.58629885057471254</v>
      </c>
      <c r="H3" s="2" t="s">
        <v>18</v>
      </c>
      <c r="I3" s="8">
        <f>166.2-13-10.5-0.03</f>
        <v>142.66999999999999</v>
      </c>
      <c r="J3" s="8">
        <v>109.99</v>
      </c>
      <c r="K3" s="8">
        <v>126.63</v>
      </c>
      <c r="L3" s="13">
        <f t="shared" ref="L3:L15" si="1">(K3-I3)/K3</f>
        <v>-0.12666824607123109</v>
      </c>
      <c r="N3" s="11">
        <f>IFERROR(I3/C3,0)</f>
        <v>0.10337806503970784</v>
      </c>
      <c r="O3" s="11">
        <f t="shared" ref="O3:O15" si="2">J3/D3</f>
        <v>0.10836453201970443</v>
      </c>
      <c r="P3" s="11">
        <f t="shared" ref="P3:P15" si="3">K3/E3</f>
        <v>0.14555172413793102</v>
      </c>
      <c r="Q3" s="13">
        <f t="shared" ref="Q3:Q15" si="4">(P3-N3)/P3</f>
        <v>0.28975032311027538</v>
      </c>
    </row>
    <row r="4" spans="1:17" x14ac:dyDescent="0.35">
      <c r="A4" s="18">
        <v>2024</v>
      </c>
      <c r="B4" s="4" t="s">
        <v>19</v>
      </c>
      <c r="C4" s="5">
        <f>3.81+898</f>
        <v>901.81</v>
      </c>
      <c r="D4" s="5">
        <v>651</v>
      </c>
      <c r="E4" s="5">
        <v>516</v>
      </c>
      <c r="F4" s="13">
        <f t="shared" si="0"/>
        <v>-0.74769379844961226</v>
      </c>
      <c r="H4" s="4" t="s">
        <v>19</v>
      </c>
      <c r="I4" s="9">
        <f>125.79-13-10.5-0.03</f>
        <v>102.26</v>
      </c>
      <c r="J4" s="9">
        <v>80.63</v>
      </c>
      <c r="K4" s="9">
        <v>103.5</v>
      </c>
      <c r="L4" s="13">
        <f t="shared" si="1"/>
        <v>1.1980676328502367E-2</v>
      </c>
      <c r="N4" s="11">
        <f t="shared" ref="N4:N15" si="5">IFERROR(I4/C4,0)</f>
        <v>0.11339417393907809</v>
      </c>
      <c r="O4" s="11">
        <f t="shared" si="2"/>
        <v>0.12385560675883256</v>
      </c>
      <c r="P4" s="11">
        <f t="shared" si="3"/>
        <v>0.2005813953488372</v>
      </c>
      <c r="Q4" s="13">
        <f t="shared" si="4"/>
        <v>0.43467252412981355</v>
      </c>
    </row>
    <row r="5" spans="1:17" x14ac:dyDescent="0.35">
      <c r="A5" s="18">
        <v>2024</v>
      </c>
      <c r="B5" s="2" t="s">
        <v>20</v>
      </c>
      <c r="C5" s="3">
        <f>3.94+536</f>
        <v>539.94000000000005</v>
      </c>
      <c r="D5" s="3">
        <v>523</v>
      </c>
      <c r="E5" s="3">
        <v>1095</v>
      </c>
      <c r="F5" s="13">
        <f t="shared" si="0"/>
        <v>0.50690410958904109</v>
      </c>
      <c r="H5" s="2" t="s">
        <v>20</v>
      </c>
      <c r="I5" s="8">
        <f>98.64-1.74-13-1.79-10.5-0.05</f>
        <v>71.56</v>
      </c>
      <c r="J5" s="8">
        <v>69.23</v>
      </c>
      <c r="K5" s="8">
        <v>151.59</v>
      </c>
      <c r="L5" s="13">
        <f t="shared" si="1"/>
        <v>0.5279371990236823</v>
      </c>
      <c r="N5" s="11">
        <f t="shared" si="5"/>
        <v>0.13253324443456679</v>
      </c>
      <c r="O5" s="11">
        <f t="shared" si="2"/>
        <v>0.13237093690248566</v>
      </c>
      <c r="P5" s="11">
        <f t="shared" si="3"/>
        <v>0.13843835616438357</v>
      </c>
      <c r="Q5" s="13">
        <f t="shared" si="4"/>
        <v>4.2655170817002271E-2</v>
      </c>
    </row>
    <row r="6" spans="1:17" x14ac:dyDescent="0.35">
      <c r="A6" s="18">
        <v>2024</v>
      </c>
      <c r="B6" s="4" t="s">
        <v>21</v>
      </c>
      <c r="C6" s="5">
        <f>591+3.54</f>
        <v>594.54</v>
      </c>
      <c r="D6" s="5">
        <v>1401</v>
      </c>
      <c r="E6" s="5">
        <v>1917</v>
      </c>
      <c r="F6" s="13">
        <f t="shared" si="0"/>
        <v>0.6898591549295775</v>
      </c>
      <c r="H6" s="4" t="s">
        <v>21</v>
      </c>
      <c r="I6" s="9">
        <f>99.72-13-10.5-0.03</f>
        <v>76.19</v>
      </c>
      <c r="J6" s="9">
        <v>143.62</v>
      </c>
      <c r="K6" s="9">
        <v>223.82</v>
      </c>
      <c r="L6" s="13">
        <f t="shared" si="1"/>
        <v>0.65959252971137516</v>
      </c>
      <c r="N6" s="11">
        <f t="shared" si="5"/>
        <v>0.12814949372624215</v>
      </c>
      <c r="O6" s="11">
        <f t="shared" si="2"/>
        <v>0.10251249107780157</v>
      </c>
      <c r="P6" s="11">
        <f t="shared" si="3"/>
        <v>0.11675534689619196</v>
      </c>
      <c r="Q6" s="13">
        <f t="shared" si="4"/>
        <v>-9.7589935989662285E-2</v>
      </c>
    </row>
    <row r="7" spans="1:17" x14ac:dyDescent="0.35">
      <c r="A7" s="18">
        <v>2025</v>
      </c>
      <c r="B7" s="2" t="s">
        <v>22</v>
      </c>
      <c r="C7" s="3">
        <f>3.41+661</f>
        <v>664.41</v>
      </c>
      <c r="D7" s="3">
        <v>1649</v>
      </c>
      <c r="E7" s="3">
        <v>1908</v>
      </c>
      <c r="F7" s="13">
        <f t="shared" si="0"/>
        <v>0.65177672955974852</v>
      </c>
      <c r="H7" s="2" t="s">
        <v>22</v>
      </c>
      <c r="I7" s="8">
        <f>105.05-13-10.5-0.01</f>
        <v>81.539999999999992</v>
      </c>
      <c r="J7" s="8">
        <v>162.1</v>
      </c>
      <c r="K7" s="8">
        <v>224.99</v>
      </c>
      <c r="L7" s="13">
        <f t="shared" si="1"/>
        <v>0.63758389261744974</v>
      </c>
      <c r="N7" s="11">
        <f t="shared" si="5"/>
        <v>0.12272542556553935</v>
      </c>
      <c r="O7" s="11">
        <f t="shared" si="2"/>
        <v>9.8302001212856274E-2</v>
      </c>
      <c r="P7" s="11">
        <f t="shared" si="3"/>
        <v>0.11791928721174004</v>
      </c>
      <c r="Q7" s="13">
        <f t="shared" si="4"/>
        <v>-4.0757864700871525E-2</v>
      </c>
    </row>
    <row r="8" spans="1:17" x14ac:dyDescent="0.35">
      <c r="A8" s="18">
        <v>2025</v>
      </c>
      <c r="B8" s="4" t="s">
        <v>23</v>
      </c>
      <c r="C8" s="5">
        <f>3.99+1253</f>
        <v>1256.99</v>
      </c>
      <c r="D8" s="5">
        <v>775</v>
      </c>
      <c r="E8" s="5">
        <v>865</v>
      </c>
      <c r="F8" s="13">
        <f t="shared" si="0"/>
        <v>-0.45316763005780347</v>
      </c>
      <c r="H8" s="4" t="s">
        <v>23</v>
      </c>
      <c r="I8" s="9">
        <f>154.71-1.01-13-1.04-10.5-0.04</f>
        <v>129.12000000000003</v>
      </c>
      <c r="J8" s="9">
        <v>89.94</v>
      </c>
      <c r="K8" s="9">
        <v>135.38</v>
      </c>
      <c r="L8" s="13">
        <f t="shared" si="1"/>
        <v>4.6240212734524763E-2</v>
      </c>
      <c r="N8" s="11">
        <f t="shared" si="5"/>
        <v>0.10272158091949819</v>
      </c>
      <c r="O8" s="11">
        <f t="shared" si="2"/>
        <v>0.1160516129032258</v>
      </c>
      <c r="P8" s="11">
        <f t="shared" si="3"/>
        <v>0.15650867052023121</v>
      </c>
      <c r="Q8" s="13">
        <f t="shared" si="4"/>
        <v>0.34366843333309249</v>
      </c>
    </row>
    <row r="9" spans="1:17" x14ac:dyDescent="0.35">
      <c r="A9" s="18">
        <v>2025</v>
      </c>
      <c r="B9" s="2" t="s">
        <v>24</v>
      </c>
      <c r="C9" s="3">
        <f>5.37+1041</f>
        <v>1046.3699999999999</v>
      </c>
      <c r="D9" s="3">
        <v>492</v>
      </c>
      <c r="E9" s="3">
        <v>839</v>
      </c>
      <c r="F9" s="13">
        <f t="shared" si="0"/>
        <v>-0.24716328963051237</v>
      </c>
      <c r="H9" s="2" t="s">
        <v>24</v>
      </c>
      <c r="I9" s="8">
        <f>136.85-13-10.5-0.03</f>
        <v>113.32</v>
      </c>
      <c r="J9" s="8">
        <v>67.239999999999995</v>
      </c>
      <c r="K9" s="8">
        <v>131.44</v>
      </c>
      <c r="L9" s="13">
        <f t="shared" si="1"/>
        <v>0.1378575776019477</v>
      </c>
      <c r="N9" s="11">
        <f t="shared" si="5"/>
        <v>0.10829821191356787</v>
      </c>
      <c r="O9" s="11">
        <f t="shared" si="2"/>
        <v>0.13666666666666666</v>
      </c>
      <c r="P9" s="11">
        <f t="shared" si="3"/>
        <v>0.15666269368295591</v>
      </c>
      <c r="Q9" s="13">
        <f t="shared" si="4"/>
        <v>0.30871728700940781</v>
      </c>
    </row>
    <row r="10" spans="1:17" x14ac:dyDescent="0.35">
      <c r="A10" s="18">
        <v>2025</v>
      </c>
      <c r="B10" s="4" t="s">
        <v>25</v>
      </c>
      <c r="C10" s="5">
        <f>3.74+442</f>
        <v>445.74</v>
      </c>
      <c r="D10" s="5">
        <v>639</v>
      </c>
      <c r="E10" s="5">
        <v>785</v>
      </c>
      <c r="F10" s="13">
        <f t="shared" si="0"/>
        <v>0.43217834394904459</v>
      </c>
      <c r="H10" s="4" t="s">
        <v>25</v>
      </c>
      <c r="I10" s="9">
        <f>86.72-13-10.5-0.04</f>
        <v>63.18</v>
      </c>
      <c r="J10" s="9">
        <v>77.98</v>
      </c>
      <c r="K10" s="9">
        <v>102.35</v>
      </c>
      <c r="L10" s="13">
        <f t="shared" si="1"/>
        <v>0.38270639960918412</v>
      </c>
      <c r="N10" s="11">
        <f t="shared" si="5"/>
        <v>0.14174182258715842</v>
      </c>
      <c r="O10" s="11">
        <f t="shared" si="2"/>
        <v>0.12203442879499218</v>
      </c>
      <c r="P10" s="11">
        <f t="shared" si="3"/>
        <v>0.13038216560509552</v>
      </c>
      <c r="Q10" s="13">
        <f t="shared" si="4"/>
        <v>-8.7125849838000757E-2</v>
      </c>
    </row>
    <row r="11" spans="1:17" x14ac:dyDescent="0.35">
      <c r="A11" s="18">
        <v>2025</v>
      </c>
      <c r="B11" s="2" t="s">
        <v>26</v>
      </c>
      <c r="C11" s="3">
        <f>3.66+599</f>
        <v>602.66</v>
      </c>
      <c r="D11" s="3">
        <v>901</v>
      </c>
      <c r="E11" s="3">
        <v>965</v>
      </c>
      <c r="F11" s="13">
        <f t="shared" si="0"/>
        <v>0.37548186528497413</v>
      </c>
      <c r="H11" s="2" t="s">
        <v>26</v>
      </c>
      <c r="I11" s="8">
        <f>98.57-13-10.5-0.04</f>
        <v>75.029999999999987</v>
      </c>
      <c r="J11" s="8">
        <v>99.42</v>
      </c>
      <c r="K11" s="8">
        <v>107.15</v>
      </c>
      <c r="L11" s="13">
        <f t="shared" si="1"/>
        <v>0.29976668222118541</v>
      </c>
      <c r="N11" s="11">
        <f t="shared" si="5"/>
        <v>0.12449805860684299</v>
      </c>
      <c r="O11" s="11">
        <f t="shared" si="2"/>
        <v>0.11034406215316316</v>
      </c>
      <c r="P11" s="11">
        <f t="shared" si="3"/>
        <v>0.11103626943005182</v>
      </c>
      <c r="Q11" s="13">
        <f t="shared" si="4"/>
        <v>-0.12123776533461013</v>
      </c>
    </row>
    <row r="12" spans="1:17" x14ac:dyDescent="0.35">
      <c r="A12" s="18">
        <v>2025</v>
      </c>
      <c r="B12" s="4" t="s">
        <v>27</v>
      </c>
      <c r="C12" s="5">
        <f>3.7+764</f>
        <v>767.7</v>
      </c>
      <c r="D12" s="5">
        <v>1432</v>
      </c>
      <c r="E12" s="5">
        <v>1022</v>
      </c>
      <c r="F12" s="13">
        <f t="shared" si="0"/>
        <v>0.24882583170254399</v>
      </c>
      <c r="H12" s="4" t="s">
        <v>27</v>
      </c>
      <c r="I12" s="9">
        <f>113.03-13-10.5-0.02</f>
        <v>89.51</v>
      </c>
      <c r="J12" s="9">
        <v>145.78</v>
      </c>
      <c r="K12" s="9">
        <v>109.61</v>
      </c>
      <c r="L12" s="13">
        <f t="shared" si="1"/>
        <v>0.18337742906669094</v>
      </c>
      <c r="N12" s="11">
        <f t="shared" si="5"/>
        <v>0.11659502409795493</v>
      </c>
      <c r="O12" s="11">
        <f t="shared" si="2"/>
        <v>0.10180167597765363</v>
      </c>
      <c r="P12" s="11">
        <f t="shared" si="3"/>
        <v>0.10725048923679061</v>
      </c>
      <c r="Q12" s="13">
        <f t="shared" si="4"/>
        <v>-8.7128132726119301E-2</v>
      </c>
    </row>
    <row r="13" spans="1:17" x14ac:dyDescent="0.35">
      <c r="A13" s="18">
        <v>2025</v>
      </c>
      <c r="B13" s="2" t="s">
        <v>28</v>
      </c>
      <c r="C13" s="3">
        <f>4.45+1415</f>
        <v>1419.45</v>
      </c>
      <c r="D13" s="3">
        <v>1526</v>
      </c>
      <c r="E13" s="3">
        <v>1432</v>
      </c>
      <c r="F13" s="13">
        <f t="shared" si="0"/>
        <v>8.7639664804468956E-3</v>
      </c>
      <c r="H13" s="2" t="s">
        <v>28</v>
      </c>
      <c r="I13" s="8">
        <f>166.43-13-10.5-0.01</f>
        <v>142.92000000000002</v>
      </c>
      <c r="J13" s="8">
        <v>153.94</v>
      </c>
      <c r="K13" s="8">
        <v>144.88</v>
      </c>
      <c r="L13" s="13">
        <f t="shared" si="1"/>
        <v>1.3528437327443261E-2</v>
      </c>
      <c r="N13" s="11">
        <f t="shared" si="5"/>
        <v>0.10068688576561345</v>
      </c>
      <c r="O13" s="11">
        <f t="shared" si="2"/>
        <v>0.1008781127129751</v>
      </c>
      <c r="P13" s="11">
        <f t="shared" si="3"/>
        <v>0.1011731843575419</v>
      </c>
      <c r="Q13" s="13">
        <f t="shared" si="4"/>
        <v>4.8065956905130854E-3</v>
      </c>
    </row>
    <row r="14" spans="1:17" ht="15" thickBot="1" x14ac:dyDescent="0.4">
      <c r="A14" s="18">
        <v>2025</v>
      </c>
      <c r="B14" s="4" t="s">
        <v>29</v>
      </c>
      <c r="C14" s="5">
        <f>1*4.15+1*1558</f>
        <v>1562.15</v>
      </c>
      <c r="D14" s="5">
        <v>1337</v>
      </c>
      <c r="E14" s="5">
        <v>1341</v>
      </c>
      <c r="F14" s="13">
        <f t="shared" si="0"/>
        <v>-0.16491424310216263</v>
      </c>
      <c r="H14" s="4" t="s">
        <v>29</v>
      </c>
      <c r="I14" s="9">
        <f>200.57-13-10.5</f>
        <v>177.07</v>
      </c>
      <c r="J14" s="9">
        <v>136.47</v>
      </c>
      <c r="K14" s="9">
        <v>137.76</v>
      </c>
      <c r="L14" s="13">
        <f t="shared" si="1"/>
        <v>-0.28535133565621373</v>
      </c>
      <c r="N14" s="11">
        <f t="shared" si="5"/>
        <v>0.11335019044265915</v>
      </c>
      <c r="O14" s="11">
        <f t="shared" si="2"/>
        <v>0.10207180254300673</v>
      </c>
      <c r="P14" s="11">
        <f t="shared" si="3"/>
        <v>0.10272930648769574</v>
      </c>
      <c r="Q14" s="13">
        <f t="shared" si="4"/>
        <v>-0.10338708902152974</v>
      </c>
    </row>
    <row r="15" spans="1:17" x14ac:dyDescent="0.35">
      <c r="B15" s="6" t="s">
        <v>2</v>
      </c>
      <c r="C15" s="7">
        <f>SUM(C3:C14)</f>
        <v>11181.84</v>
      </c>
      <c r="D15" s="7">
        <f>SUM(D3:D14)</f>
        <v>12341</v>
      </c>
      <c r="E15" s="7">
        <f>SUM(E3:E14)</f>
        <v>13555</v>
      </c>
      <c r="F15" s="13">
        <f t="shared" si="0"/>
        <v>0.17507635558834378</v>
      </c>
      <c r="H15" s="6" t="s">
        <v>2</v>
      </c>
      <c r="I15" s="10">
        <f>SUM(I3:I14)</f>
        <v>1264.3699999999999</v>
      </c>
      <c r="J15" s="10">
        <f>SUM(J3:J14)</f>
        <v>1336.3400000000001</v>
      </c>
      <c r="K15" s="10">
        <f>SUM(K3:K14)</f>
        <v>1699.0999999999997</v>
      </c>
      <c r="L15" s="57">
        <f t="shared" si="1"/>
        <v>0.25585898416808889</v>
      </c>
      <c r="N15" s="12">
        <f t="shared" si="5"/>
        <v>0.11307351920614138</v>
      </c>
      <c r="O15" s="12">
        <f t="shared" si="2"/>
        <v>0.10828457985576535</v>
      </c>
      <c r="P15" s="12">
        <f t="shared" si="3"/>
        <v>0.12534857985983031</v>
      </c>
      <c r="Q15" s="13">
        <f t="shared" si="4"/>
        <v>9.7927401071598738E-2</v>
      </c>
    </row>
  </sheetData>
  <conditionalFormatting sqref="F3:F15">
    <cfRule type="cellIs" dxfId="13" priority="5" operator="greaterThan">
      <formula>0</formula>
    </cfRule>
    <cfRule type="cellIs" dxfId="12" priority="6" operator="lessThan">
      <formula>0</formula>
    </cfRule>
  </conditionalFormatting>
  <conditionalFormatting sqref="L3:L15">
    <cfRule type="cellIs" dxfId="11" priority="3" operator="greaterThan">
      <formula>0</formula>
    </cfRule>
    <cfRule type="cellIs" dxfId="10" priority="4" operator="lessThan">
      <formula>0</formula>
    </cfRule>
  </conditionalFormatting>
  <conditionalFormatting sqref="Q3:Q15">
    <cfRule type="cellIs" dxfId="9" priority="1" operator="greaterThan">
      <formula>0</formula>
    </cfRule>
    <cfRule type="cellIs" dxfId="8" priority="2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Q15"/>
  <sheetViews>
    <sheetView workbookViewId="0">
      <selection activeCell="Q16" sqref="Q16"/>
    </sheetView>
  </sheetViews>
  <sheetFormatPr defaultRowHeight="14.5" x14ac:dyDescent="0.35"/>
  <cols>
    <col min="2" max="6" width="15.7265625" customWidth="1"/>
    <col min="8" max="12" width="15.7265625" customWidth="1"/>
    <col min="17" max="17" width="11.26953125" bestFit="1" customWidth="1"/>
  </cols>
  <sheetData>
    <row r="1" spans="1:17" x14ac:dyDescent="0.35">
      <c r="C1" s="24" t="s">
        <v>40</v>
      </c>
      <c r="D1" s="24" t="s">
        <v>30</v>
      </c>
      <c r="E1" s="24" t="s">
        <v>31</v>
      </c>
      <c r="I1" s="24" t="s">
        <v>40</v>
      </c>
      <c r="J1" s="24" t="s">
        <v>30</v>
      </c>
      <c r="K1" s="24" t="s">
        <v>31</v>
      </c>
      <c r="N1" s="17" t="s">
        <v>41</v>
      </c>
      <c r="O1" s="17" t="s">
        <v>14</v>
      </c>
      <c r="P1" s="17" t="s">
        <v>15</v>
      </c>
    </row>
    <row r="2" spans="1:17" ht="15" thickBot="1" x14ac:dyDescent="0.4">
      <c r="B2" s="1" t="s">
        <v>0</v>
      </c>
      <c r="C2" s="1" t="s">
        <v>10</v>
      </c>
      <c r="D2" s="1" t="s">
        <v>10</v>
      </c>
      <c r="E2" s="1" t="s">
        <v>10</v>
      </c>
      <c r="F2" s="1" t="s">
        <v>1</v>
      </c>
      <c r="H2" s="1" t="s">
        <v>0</v>
      </c>
      <c r="I2" s="1" t="s">
        <v>39</v>
      </c>
      <c r="J2" s="1" t="s">
        <v>39</v>
      </c>
      <c r="K2" s="1" t="s">
        <v>39</v>
      </c>
      <c r="L2" s="1" t="s">
        <v>1</v>
      </c>
      <c r="N2" s="33" t="s">
        <v>12</v>
      </c>
      <c r="O2" s="33" t="s">
        <v>12</v>
      </c>
      <c r="P2" s="33" t="s">
        <v>12</v>
      </c>
      <c r="Q2" s="34" t="s">
        <v>1</v>
      </c>
    </row>
    <row r="3" spans="1:17" x14ac:dyDescent="0.35">
      <c r="A3" s="18">
        <v>2024</v>
      </c>
      <c r="B3" s="2" t="s">
        <v>18</v>
      </c>
      <c r="C3" s="3">
        <f>160*0.35+160*7</f>
        <v>1176</v>
      </c>
      <c r="D3" s="3">
        <v>2142</v>
      </c>
      <c r="E3" s="3">
        <v>2777</v>
      </c>
      <c r="F3" s="56">
        <f t="shared" ref="F3:F15" si="0">(E3-C3)/E3</f>
        <v>0.5765214259992798</v>
      </c>
      <c r="H3" s="2" t="s">
        <v>18</v>
      </c>
      <c r="I3" s="8">
        <f>704.88-209.61-13-0.95</f>
        <v>481.32</v>
      </c>
      <c r="J3" s="8">
        <v>577.03</v>
      </c>
      <c r="K3" s="8">
        <v>629.16999999999996</v>
      </c>
      <c r="L3" s="13">
        <f t="shared" ref="L3:L15" si="1">(K3-I3)/K3</f>
        <v>0.23499213249201326</v>
      </c>
      <c r="N3" s="11">
        <f>IFERROR(I3/C3,0)</f>
        <v>0.40928571428571425</v>
      </c>
      <c r="O3" s="11">
        <f t="shared" ref="O3:O15" si="2">J3/D3</f>
        <v>0.26938842203548086</v>
      </c>
      <c r="P3" s="11">
        <f t="shared" ref="P3:P15" si="3">K3/E3</f>
        <v>0.22656463809866761</v>
      </c>
      <c r="Q3" s="13">
        <f t="shared" ref="Q3:Q15" si="4">(P3-N3)/P3</f>
        <v>-0.8064854150252373</v>
      </c>
    </row>
    <row r="4" spans="1:17" x14ac:dyDescent="0.35">
      <c r="A4" s="18">
        <v>2024</v>
      </c>
      <c r="B4" s="4" t="s">
        <v>19</v>
      </c>
      <c r="C4" s="5">
        <f>160*(0.35+3)</f>
        <v>536</v>
      </c>
      <c r="D4" s="5">
        <v>3073</v>
      </c>
      <c r="E4" s="5">
        <v>3252</v>
      </c>
      <c r="F4" s="56">
        <f t="shared" si="0"/>
        <v>0.83517835178351785</v>
      </c>
      <c r="H4" s="4" t="s">
        <v>19</v>
      </c>
      <c r="I4" s="9">
        <v>423.54</v>
      </c>
      <c r="J4" s="9">
        <v>672.32</v>
      </c>
      <c r="K4" s="9">
        <v>704.98</v>
      </c>
      <c r="L4" s="14">
        <f t="shared" si="1"/>
        <v>0.3992169990638032</v>
      </c>
      <c r="N4" s="11">
        <f t="shared" ref="N4:N15" si="5">IFERROR(I4/C4,0)</f>
        <v>0.79018656716417912</v>
      </c>
      <c r="O4" s="11">
        <f t="shared" si="2"/>
        <v>0.21878294825903027</v>
      </c>
      <c r="P4" s="11">
        <f t="shared" si="3"/>
        <v>0.21678351783517835</v>
      </c>
      <c r="Q4" s="13">
        <f t="shared" si="4"/>
        <v>-2.6450491026949852</v>
      </c>
    </row>
    <row r="5" spans="1:17" x14ac:dyDescent="0.35">
      <c r="A5" s="18">
        <v>2024</v>
      </c>
      <c r="B5" s="2" t="s">
        <v>20</v>
      </c>
      <c r="C5" s="3">
        <f>160*(0.35+9)</f>
        <v>1496</v>
      </c>
      <c r="D5" s="3">
        <v>1360</v>
      </c>
      <c r="E5" s="3">
        <v>2277</v>
      </c>
      <c r="F5" s="56">
        <f t="shared" si="0"/>
        <v>0.34299516908212563</v>
      </c>
      <c r="H5" s="2" t="s">
        <v>20</v>
      </c>
      <c r="I5" s="8">
        <f>758.87-237.15-13-1.08</f>
        <v>507.64000000000004</v>
      </c>
      <c r="J5" s="8">
        <v>511.87</v>
      </c>
      <c r="K5" s="8">
        <v>330.71</v>
      </c>
      <c r="L5" s="13">
        <f t="shared" si="1"/>
        <v>-0.53500045356959292</v>
      </c>
      <c r="N5" s="11">
        <f t="shared" si="5"/>
        <v>0.33933155080213906</v>
      </c>
      <c r="O5" s="11">
        <f t="shared" si="2"/>
        <v>0.37637500000000002</v>
      </c>
      <c r="P5" s="11">
        <f t="shared" si="3"/>
        <v>0.1452393500219587</v>
      </c>
      <c r="Q5" s="13">
        <f t="shared" si="4"/>
        <v>-1.3363609844772482</v>
      </c>
    </row>
    <row r="6" spans="1:17" x14ac:dyDescent="0.35">
      <c r="A6" s="18">
        <v>2024</v>
      </c>
      <c r="B6" s="4" t="s">
        <v>21</v>
      </c>
      <c r="C6" s="5">
        <f>160*(0.35+7)</f>
        <v>1176</v>
      </c>
      <c r="D6" s="5">
        <v>806</v>
      </c>
      <c r="E6" s="5">
        <v>2080</v>
      </c>
      <c r="F6" s="56">
        <f t="shared" si="0"/>
        <v>0.43461538461538463</v>
      </c>
      <c r="H6" s="4" t="s">
        <v>21</v>
      </c>
      <c r="I6" s="9">
        <f>533.85-49.01-13-0.24</f>
        <v>471.6</v>
      </c>
      <c r="J6" s="9">
        <v>194.45</v>
      </c>
      <c r="K6" s="9">
        <v>229.59</v>
      </c>
      <c r="L6" s="14">
        <f t="shared" si="1"/>
        <v>-1.0540964327714621</v>
      </c>
      <c r="N6" s="11">
        <f t="shared" si="5"/>
        <v>0.40102040816326534</v>
      </c>
      <c r="O6" s="11">
        <f t="shared" si="2"/>
        <v>0.2412531017369727</v>
      </c>
      <c r="P6" s="11">
        <f t="shared" si="3"/>
        <v>0.11037980769230769</v>
      </c>
      <c r="Q6" s="13">
        <f t="shared" si="4"/>
        <v>-2.6330957314325181</v>
      </c>
    </row>
    <row r="7" spans="1:17" x14ac:dyDescent="0.35">
      <c r="A7" s="18">
        <v>2025</v>
      </c>
      <c r="B7" s="2" t="s">
        <v>22</v>
      </c>
      <c r="C7" s="3">
        <f>160*(0.01+6)</f>
        <v>961.59999999999991</v>
      </c>
      <c r="D7" s="3">
        <v>800</v>
      </c>
      <c r="E7" s="3">
        <v>2131</v>
      </c>
      <c r="F7" s="56">
        <f t="shared" si="0"/>
        <v>0.54875645236977943</v>
      </c>
      <c r="H7" s="2" t="s">
        <v>22</v>
      </c>
      <c r="I7" s="8">
        <f>136.76-13</f>
        <v>123.75999999999999</v>
      </c>
      <c r="J7" s="8">
        <v>110.52</v>
      </c>
      <c r="K7" s="8">
        <v>237.36</v>
      </c>
      <c r="L7" s="13">
        <f t="shared" si="1"/>
        <v>0.4785979103471521</v>
      </c>
      <c r="N7" s="11">
        <f t="shared" si="5"/>
        <v>0.12870216306156407</v>
      </c>
      <c r="O7" s="11">
        <f t="shared" si="2"/>
        <v>0.13815</v>
      </c>
      <c r="P7" s="11">
        <f t="shared" si="3"/>
        <v>0.11138432660722666</v>
      </c>
      <c r="Q7" s="13">
        <f t="shared" si="4"/>
        <v>-0.15547821656636757</v>
      </c>
    </row>
    <row r="8" spans="1:17" x14ac:dyDescent="0.35">
      <c r="A8" s="18">
        <v>2025</v>
      </c>
      <c r="B8" s="4" t="s">
        <v>23</v>
      </c>
      <c r="C8" s="5">
        <f>160*(0.36+6)</f>
        <v>1017.6</v>
      </c>
      <c r="D8" s="5">
        <v>788</v>
      </c>
      <c r="E8" s="5">
        <v>1805</v>
      </c>
      <c r="F8" s="56">
        <f t="shared" si="0"/>
        <v>0.43623268698060941</v>
      </c>
      <c r="H8" s="4" t="s">
        <v>23</v>
      </c>
      <c r="I8" s="9">
        <f>476.56-13</f>
        <v>463.56</v>
      </c>
      <c r="J8" s="9">
        <v>110.37</v>
      </c>
      <c r="K8" s="9">
        <v>208</v>
      </c>
      <c r="L8" s="14">
        <f t="shared" si="1"/>
        <v>-1.2286538461538461</v>
      </c>
      <c r="N8" s="11">
        <f t="shared" si="5"/>
        <v>0.45554245283018868</v>
      </c>
      <c r="O8" s="11">
        <f t="shared" si="2"/>
        <v>0.14006345177664975</v>
      </c>
      <c r="P8" s="11">
        <f t="shared" si="3"/>
        <v>0.11523545706371191</v>
      </c>
      <c r="Q8" s="13">
        <f t="shared" si="4"/>
        <v>-2.9531448430696661</v>
      </c>
    </row>
    <row r="9" spans="1:17" x14ac:dyDescent="0.35">
      <c r="A9" s="18">
        <v>2025</v>
      </c>
      <c r="B9" s="2" t="s">
        <v>24</v>
      </c>
      <c r="C9" s="3">
        <f>160*(0.01+4)</f>
        <v>641.59999999999991</v>
      </c>
      <c r="D9" s="3">
        <v>813</v>
      </c>
      <c r="E9" s="3">
        <v>1255</v>
      </c>
      <c r="F9" s="56">
        <f t="shared" si="0"/>
        <v>0.48876494023904388</v>
      </c>
      <c r="H9" s="2" t="s">
        <v>24</v>
      </c>
      <c r="I9" s="8">
        <f>112.12-13</f>
        <v>99.12</v>
      </c>
      <c r="J9" s="8">
        <v>362.82</v>
      </c>
      <c r="K9" s="8">
        <v>390.7</v>
      </c>
      <c r="L9" s="13">
        <f t="shared" si="1"/>
        <v>0.74630151011005885</v>
      </c>
      <c r="N9" s="11">
        <f t="shared" si="5"/>
        <v>0.15448877805486289</v>
      </c>
      <c r="O9" s="11">
        <f t="shared" si="2"/>
        <v>0.44627306273062728</v>
      </c>
      <c r="P9" s="11">
        <f t="shared" si="3"/>
        <v>0.31131474103585655</v>
      </c>
      <c r="Q9" s="13">
        <f t="shared" si="4"/>
        <v>0.50375373314857197</v>
      </c>
    </row>
    <row r="10" spans="1:17" x14ac:dyDescent="0.35">
      <c r="A10" s="18">
        <v>2025</v>
      </c>
      <c r="B10" s="4" t="s">
        <v>25</v>
      </c>
      <c r="C10" s="5">
        <f>160*(0.01+4)</f>
        <v>641.59999999999991</v>
      </c>
      <c r="D10" s="5">
        <v>549</v>
      </c>
      <c r="E10" s="5">
        <v>546</v>
      </c>
      <c r="F10" s="56">
        <f t="shared" si="0"/>
        <v>-0.17509157509157491</v>
      </c>
      <c r="H10" s="4" t="s">
        <v>25</v>
      </c>
      <c r="I10" s="9">
        <f>112.1-13</f>
        <v>99.1</v>
      </c>
      <c r="J10" s="9">
        <v>163.85</v>
      </c>
      <c r="K10" s="9">
        <v>183.26</v>
      </c>
      <c r="L10" s="14">
        <f t="shared" si="1"/>
        <v>0.45923824075084579</v>
      </c>
      <c r="N10" s="11">
        <f t="shared" si="5"/>
        <v>0.15445760598503741</v>
      </c>
      <c r="O10" s="11">
        <f t="shared" si="2"/>
        <v>0.29845173041894352</v>
      </c>
      <c r="P10" s="11">
        <f t="shared" si="3"/>
        <v>0.3356410256410256</v>
      </c>
      <c r="Q10" s="13">
        <f t="shared" si="4"/>
        <v>0.53981309141203515</v>
      </c>
    </row>
    <row r="11" spans="1:17" x14ac:dyDescent="0.35">
      <c r="A11" s="18">
        <v>2025</v>
      </c>
      <c r="B11" s="2" t="s">
        <v>26</v>
      </c>
      <c r="C11" s="3">
        <f>160*(0.01+4)</f>
        <v>641.59999999999991</v>
      </c>
      <c r="D11" s="3">
        <v>577</v>
      </c>
      <c r="E11" s="3">
        <v>204</v>
      </c>
      <c r="F11" s="56">
        <f t="shared" si="0"/>
        <v>-2.1450980392156858</v>
      </c>
      <c r="H11" s="2" t="s">
        <v>26</v>
      </c>
      <c r="I11" s="8">
        <f>544.76-407.66-13-1.93</f>
        <v>122.16999999999996</v>
      </c>
      <c r="J11" s="8">
        <v>92.07</v>
      </c>
      <c r="K11" s="8">
        <v>315.67</v>
      </c>
      <c r="L11" s="13">
        <f t="shared" si="1"/>
        <v>0.61298191148984715</v>
      </c>
      <c r="N11" s="11">
        <f t="shared" si="5"/>
        <v>0.19041458852867826</v>
      </c>
      <c r="O11" s="11">
        <f t="shared" si="2"/>
        <v>0.15956672443674175</v>
      </c>
      <c r="P11" s="11">
        <f t="shared" si="3"/>
        <v>1.5474019607843139</v>
      </c>
      <c r="Q11" s="13">
        <f t="shared" si="4"/>
        <v>0.87694562023679679</v>
      </c>
    </row>
    <row r="12" spans="1:17" x14ac:dyDescent="0.35">
      <c r="A12" s="18">
        <v>2025</v>
      </c>
      <c r="B12" s="4" t="s">
        <v>27</v>
      </c>
      <c r="C12" s="5">
        <f>160*(0.01+4)</f>
        <v>641.59999999999991</v>
      </c>
      <c r="D12" s="5">
        <v>775</v>
      </c>
      <c r="E12" s="5">
        <v>381</v>
      </c>
      <c r="F12" s="56">
        <f t="shared" si="0"/>
        <v>-0.68398950131233571</v>
      </c>
      <c r="H12" s="4" t="s">
        <v>27</v>
      </c>
      <c r="I12" s="9">
        <f>327.48-202.83-13-0.92</f>
        <v>110.73</v>
      </c>
      <c r="J12" s="9">
        <v>366.83</v>
      </c>
      <c r="K12" s="9">
        <v>408.63</v>
      </c>
      <c r="L12" s="14">
        <f t="shared" si="1"/>
        <v>0.7290213640701857</v>
      </c>
      <c r="N12" s="11">
        <f t="shared" si="5"/>
        <v>0.17258416458852871</v>
      </c>
      <c r="O12" s="11">
        <f t="shared" si="2"/>
        <v>0.4733290322580645</v>
      </c>
      <c r="P12" s="11">
        <f t="shared" si="3"/>
        <v>1.0725196850393701</v>
      </c>
      <c r="Q12" s="13">
        <f t="shared" si="4"/>
        <v>0.83908531750427184</v>
      </c>
    </row>
    <row r="13" spans="1:17" x14ac:dyDescent="0.35">
      <c r="A13" s="18">
        <v>2025</v>
      </c>
      <c r="B13" s="2" t="s">
        <v>28</v>
      </c>
      <c r="C13" s="3">
        <f>160*(0.35+4)</f>
        <v>696</v>
      </c>
      <c r="D13" s="3">
        <v>572</v>
      </c>
      <c r="E13" s="3">
        <v>256</v>
      </c>
      <c r="F13" s="56">
        <f t="shared" si="0"/>
        <v>-1.71875</v>
      </c>
      <c r="H13" s="2" t="s">
        <v>28</v>
      </c>
      <c r="I13" s="8">
        <f>463.52-19.33-13-0.12</f>
        <v>431.07</v>
      </c>
      <c r="J13" s="8">
        <v>180.31</v>
      </c>
      <c r="K13" s="8">
        <v>165.22</v>
      </c>
      <c r="L13" s="13">
        <f t="shared" si="1"/>
        <v>-1.6090666989468589</v>
      </c>
      <c r="N13" s="11">
        <f t="shared" si="5"/>
        <v>0.61935344827586203</v>
      </c>
      <c r="O13" s="11">
        <f t="shared" si="2"/>
        <v>0.31522727272727274</v>
      </c>
      <c r="P13" s="11">
        <f t="shared" si="3"/>
        <v>0.645390625</v>
      </c>
      <c r="Q13" s="13">
        <f t="shared" si="4"/>
        <v>4.0343283145983053E-2</v>
      </c>
    </row>
    <row r="14" spans="1:17" ht="15" thickBot="1" x14ac:dyDescent="0.4">
      <c r="A14" s="18">
        <v>2025</v>
      </c>
      <c r="B14" s="4" t="s">
        <v>29</v>
      </c>
      <c r="C14" s="5">
        <f>160*0.01+160*4</f>
        <v>641.6</v>
      </c>
      <c r="D14" s="5">
        <v>923</v>
      </c>
      <c r="E14" s="5">
        <v>1278</v>
      </c>
      <c r="F14" s="56">
        <f t="shared" si="0"/>
        <v>0.49796557120500778</v>
      </c>
      <c r="H14" s="4" t="s">
        <v>29</v>
      </c>
      <c r="I14" s="9">
        <f>124.36-13</f>
        <v>111.36</v>
      </c>
      <c r="J14" s="9">
        <v>360.35</v>
      </c>
      <c r="K14" s="9">
        <v>441.5</v>
      </c>
      <c r="L14" s="14">
        <f t="shared" si="1"/>
        <v>0.74776896942242355</v>
      </c>
      <c r="N14" s="11">
        <f t="shared" si="5"/>
        <v>0.17356608478802993</v>
      </c>
      <c r="O14" s="11">
        <f t="shared" si="2"/>
        <v>0.39041170097508127</v>
      </c>
      <c r="P14" s="11">
        <f t="shared" si="3"/>
        <v>0.34546165884194052</v>
      </c>
      <c r="Q14" s="13">
        <f t="shared" si="4"/>
        <v>0.49758220530214664</v>
      </c>
    </row>
    <row r="15" spans="1:17" x14ac:dyDescent="0.35">
      <c r="B15" s="6" t="s">
        <v>2</v>
      </c>
      <c r="C15" s="7">
        <f>SUM(C3:C14)</f>
        <v>10267.200000000003</v>
      </c>
      <c r="D15" s="7">
        <f>SUM(D3:D14)</f>
        <v>13178</v>
      </c>
      <c r="E15" s="7">
        <f>SUM(E3:E14)</f>
        <v>18242</v>
      </c>
      <c r="F15" s="61">
        <f t="shared" si="0"/>
        <v>0.43716697730511989</v>
      </c>
      <c r="H15" s="6" t="s">
        <v>2</v>
      </c>
      <c r="I15" s="10">
        <f>SUM(I3:I14)</f>
        <v>3444.9700000000003</v>
      </c>
      <c r="J15" s="10">
        <f>SUM(J3:J14)</f>
        <v>3702.79</v>
      </c>
      <c r="K15" s="10">
        <f>SUM(K3:K14)</f>
        <v>4244.7899999999991</v>
      </c>
      <c r="L15" s="15">
        <f t="shared" si="1"/>
        <v>0.18842392674313663</v>
      </c>
      <c r="N15" s="12">
        <f t="shared" si="5"/>
        <v>0.33553159576125907</v>
      </c>
      <c r="O15" s="12">
        <f t="shared" si="2"/>
        <v>0.28098269843678858</v>
      </c>
      <c r="P15" s="12">
        <f t="shared" si="3"/>
        <v>0.23269323539085621</v>
      </c>
      <c r="Q15" s="13">
        <f t="shared" si="4"/>
        <v>-0.44194821649054239</v>
      </c>
    </row>
  </sheetData>
  <conditionalFormatting sqref="F3:F15">
    <cfRule type="cellIs" dxfId="7" priority="5" operator="greaterThan">
      <formula>0</formula>
    </cfRule>
    <cfRule type="cellIs" dxfId="6" priority="6" operator="lessThan">
      <formula>0</formula>
    </cfRule>
  </conditionalFormatting>
  <conditionalFormatting sqref="L3:L15">
    <cfRule type="cellIs" dxfId="5" priority="3" operator="greaterThan">
      <formula>0</formula>
    </cfRule>
    <cfRule type="cellIs" dxfId="4" priority="4" operator="lessThan">
      <formula>0</formula>
    </cfRule>
  </conditionalFormatting>
  <conditionalFormatting sqref="Q3:Q15">
    <cfRule type="cellIs" dxfId="3" priority="1" operator="greaterThan">
      <formula>0</formula>
    </cfRule>
    <cfRule type="cellIs" dxfId="2" priority="2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K47"/>
  <sheetViews>
    <sheetView workbookViewId="0">
      <selection activeCell="B4" sqref="B4"/>
    </sheetView>
  </sheetViews>
  <sheetFormatPr defaultRowHeight="14.5" x14ac:dyDescent="0.35"/>
  <cols>
    <col min="3" max="3" width="9.1796875" style="22"/>
    <col min="4" max="4" width="9.54296875" style="22" bestFit="1" customWidth="1"/>
    <col min="5" max="5" width="10.1796875" style="26" bestFit="1" customWidth="1"/>
    <col min="6" max="6" width="5.81640625" customWidth="1"/>
    <col min="9" max="9" width="9.54296875" bestFit="1" customWidth="1"/>
  </cols>
  <sheetData>
    <row r="1" spans="2:11" x14ac:dyDescent="0.35">
      <c r="I1" s="18" t="s">
        <v>32</v>
      </c>
    </row>
    <row r="2" spans="2:11" x14ac:dyDescent="0.35">
      <c r="B2" s="19" t="s">
        <v>0</v>
      </c>
      <c r="C2" s="21" t="s">
        <v>16</v>
      </c>
      <c r="D2" s="21" t="s">
        <v>17</v>
      </c>
      <c r="E2" s="25" t="s">
        <v>11</v>
      </c>
      <c r="G2" s="25" t="s">
        <v>33</v>
      </c>
      <c r="I2" s="21" t="s">
        <v>17</v>
      </c>
      <c r="J2" s="25" t="s">
        <v>11</v>
      </c>
      <c r="K2" s="25" t="s">
        <v>33</v>
      </c>
    </row>
    <row r="3" spans="2:11" x14ac:dyDescent="0.35">
      <c r="B3" s="20">
        <v>45901</v>
      </c>
      <c r="C3" s="22">
        <v>24.4</v>
      </c>
      <c r="D3" s="22">
        <f>C3*10.49</f>
        <v>255.95599999999999</v>
      </c>
      <c r="E3" s="26">
        <v>496.53</v>
      </c>
      <c r="G3" s="37">
        <f>IFERROR(E3/D3,0)</f>
        <v>1.9399037334541873</v>
      </c>
      <c r="I3" s="30">
        <f>IFERROR((D35-D3)/D35,0)</f>
        <v>0.1586206896551724</v>
      </c>
      <c r="J3" s="30">
        <f>(E35-E3)/E35</f>
        <v>7.0725407995209003E-2</v>
      </c>
      <c r="K3" s="30">
        <f>(G35-G3)/G35</f>
        <v>-0.10446570361225145</v>
      </c>
    </row>
    <row r="4" spans="2:11" x14ac:dyDescent="0.35">
      <c r="B4" s="20">
        <v>45870</v>
      </c>
      <c r="C4" s="22">
        <v>17.899999999999999</v>
      </c>
      <c r="D4" s="22">
        <f t="shared" ref="D4:D13" si="0">C4*10.49</f>
        <v>187.77099999999999</v>
      </c>
      <c r="E4" s="26">
        <v>485.42</v>
      </c>
      <c r="G4" s="37">
        <f>IFERROR(E4/D4,0)</f>
        <v>2.5851702339551905</v>
      </c>
      <c r="I4" s="30">
        <f t="shared" ref="I4:I14" si="1">IFERROR((D36-D4)/D36,0)</f>
        <v>0.4688427299703265</v>
      </c>
      <c r="J4" s="30">
        <f t="shared" ref="J4:J13" si="2">(E36-E4)/E36</f>
        <v>0.17636079815392969</v>
      </c>
      <c r="K4" s="30">
        <f t="shared" ref="K4:K15" si="3">(G36-G4)/G36</f>
        <v>-0.55065034090573051</v>
      </c>
    </row>
    <row r="5" spans="2:11" x14ac:dyDescent="0.35">
      <c r="B5" s="20">
        <v>45839</v>
      </c>
      <c r="C5" s="22">
        <v>16.899999999999999</v>
      </c>
      <c r="D5" s="22">
        <f t="shared" si="0"/>
        <v>177.28099999999998</v>
      </c>
      <c r="E5" s="26">
        <v>475.66</v>
      </c>
      <c r="G5" s="37">
        <f>IFERROR(E5/D5,0)</f>
        <v>2.6830850457747872</v>
      </c>
      <c r="I5" s="30">
        <f t="shared" si="1"/>
        <v>5.5865921787709549E-2</v>
      </c>
      <c r="J5" s="30">
        <f t="shared" si="2"/>
        <v>-8.3310558440375423E-2</v>
      </c>
      <c r="K5" s="30">
        <f t="shared" si="3"/>
        <v>-0.14741177491613722</v>
      </c>
    </row>
    <row r="6" spans="2:11" x14ac:dyDescent="0.35">
      <c r="B6" s="20">
        <v>45809</v>
      </c>
      <c r="C6" s="22">
        <v>15.1</v>
      </c>
      <c r="D6" s="22">
        <f>C6*10.49</f>
        <v>158.399</v>
      </c>
      <c r="E6" s="26">
        <v>426.25</v>
      </c>
      <c r="G6" s="37">
        <f t="shared" ref="G6:G14" si="4">IFERROR(E6/D6,0)</f>
        <v>2.6909892107904723</v>
      </c>
      <c r="I6" s="30">
        <f t="shared" si="1"/>
        <v>0.51910828025477707</v>
      </c>
      <c r="J6" s="30">
        <f t="shared" si="2"/>
        <v>0.31568976865899273</v>
      </c>
      <c r="K6" s="30">
        <f t="shared" si="3"/>
        <v>-0.42300273272235933</v>
      </c>
    </row>
    <row r="7" spans="2:11" x14ac:dyDescent="0.35">
      <c r="B7" s="20">
        <v>45778</v>
      </c>
      <c r="C7" s="22">
        <v>25</v>
      </c>
      <c r="D7" s="22">
        <f t="shared" si="0"/>
        <v>262.25</v>
      </c>
      <c r="E7" s="26">
        <v>569.82000000000005</v>
      </c>
      <c r="G7" s="37">
        <f t="shared" si="4"/>
        <v>2.1728122020972358</v>
      </c>
      <c r="I7" s="30">
        <f t="shared" si="1"/>
        <v>0.37500000000000006</v>
      </c>
      <c r="J7" s="30">
        <f t="shared" si="2"/>
        <v>0.22545128316659405</v>
      </c>
      <c r="K7" s="30">
        <f t="shared" si="3"/>
        <v>-0.23927794693344973</v>
      </c>
    </row>
    <row r="8" spans="2:11" x14ac:dyDescent="0.35">
      <c r="B8" s="20">
        <v>45748</v>
      </c>
      <c r="C8" s="22">
        <v>89.7</v>
      </c>
      <c r="D8" s="22">
        <f t="shared" si="0"/>
        <v>940.95300000000009</v>
      </c>
      <c r="E8" s="26">
        <v>1259.92</v>
      </c>
      <c r="G8" s="37">
        <f t="shared" si="4"/>
        <v>1.3389829247581972</v>
      </c>
      <c r="I8" s="30">
        <f t="shared" si="1"/>
        <v>-0.52551020408163274</v>
      </c>
      <c r="J8" s="30">
        <f t="shared" si="2"/>
        <v>-0.28185249621015585</v>
      </c>
      <c r="K8" s="30">
        <f t="shared" si="3"/>
        <v>0.159722109507724</v>
      </c>
    </row>
    <row r="9" spans="2:11" x14ac:dyDescent="0.35">
      <c r="B9" s="20">
        <v>45717</v>
      </c>
      <c r="C9" s="22">
        <v>133</v>
      </c>
      <c r="D9" s="22">
        <f t="shared" si="0"/>
        <v>1395.17</v>
      </c>
      <c r="E9" s="26">
        <v>1658.08</v>
      </c>
      <c r="G9" s="37">
        <f t="shared" si="4"/>
        <v>1.1884429854426342</v>
      </c>
      <c r="I9" s="30">
        <f t="shared" si="1"/>
        <v>0.22584400465657747</v>
      </c>
      <c r="J9" s="30">
        <f t="shared" si="2"/>
        <v>0.34312133049148635</v>
      </c>
      <c r="K9" s="30">
        <f t="shared" si="3"/>
        <v>0.15149056074013031</v>
      </c>
    </row>
    <row r="10" spans="2:11" x14ac:dyDescent="0.35">
      <c r="B10" s="20">
        <v>45689</v>
      </c>
      <c r="C10" s="22">
        <v>370.2</v>
      </c>
      <c r="D10" s="22">
        <f t="shared" si="0"/>
        <v>3883.3980000000001</v>
      </c>
      <c r="E10" s="26">
        <v>3859.31</v>
      </c>
      <c r="G10" s="37">
        <f t="shared" si="4"/>
        <v>0.99379718483657864</v>
      </c>
      <c r="I10" s="30">
        <f t="shared" si="1"/>
        <v>-1.0284931506849315</v>
      </c>
      <c r="J10" s="30">
        <f t="shared" si="2"/>
        <v>-0.44623611589944989</v>
      </c>
      <c r="K10" s="30">
        <f t="shared" si="3"/>
        <v>0.28703919191882882</v>
      </c>
    </row>
    <row r="11" spans="2:11" x14ac:dyDescent="0.35">
      <c r="B11" s="20">
        <v>45658</v>
      </c>
      <c r="C11" s="22">
        <v>648.5</v>
      </c>
      <c r="D11" s="22">
        <f t="shared" si="0"/>
        <v>6802.7650000000003</v>
      </c>
      <c r="E11" s="26">
        <v>6219.51</v>
      </c>
      <c r="G11" s="37">
        <f t="shared" si="4"/>
        <v>0.91426206843834823</v>
      </c>
      <c r="I11" s="30">
        <f t="shared" si="1"/>
        <v>-1.6975873544093176</v>
      </c>
      <c r="J11" s="30">
        <f t="shared" si="2"/>
        <v>-0.8002518235498437</v>
      </c>
      <c r="K11" s="30">
        <f t="shared" si="3"/>
        <v>0.3326437341844527</v>
      </c>
    </row>
    <row r="12" spans="2:11" x14ac:dyDescent="0.35">
      <c r="B12" s="20">
        <v>45627</v>
      </c>
      <c r="C12" s="22">
        <v>327.7</v>
      </c>
      <c r="D12" s="22">
        <f t="shared" si="0"/>
        <v>3437.5729999999999</v>
      </c>
      <c r="E12" s="26">
        <v>3450.57</v>
      </c>
      <c r="G12" s="37">
        <f t="shared" si="4"/>
        <v>1.003780865162718</v>
      </c>
      <c r="I12" s="30">
        <f t="shared" si="1"/>
        <v>-0.17371060171919767</v>
      </c>
      <c r="J12" s="30">
        <f>(E44-E12)/E44</f>
        <v>0.1161653547945872</v>
      </c>
      <c r="K12" s="30">
        <f t="shared" si="3"/>
        <v>0.24697396111885492</v>
      </c>
    </row>
    <row r="13" spans="2:11" x14ac:dyDescent="0.35">
      <c r="B13" s="20">
        <v>45597</v>
      </c>
      <c r="C13" s="22">
        <v>139.5</v>
      </c>
      <c r="D13" s="22">
        <f t="shared" si="0"/>
        <v>1463.355</v>
      </c>
      <c r="E13" s="26">
        <v>1711.28</v>
      </c>
      <c r="G13" s="37">
        <f t="shared" si="4"/>
        <v>1.1694223206262322</v>
      </c>
      <c r="I13" s="30">
        <f t="shared" si="1"/>
        <v>0.3502561714019562</v>
      </c>
      <c r="J13" s="30">
        <f t="shared" si="2"/>
        <v>0.45760262184511719</v>
      </c>
      <c r="K13" s="30">
        <f t="shared" si="3"/>
        <v>0.16521349756377535</v>
      </c>
    </row>
    <row r="14" spans="2:11" x14ac:dyDescent="0.35">
      <c r="B14" s="20">
        <v>45566</v>
      </c>
      <c r="C14" s="22">
        <v>36.200000000000003</v>
      </c>
      <c r="D14" s="22">
        <f>C14*10.49</f>
        <v>379.73800000000006</v>
      </c>
      <c r="E14" s="26">
        <v>623.88</v>
      </c>
      <c r="G14" s="37">
        <f t="shared" si="4"/>
        <v>1.6429222253237756</v>
      </c>
      <c r="I14" s="30">
        <f t="shared" si="1"/>
        <v>0.29708737864077661</v>
      </c>
      <c r="J14" s="30">
        <f>(E46-E14)/E46</f>
        <v>0.43031420927195863</v>
      </c>
      <c r="K14" s="30">
        <f>(G46-G14)/G46</f>
        <v>0.18953540821839432</v>
      </c>
    </row>
    <row r="15" spans="2:11" s="18" customFormat="1" x14ac:dyDescent="0.35">
      <c r="B15"/>
      <c r="C15" s="22"/>
      <c r="D15" s="27">
        <f>SUM(D3:D14)</f>
        <v>19344.609</v>
      </c>
      <c r="E15" s="28">
        <f>SUM(E3:E14)</f>
        <v>21236.23</v>
      </c>
      <c r="F15"/>
      <c r="G15" s="38">
        <f>E15/D15</f>
        <v>1.0977854346913913</v>
      </c>
      <c r="I15" s="30">
        <f>IFERROR((D47-D15)/D47,0)</f>
        <v>-0.3650899400399733</v>
      </c>
      <c r="J15" s="30">
        <f>(E47-E15)/E47</f>
        <v>-2.5609039325373232E-2</v>
      </c>
      <c r="K15" s="30">
        <f t="shared" si="3"/>
        <v>0.24868757050884063</v>
      </c>
    </row>
    <row r="16" spans="2:11" x14ac:dyDescent="0.35">
      <c r="I16" s="32">
        <f>D15-D47</f>
        <v>5173.6679999999997</v>
      </c>
      <c r="J16" s="26">
        <f>E47-E15</f>
        <v>-530.2599999999984</v>
      </c>
    </row>
    <row r="17" spans="2:9" x14ac:dyDescent="0.35">
      <c r="I17" s="32"/>
    </row>
    <row r="19" spans="2:9" x14ac:dyDescent="0.35">
      <c r="B19" s="19" t="s">
        <v>0</v>
      </c>
      <c r="C19" s="21" t="s">
        <v>16</v>
      </c>
      <c r="D19" s="21" t="s">
        <v>17</v>
      </c>
      <c r="E19" s="25" t="s">
        <v>11</v>
      </c>
      <c r="G19" s="25" t="s">
        <v>33</v>
      </c>
    </row>
    <row r="20" spans="2:9" x14ac:dyDescent="0.35">
      <c r="B20" s="20">
        <v>45536</v>
      </c>
      <c r="C20" s="22">
        <v>24.4</v>
      </c>
      <c r="D20" s="22">
        <f>C20*10.49</f>
        <v>255.95599999999999</v>
      </c>
      <c r="E20" s="26">
        <v>496.53</v>
      </c>
      <c r="G20" s="23">
        <f>E20/D20</f>
        <v>1.9399037334541873</v>
      </c>
    </row>
    <row r="21" spans="2:9" x14ac:dyDescent="0.35">
      <c r="B21" s="20">
        <v>45505</v>
      </c>
      <c r="C21" s="22">
        <v>18.5</v>
      </c>
      <c r="D21" s="22">
        <f t="shared" ref="D21:D30" si="5">C21*10.49</f>
        <v>194.065</v>
      </c>
      <c r="E21" s="26">
        <v>426.46</v>
      </c>
      <c r="G21" s="23">
        <f t="shared" ref="G21:G32" si="6">E21/D21</f>
        <v>2.1975111431736787</v>
      </c>
    </row>
    <row r="22" spans="2:9" x14ac:dyDescent="0.35">
      <c r="B22" s="20">
        <v>45474</v>
      </c>
      <c r="C22" s="22">
        <v>4.4000000000000004</v>
      </c>
      <c r="D22" s="22">
        <f t="shared" si="5"/>
        <v>46.156000000000006</v>
      </c>
      <c r="E22" s="26">
        <v>254.83</v>
      </c>
      <c r="G22" s="23">
        <f t="shared" si="6"/>
        <v>5.5210590172458618</v>
      </c>
    </row>
    <row r="23" spans="2:9" x14ac:dyDescent="0.35">
      <c r="B23" s="20">
        <v>45444</v>
      </c>
      <c r="C23" s="22">
        <v>1.4</v>
      </c>
      <c r="D23" s="22">
        <f>C23*10.49</f>
        <v>14.686</v>
      </c>
      <c r="E23" s="26">
        <v>221.28</v>
      </c>
      <c r="G23" s="23">
        <f t="shared" si="6"/>
        <v>15.067411139861091</v>
      </c>
    </row>
    <row r="24" spans="2:9" x14ac:dyDescent="0.35">
      <c r="B24" s="20">
        <v>45413</v>
      </c>
      <c r="C24" s="22">
        <v>23.7</v>
      </c>
      <c r="D24" s="22">
        <f t="shared" si="5"/>
        <v>248.613</v>
      </c>
      <c r="E24" s="26">
        <v>453.17</v>
      </c>
      <c r="G24" s="23">
        <f t="shared" si="6"/>
        <v>1.8227928547581986</v>
      </c>
    </row>
    <row r="25" spans="2:9" x14ac:dyDescent="0.35">
      <c r="B25" s="20">
        <v>45383</v>
      </c>
      <c r="C25" s="22">
        <v>108.7</v>
      </c>
      <c r="D25" s="22">
        <f t="shared" si="5"/>
        <v>1140.2630000000001</v>
      </c>
      <c r="E25" s="26">
        <v>1296.57</v>
      </c>
      <c r="G25" s="23">
        <f t="shared" si="6"/>
        <v>1.1370797789632741</v>
      </c>
    </row>
    <row r="26" spans="2:9" x14ac:dyDescent="0.35">
      <c r="B26" s="20">
        <v>45352</v>
      </c>
      <c r="C26" s="22">
        <v>162.30000000000001</v>
      </c>
      <c r="D26" s="22">
        <f t="shared" si="5"/>
        <v>1702.527</v>
      </c>
      <c r="E26" s="26">
        <v>1802.34</v>
      </c>
      <c r="G26" s="23">
        <f t="shared" si="6"/>
        <v>1.0586263830177143</v>
      </c>
    </row>
    <row r="27" spans="2:9" x14ac:dyDescent="0.35">
      <c r="B27" s="20">
        <v>45323</v>
      </c>
      <c r="C27" s="22">
        <v>284.39999999999998</v>
      </c>
      <c r="D27" s="22">
        <f t="shared" si="5"/>
        <v>2983.3559999999998</v>
      </c>
      <c r="E27" s="26">
        <v>2810.77</v>
      </c>
      <c r="G27" s="23">
        <f t="shared" si="6"/>
        <v>0.94215038366188952</v>
      </c>
    </row>
    <row r="28" spans="2:9" x14ac:dyDescent="0.35">
      <c r="B28" s="20">
        <v>45292</v>
      </c>
      <c r="C28" s="22">
        <v>620.4</v>
      </c>
      <c r="D28" s="22">
        <f t="shared" si="5"/>
        <v>6507.9960000000001</v>
      </c>
      <c r="E28" s="26">
        <v>5810.07</v>
      </c>
      <c r="G28" s="23">
        <f t="shared" si="6"/>
        <v>0.89275869253761064</v>
      </c>
    </row>
    <row r="29" spans="2:9" x14ac:dyDescent="0.35">
      <c r="B29" s="20">
        <v>45261</v>
      </c>
      <c r="C29" s="22">
        <v>312.39999999999998</v>
      </c>
      <c r="D29" s="22">
        <f t="shared" si="5"/>
        <v>3277.076</v>
      </c>
      <c r="E29" s="26">
        <v>3330.44</v>
      </c>
      <c r="G29" s="23">
        <f t="shared" si="6"/>
        <v>1.01628402881105</v>
      </c>
    </row>
    <row r="30" spans="2:9" x14ac:dyDescent="0.35">
      <c r="B30" s="20">
        <v>45231</v>
      </c>
      <c r="C30" s="22">
        <v>229</v>
      </c>
      <c r="D30" s="22">
        <f t="shared" si="5"/>
        <v>2402.21</v>
      </c>
      <c r="E30" s="26">
        <v>2617.96</v>
      </c>
      <c r="G30" s="23">
        <f t="shared" si="6"/>
        <v>1.0898131304090817</v>
      </c>
    </row>
    <row r="31" spans="2:9" s="18" customFormat="1" x14ac:dyDescent="0.35">
      <c r="B31" s="20">
        <v>45200</v>
      </c>
      <c r="C31" s="22">
        <v>39.799999999999997</v>
      </c>
      <c r="D31" s="22">
        <f>C31*10.49</f>
        <v>417.50199999999995</v>
      </c>
      <c r="E31" s="26">
        <v>654.94000000000005</v>
      </c>
      <c r="F31"/>
      <c r="G31" s="23">
        <f t="shared" si="6"/>
        <v>1.568711048090788</v>
      </c>
    </row>
    <row r="32" spans="2:9" x14ac:dyDescent="0.35">
      <c r="B32" s="18"/>
      <c r="C32" s="27"/>
      <c r="D32" s="27">
        <f>SUM(D20:D31)</f>
        <v>19190.405999999999</v>
      </c>
      <c r="E32" s="28">
        <f>SUM(E20:E31)</f>
        <v>20175.359999999997</v>
      </c>
      <c r="F32" s="18"/>
      <c r="G32" s="29">
        <f t="shared" si="6"/>
        <v>1.051325334127897</v>
      </c>
    </row>
    <row r="35" spans="2:7" x14ac:dyDescent="0.35">
      <c r="B35" s="20">
        <v>45170</v>
      </c>
      <c r="C35" s="22">
        <v>29</v>
      </c>
      <c r="D35" s="22">
        <f t="shared" ref="D35:D46" si="7">C35*10.49</f>
        <v>304.20999999999998</v>
      </c>
      <c r="E35" s="26">
        <v>534.32000000000005</v>
      </c>
      <c r="G35" s="23">
        <f>E35/D35</f>
        <v>1.7564182636994186</v>
      </c>
    </row>
    <row r="36" spans="2:7" x14ac:dyDescent="0.35">
      <c r="B36" s="20">
        <v>45139</v>
      </c>
      <c r="C36" s="22">
        <v>33.700000000000003</v>
      </c>
      <c r="D36" s="22">
        <f t="shared" si="7"/>
        <v>353.51300000000003</v>
      </c>
      <c r="E36" s="26">
        <v>589.36</v>
      </c>
      <c r="G36" s="23">
        <f t="shared" ref="G36:G47" si="8">E36/D36</f>
        <v>1.6671522687991671</v>
      </c>
    </row>
    <row r="37" spans="2:7" x14ac:dyDescent="0.35">
      <c r="B37" s="20">
        <v>45108</v>
      </c>
      <c r="C37" s="22">
        <v>17.899999999999999</v>
      </c>
      <c r="D37" s="22">
        <f t="shared" si="7"/>
        <v>187.77099999999999</v>
      </c>
      <c r="E37" s="26">
        <v>439.08</v>
      </c>
      <c r="G37" s="23">
        <f t="shared" si="8"/>
        <v>2.3383802610626776</v>
      </c>
    </row>
    <row r="38" spans="2:7" x14ac:dyDescent="0.35">
      <c r="B38" s="20">
        <v>45078</v>
      </c>
      <c r="C38" s="22">
        <v>31.4</v>
      </c>
      <c r="D38" s="22">
        <f t="shared" si="7"/>
        <v>329.38599999999997</v>
      </c>
      <c r="E38" s="26">
        <v>622.89</v>
      </c>
      <c r="G38" s="23">
        <f t="shared" si="8"/>
        <v>1.8910639796469797</v>
      </c>
    </row>
    <row r="39" spans="2:7" x14ac:dyDescent="0.35">
      <c r="B39" s="20">
        <v>45047</v>
      </c>
      <c r="C39" s="22">
        <v>40</v>
      </c>
      <c r="D39" s="22">
        <f t="shared" si="7"/>
        <v>419.6</v>
      </c>
      <c r="E39" s="26">
        <v>735.68</v>
      </c>
      <c r="G39" s="23">
        <f t="shared" si="8"/>
        <v>1.7532888465204954</v>
      </c>
    </row>
    <row r="40" spans="2:7" x14ac:dyDescent="0.35">
      <c r="B40" s="20">
        <v>45017</v>
      </c>
      <c r="C40" s="22">
        <v>58.8</v>
      </c>
      <c r="D40" s="22">
        <f t="shared" si="7"/>
        <v>616.81200000000001</v>
      </c>
      <c r="E40" s="26">
        <v>982.89</v>
      </c>
      <c r="G40" s="23">
        <f t="shared" si="8"/>
        <v>1.5935001264566837</v>
      </c>
    </row>
    <row r="41" spans="2:7" x14ac:dyDescent="0.35">
      <c r="B41" s="20">
        <v>44986</v>
      </c>
      <c r="C41" s="22">
        <v>171.8</v>
      </c>
      <c r="D41" s="22">
        <f t="shared" si="7"/>
        <v>1802.1820000000002</v>
      </c>
      <c r="E41" s="26">
        <v>2524.1799999999998</v>
      </c>
      <c r="G41" s="23">
        <f t="shared" si="8"/>
        <v>1.4006243542550083</v>
      </c>
    </row>
    <row r="42" spans="2:7" x14ac:dyDescent="0.35">
      <c r="B42" s="20">
        <v>44958</v>
      </c>
      <c r="C42" s="22">
        <v>182.5</v>
      </c>
      <c r="D42" s="22">
        <f t="shared" si="7"/>
        <v>1914.425</v>
      </c>
      <c r="E42" s="26">
        <v>2668.52</v>
      </c>
      <c r="G42" s="23">
        <f t="shared" si="8"/>
        <v>1.3939015631325333</v>
      </c>
    </row>
    <row r="43" spans="2:7" x14ac:dyDescent="0.35">
      <c r="B43" s="20">
        <v>44927</v>
      </c>
      <c r="C43" s="22">
        <v>240.4</v>
      </c>
      <c r="D43" s="22">
        <f t="shared" si="7"/>
        <v>2521.7960000000003</v>
      </c>
      <c r="E43" s="26">
        <v>3454.8</v>
      </c>
      <c r="G43" s="23">
        <f t="shared" si="8"/>
        <v>1.3699760012308688</v>
      </c>
    </row>
    <row r="44" spans="2:7" x14ac:dyDescent="0.35">
      <c r="B44" s="20">
        <v>44896</v>
      </c>
      <c r="C44" s="22">
        <v>279.2</v>
      </c>
      <c r="D44" s="22">
        <f t="shared" si="7"/>
        <v>2928.808</v>
      </c>
      <c r="E44" s="26">
        <v>3904.09</v>
      </c>
      <c r="G44" s="23">
        <f t="shared" si="8"/>
        <v>1.3329962223539407</v>
      </c>
    </row>
    <row r="45" spans="2:7" x14ac:dyDescent="0.35">
      <c r="B45" s="20">
        <v>44866</v>
      </c>
      <c r="C45" s="22">
        <v>214.7</v>
      </c>
      <c r="D45" s="22">
        <f t="shared" si="7"/>
        <v>2252.203</v>
      </c>
      <c r="E45" s="26">
        <v>3155.03</v>
      </c>
      <c r="G45" s="23">
        <f t="shared" si="8"/>
        <v>1.4008639540929482</v>
      </c>
    </row>
    <row r="46" spans="2:7" x14ac:dyDescent="0.35">
      <c r="B46" s="20">
        <v>44835</v>
      </c>
      <c r="C46" s="22">
        <v>51.5</v>
      </c>
      <c r="D46" s="22">
        <f t="shared" si="7"/>
        <v>540.23500000000001</v>
      </c>
      <c r="E46" s="26">
        <v>1095.1300000000001</v>
      </c>
      <c r="G46" s="23">
        <f t="shared" si="8"/>
        <v>2.0271363388155157</v>
      </c>
    </row>
    <row r="47" spans="2:7" x14ac:dyDescent="0.35">
      <c r="B47" s="18"/>
      <c r="C47" s="27"/>
      <c r="D47" s="27">
        <f>SUM(D35:D46)</f>
        <v>14170.941000000001</v>
      </c>
      <c r="E47" s="28">
        <f>SUM(E35:E46)</f>
        <v>20705.97</v>
      </c>
      <c r="F47" s="18"/>
      <c r="G47" s="29">
        <f t="shared" si="8"/>
        <v>1.4611570254932258</v>
      </c>
    </row>
  </sheetData>
  <conditionalFormatting sqref="I3:K1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L27"/>
  <sheetViews>
    <sheetView workbookViewId="0">
      <selection activeCell="F19" sqref="F19"/>
    </sheetView>
  </sheetViews>
  <sheetFormatPr defaultRowHeight="14.5" x14ac:dyDescent="0.35"/>
  <cols>
    <col min="2" max="2" width="9.1796875" style="20"/>
  </cols>
  <sheetData>
    <row r="1" spans="2:10" ht="18.5" x14ac:dyDescent="0.45">
      <c r="B1" s="71" t="s">
        <v>60</v>
      </c>
    </row>
    <row r="2" spans="2:10" ht="15.5" x14ac:dyDescent="0.35">
      <c r="B2" s="72" t="s">
        <v>58</v>
      </c>
      <c r="C2" s="73"/>
      <c r="D2" s="73"/>
      <c r="E2" s="16"/>
      <c r="G2" s="78" t="s">
        <v>62</v>
      </c>
      <c r="H2" s="79"/>
    </row>
    <row r="3" spans="2:10" ht="15.5" x14ac:dyDescent="0.35">
      <c r="B3" s="74" t="s">
        <v>59</v>
      </c>
      <c r="C3" s="73"/>
      <c r="D3" s="73"/>
      <c r="E3" s="16"/>
      <c r="G3" s="80" t="s">
        <v>63</v>
      </c>
      <c r="H3" s="79"/>
    </row>
    <row r="4" spans="2:10" ht="15.5" x14ac:dyDescent="0.35">
      <c r="B4" s="75"/>
      <c r="C4" s="76"/>
      <c r="D4" s="76"/>
      <c r="E4" s="76"/>
    </row>
    <row r="5" spans="2:10" s="16" customFormat="1" x14ac:dyDescent="0.35">
      <c r="B5" s="77" t="s">
        <v>0</v>
      </c>
      <c r="C5" s="16" t="s">
        <v>61</v>
      </c>
      <c r="G5" s="77" t="s">
        <v>0</v>
      </c>
      <c r="H5" s="16" t="s">
        <v>61</v>
      </c>
      <c r="J5" s="16" t="s">
        <v>65</v>
      </c>
    </row>
    <row r="6" spans="2:10" x14ac:dyDescent="0.35">
      <c r="B6" s="20">
        <v>44805</v>
      </c>
      <c r="C6" s="22">
        <v>74.8</v>
      </c>
      <c r="G6" s="20">
        <v>45536</v>
      </c>
      <c r="H6" s="22">
        <v>29.8</v>
      </c>
      <c r="J6" s="30">
        <f>(C6-H6)/C6</f>
        <v>0.60160427807486638</v>
      </c>
    </row>
    <row r="7" spans="2:10" x14ac:dyDescent="0.35">
      <c r="B7" s="20">
        <v>44835</v>
      </c>
      <c r="C7" s="22">
        <v>304.3</v>
      </c>
      <c r="G7" s="20">
        <v>45566</v>
      </c>
      <c r="H7" s="22">
        <v>226.9</v>
      </c>
      <c r="J7" s="30">
        <f t="shared" ref="J7:J17" si="0">(C7-H7)/C7</f>
        <v>0.25435425566874797</v>
      </c>
    </row>
    <row r="8" spans="2:10" x14ac:dyDescent="0.35">
      <c r="B8" s="20">
        <v>44866</v>
      </c>
      <c r="C8" s="22">
        <v>530.29999999999995</v>
      </c>
      <c r="G8" s="20">
        <v>45597</v>
      </c>
      <c r="H8" s="22">
        <v>398.9</v>
      </c>
      <c r="J8" s="30">
        <f t="shared" si="0"/>
        <v>0.24778427305298886</v>
      </c>
    </row>
    <row r="9" spans="2:10" x14ac:dyDescent="0.35">
      <c r="B9" s="20">
        <v>44896</v>
      </c>
      <c r="C9" s="22">
        <v>798.7</v>
      </c>
      <c r="G9" s="20">
        <v>45627</v>
      </c>
      <c r="H9" s="22">
        <v>735.4</v>
      </c>
      <c r="J9" s="30">
        <f t="shared" si="0"/>
        <v>7.9253787404532441E-2</v>
      </c>
    </row>
    <row r="10" spans="2:10" x14ac:dyDescent="0.35">
      <c r="B10" s="20">
        <v>44927</v>
      </c>
      <c r="C10" s="22">
        <v>683.1</v>
      </c>
      <c r="G10" s="20">
        <v>45658</v>
      </c>
      <c r="H10" s="22">
        <v>1109.9000000000001</v>
      </c>
      <c r="J10" s="30">
        <f t="shared" si="0"/>
        <v>-0.6247987117552336</v>
      </c>
    </row>
    <row r="11" spans="2:10" x14ac:dyDescent="0.35">
      <c r="B11" s="20">
        <v>44958</v>
      </c>
      <c r="C11" s="22">
        <v>515.70000000000005</v>
      </c>
      <c r="G11" s="20">
        <v>45689</v>
      </c>
      <c r="H11" s="22">
        <v>733.1</v>
      </c>
      <c r="J11" s="30">
        <f t="shared" si="0"/>
        <v>-0.42156292418072516</v>
      </c>
    </row>
    <row r="12" spans="2:10" x14ac:dyDescent="0.35">
      <c r="B12" s="20">
        <v>44986</v>
      </c>
      <c r="C12" s="22">
        <v>554.6</v>
      </c>
      <c r="G12" s="20">
        <v>45717</v>
      </c>
      <c r="H12" s="22">
        <v>436</v>
      </c>
      <c r="J12" s="30">
        <f t="shared" si="0"/>
        <v>0.21384781824738552</v>
      </c>
    </row>
    <row r="13" spans="2:10" x14ac:dyDescent="0.35">
      <c r="B13" s="20">
        <v>45017</v>
      </c>
      <c r="C13" s="22">
        <v>280.10000000000002</v>
      </c>
      <c r="G13" s="20">
        <v>45748</v>
      </c>
      <c r="H13" s="22">
        <v>261.5</v>
      </c>
      <c r="J13" s="30">
        <f t="shared" si="0"/>
        <v>6.6404855408782659E-2</v>
      </c>
    </row>
    <row r="14" spans="2:10" x14ac:dyDescent="0.35">
      <c r="B14" s="20">
        <v>45047</v>
      </c>
      <c r="C14" s="22">
        <v>112.1</v>
      </c>
      <c r="G14" s="20">
        <v>45778</v>
      </c>
      <c r="H14" s="22">
        <v>134</v>
      </c>
      <c r="J14" s="30">
        <f t="shared" si="0"/>
        <v>-0.19536128456735063</v>
      </c>
    </row>
    <row r="15" spans="2:10" ht="15" customHeight="1" x14ac:dyDescent="0.35">
      <c r="B15" s="20">
        <v>45078</v>
      </c>
      <c r="C15" s="22">
        <v>27.2</v>
      </c>
      <c r="G15" s="20">
        <v>45809</v>
      </c>
      <c r="H15" s="22">
        <v>17.2</v>
      </c>
      <c r="J15" s="30">
        <f t="shared" si="0"/>
        <v>0.36764705882352944</v>
      </c>
    </row>
    <row r="16" spans="2:10" x14ac:dyDescent="0.35">
      <c r="B16" s="20">
        <v>45108</v>
      </c>
      <c r="C16" s="22">
        <v>1.4</v>
      </c>
      <c r="G16" s="20">
        <v>45839</v>
      </c>
      <c r="H16" s="22">
        <v>0.1</v>
      </c>
      <c r="J16" s="30">
        <f t="shared" si="0"/>
        <v>0.92857142857142849</v>
      </c>
    </row>
    <row r="17" spans="2:12" ht="15" thickBot="1" x14ac:dyDescent="0.4">
      <c r="B17" s="20">
        <v>45139</v>
      </c>
      <c r="C17" s="22">
        <v>7.8</v>
      </c>
      <c r="G17" s="20">
        <v>45870</v>
      </c>
      <c r="H17" s="22">
        <v>31.5</v>
      </c>
      <c r="J17" s="30">
        <f t="shared" si="0"/>
        <v>-3.0384615384615383</v>
      </c>
    </row>
    <row r="18" spans="2:12" ht="15" thickBot="1" x14ac:dyDescent="0.4">
      <c r="B18" s="81" t="s">
        <v>64</v>
      </c>
      <c r="C18" s="82">
        <f>SUM(C6:C17)</f>
        <v>3890.0999999999995</v>
      </c>
      <c r="G18" s="81" t="s">
        <v>64</v>
      </c>
      <c r="H18" s="82">
        <f>SUM(H6:H17)</f>
        <v>4114.2999999999993</v>
      </c>
      <c r="J18" s="83">
        <f>(C18-H18)/C18</f>
        <v>-5.7633479859129547E-2</v>
      </c>
    </row>
    <row r="23" spans="2:12" x14ac:dyDescent="0.35">
      <c r="B23" s="90" t="s">
        <v>57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</row>
    <row r="24" spans="2:12" x14ac:dyDescent="0.35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2:12" x14ac:dyDescent="0.35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</row>
    <row r="26" spans="2:12" x14ac:dyDescent="0.35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</row>
    <row r="27" spans="2:12" x14ac:dyDescent="0.35">
      <c r="B27" s="91" t="s">
        <v>66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</row>
  </sheetData>
  <mergeCells count="2">
    <mergeCell ref="B23:L26"/>
    <mergeCell ref="B27:L27"/>
  </mergeCells>
  <conditionalFormatting sqref="J6:J1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2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Main</vt:lpstr>
      <vt:lpstr>Office</vt:lpstr>
      <vt:lpstr>Annex</vt:lpstr>
      <vt:lpstr>Maint</vt:lpstr>
      <vt:lpstr>Transpt</vt:lpstr>
      <vt:lpstr>Fball</vt:lpstr>
      <vt:lpstr>Delta Gas</vt:lpstr>
      <vt:lpstr>Heating Requirement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Sturm, P.E.</dc:creator>
  <cp:lastModifiedBy>Owens, Charlie</cp:lastModifiedBy>
  <dcterms:created xsi:type="dcterms:W3CDTF">2024-10-15T20:02:11Z</dcterms:created>
  <dcterms:modified xsi:type="dcterms:W3CDTF">2025-10-10T13:45:29Z</dcterms:modified>
</cp:coreProperties>
</file>