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.perkins_nkces\Documents\Board Meetings\2025-26\October 2025\"/>
    </mc:Choice>
  </mc:AlternateContent>
  <xr:revisionPtr revIDLastSave="0" documentId="13_ncr:1_{537FDEE8-B82C-44EA-9C16-B12AD1D854A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rofit and Loss by Class" sheetId="1" r:id="rId1"/>
  </sheets>
  <calcPr calcId="191029"/>
</workbook>
</file>

<file path=xl/calcChain.xml><?xml version="1.0" encoding="utf-8"?>
<calcChain xmlns="http://schemas.openxmlformats.org/spreadsheetml/2006/main">
  <c r="Z85" i="1" l="1"/>
  <c r="S85" i="1"/>
  <c r="R85" i="1"/>
  <c r="K85" i="1"/>
  <c r="J85" i="1"/>
  <c r="G85" i="1"/>
  <c r="E85" i="1"/>
  <c r="C85" i="1"/>
  <c r="B85" i="1"/>
  <c r="Z84" i="1"/>
  <c r="Y84" i="1"/>
  <c r="Y85" i="1" s="1"/>
  <c r="X84" i="1"/>
  <c r="W84" i="1"/>
  <c r="W85" i="1" s="1"/>
  <c r="V84" i="1"/>
  <c r="V85" i="1" s="1"/>
  <c r="U84" i="1"/>
  <c r="U85" i="1" s="1"/>
  <c r="T84" i="1"/>
  <c r="T85" i="1" s="1"/>
  <c r="S84" i="1"/>
  <c r="R84" i="1"/>
  <c r="Q84" i="1"/>
  <c r="Q85" i="1" s="1"/>
  <c r="P84" i="1"/>
  <c r="O84" i="1"/>
  <c r="O85" i="1" s="1"/>
  <c r="N84" i="1"/>
  <c r="N85" i="1" s="1"/>
  <c r="M84" i="1"/>
  <c r="M85" i="1" s="1"/>
  <c r="L84" i="1"/>
  <c r="L85" i="1" s="1"/>
  <c r="K84" i="1"/>
  <c r="J84" i="1"/>
  <c r="I84" i="1"/>
  <c r="I85" i="1" s="1"/>
  <c r="H84" i="1"/>
  <c r="F84" i="1"/>
  <c r="F85" i="1" s="1"/>
  <c r="D84" i="1"/>
  <c r="AA84" i="1" s="1"/>
  <c r="X83" i="1"/>
  <c r="X85" i="1" s="1"/>
  <c r="P83" i="1"/>
  <c r="P85" i="1" s="1"/>
  <c r="H83" i="1"/>
  <c r="H85" i="1" s="1"/>
  <c r="B83" i="1"/>
  <c r="AA82" i="1"/>
  <c r="Z81" i="1"/>
  <c r="W81" i="1"/>
  <c r="S81" i="1"/>
  <c r="Q81" i="1"/>
  <c r="P81" i="1"/>
  <c r="O81" i="1"/>
  <c r="M81" i="1"/>
  <c r="L81" i="1"/>
  <c r="J81" i="1"/>
  <c r="I81" i="1"/>
  <c r="H81" i="1"/>
  <c r="H86" i="1" s="1"/>
  <c r="F81" i="1"/>
  <c r="E81" i="1"/>
  <c r="D81" i="1"/>
  <c r="C81" i="1"/>
  <c r="B80" i="1"/>
  <c r="AA80" i="1" s="1"/>
  <c r="V79" i="1"/>
  <c r="P79" i="1"/>
  <c r="AA79" i="1" s="1"/>
  <c r="Y78" i="1"/>
  <c r="X78" i="1"/>
  <c r="V78" i="1"/>
  <c r="U78" i="1"/>
  <c r="U81" i="1" s="1"/>
  <c r="T78" i="1"/>
  <c r="T81" i="1" s="1"/>
  <c r="R78" i="1"/>
  <c r="P78" i="1"/>
  <c r="N78" i="1"/>
  <c r="N81" i="1" s="1"/>
  <c r="K78" i="1"/>
  <c r="K81" i="1" s="1"/>
  <c r="G78" i="1"/>
  <c r="B78" i="1"/>
  <c r="AA78" i="1" s="1"/>
  <c r="AA77" i="1"/>
  <c r="X77" i="1"/>
  <c r="V77" i="1"/>
  <c r="R77" i="1"/>
  <c r="R81" i="1" s="1"/>
  <c r="P77" i="1"/>
  <c r="B77" i="1"/>
  <c r="Y76" i="1"/>
  <c r="Y81" i="1" s="1"/>
  <c r="X76" i="1"/>
  <c r="X81" i="1" s="1"/>
  <c r="V76" i="1"/>
  <c r="V81" i="1" s="1"/>
  <c r="R76" i="1"/>
  <c r="P76" i="1"/>
  <c r="AA76" i="1" s="1"/>
  <c r="G76" i="1"/>
  <c r="G81" i="1" s="1"/>
  <c r="AA75" i="1"/>
  <c r="Z74" i="1"/>
  <c r="Y74" i="1"/>
  <c r="W74" i="1"/>
  <c r="V74" i="1"/>
  <c r="S74" i="1"/>
  <c r="R74" i="1"/>
  <c r="Q74" i="1"/>
  <c r="O74" i="1"/>
  <c r="N74" i="1"/>
  <c r="M74" i="1"/>
  <c r="L74" i="1"/>
  <c r="J74" i="1"/>
  <c r="I74" i="1"/>
  <c r="H74" i="1"/>
  <c r="F74" i="1"/>
  <c r="AA73" i="1"/>
  <c r="D73" i="1"/>
  <c r="X72" i="1"/>
  <c r="V72" i="1"/>
  <c r="U72" i="1"/>
  <c r="U74" i="1" s="1"/>
  <c r="T72" i="1"/>
  <c r="T74" i="1" s="1"/>
  <c r="P72" i="1"/>
  <c r="K72" i="1"/>
  <c r="G72" i="1"/>
  <c r="E72" i="1"/>
  <c r="E74" i="1" s="1"/>
  <c r="D72" i="1"/>
  <c r="C72" i="1"/>
  <c r="C74" i="1" s="1"/>
  <c r="B72" i="1"/>
  <c r="AA72" i="1" s="1"/>
  <c r="G71" i="1"/>
  <c r="G74" i="1" s="1"/>
  <c r="D71" i="1"/>
  <c r="AA71" i="1" s="1"/>
  <c r="B71" i="1"/>
  <c r="X70" i="1"/>
  <c r="V70" i="1"/>
  <c r="P70" i="1"/>
  <c r="D70" i="1"/>
  <c r="B70" i="1"/>
  <c r="AA70" i="1" s="1"/>
  <c r="AA69" i="1"/>
  <c r="X69" i="1"/>
  <c r="X74" i="1" s="1"/>
  <c r="V69" i="1"/>
  <c r="R69" i="1"/>
  <c r="P69" i="1"/>
  <c r="K69" i="1"/>
  <c r="K74" i="1" s="1"/>
  <c r="D69" i="1"/>
  <c r="B69" i="1"/>
  <c r="AA68" i="1"/>
  <c r="P68" i="1"/>
  <c r="D68" i="1"/>
  <c r="B68" i="1"/>
  <c r="P67" i="1"/>
  <c r="P74" i="1" s="1"/>
  <c r="D67" i="1"/>
  <c r="D74" i="1" s="1"/>
  <c r="B67" i="1"/>
  <c r="AA67" i="1" s="1"/>
  <c r="AA66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AA64" i="1"/>
  <c r="D64" i="1"/>
  <c r="B64" i="1"/>
  <c r="D63" i="1"/>
  <c r="B63" i="1"/>
  <c r="B65" i="1" s="1"/>
  <c r="AA65" i="1" s="1"/>
  <c r="AA62" i="1"/>
  <c r="Z61" i="1"/>
  <c r="Y61" i="1"/>
  <c r="W61" i="1"/>
  <c r="U61" i="1"/>
  <c r="T61" i="1"/>
  <c r="S61" i="1"/>
  <c r="R61" i="1"/>
  <c r="O61" i="1"/>
  <c r="N61" i="1"/>
  <c r="M61" i="1"/>
  <c r="L61" i="1"/>
  <c r="J61" i="1"/>
  <c r="I61" i="1"/>
  <c r="H61" i="1"/>
  <c r="G61" i="1"/>
  <c r="F61" i="1"/>
  <c r="E61" i="1"/>
  <c r="C61" i="1"/>
  <c r="B61" i="1"/>
  <c r="D60" i="1"/>
  <c r="AA60" i="1" s="1"/>
  <c r="X59" i="1"/>
  <c r="X61" i="1" s="1"/>
  <c r="V59" i="1"/>
  <c r="V61" i="1" s="1"/>
  <c r="R59" i="1"/>
  <c r="P59" i="1"/>
  <c r="P61" i="1" s="1"/>
  <c r="K59" i="1"/>
  <c r="K61" i="1" s="1"/>
  <c r="G59" i="1"/>
  <c r="D59" i="1"/>
  <c r="B59" i="1"/>
  <c r="AA59" i="1" s="1"/>
  <c r="D58" i="1"/>
  <c r="AA58" i="1" s="1"/>
  <c r="B58" i="1"/>
  <c r="Q57" i="1"/>
  <c r="AA57" i="1" s="1"/>
  <c r="D56" i="1"/>
  <c r="B56" i="1"/>
  <c r="AA56" i="1" s="1"/>
  <c r="D55" i="1"/>
  <c r="AA55" i="1" s="1"/>
  <c r="B55" i="1"/>
  <c r="D54" i="1"/>
  <c r="D61" i="1" s="1"/>
  <c r="B54" i="1"/>
  <c r="AA54" i="1" s="1"/>
  <c r="AA53" i="1"/>
  <c r="V52" i="1"/>
  <c r="K52" i="1"/>
  <c r="G52" i="1"/>
  <c r="D52" i="1"/>
  <c r="B52" i="1"/>
  <c r="AA52" i="1" s="1"/>
  <c r="Z51" i="1"/>
  <c r="Y51" i="1"/>
  <c r="W51" i="1"/>
  <c r="U51" i="1"/>
  <c r="T51" i="1"/>
  <c r="S51" i="1"/>
  <c r="Q51" i="1"/>
  <c r="P51" i="1"/>
  <c r="O51" i="1"/>
  <c r="N51" i="1"/>
  <c r="L51" i="1"/>
  <c r="H51" i="1"/>
  <c r="G51" i="1"/>
  <c r="F51" i="1"/>
  <c r="E51" i="1"/>
  <c r="C51" i="1"/>
  <c r="X50" i="1"/>
  <c r="X51" i="1" s="1"/>
  <c r="V50" i="1"/>
  <c r="V51" i="1" s="1"/>
  <c r="R50" i="1"/>
  <c r="R51" i="1" s="1"/>
  <c r="P50" i="1"/>
  <c r="K50" i="1"/>
  <c r="K51" i="1" s="1"/>
  <c r="I50" i="1"/>
  <c r="I51" i="1" s="1"/>
  <c r="G50" i="1"/>
  <c r="D50" i="1"/>
  <c r="B50" i="1"/>
  <c r="AA50" i="1" s="1"/>
  <c r="AA49" i="1"/>
  <c r="D49" i="1"/>
  <c r="B49" i="1"/>
  <c r="AA48" i="1"/>
  <c r="B48" i="1"/>
  <c r="M47" i="1"/>
  <c r="M51" i="1" s="1"/>
  <c r="J47" i="1"/>
  <c r="J51" i="1" s="1"/>
  <c r="D47" i="1"/>
  <c r="D51" i="1" s="1"/>
  <c r="B47" i="1"/>
  <c r="B51" i="1" s="1"/>
  <c r="AA46" i="1"/>
  <c r="W45" i="1"/>
  <c r="V45" i="1"/>
  <c r="U45" i="1"/>
  <c r="T45" i="1"/>
  <c r="S45" i="1"/>
  <c r="P45" i="1"/>
  <c r="O45" i="1"/>
  <c r="N45" i="1"/>
  <c r="H45" i="1"/>
  <c r="G45" i="1"/>
  <c r="E45" i="1"/>
  <c r="C45" i="1"/>
  <c r="Z44" i="1"/>
  <c r="Y44" i="1"/>
  <c r="X44" i="1"/>
  <c r="W44" i="1"/>
  <c r="V44" i="1"/>
  <c r="R44" i="1"/>
  <c r="Q44" i="1"/>
  <c r="N44" i="1"/>
  <c r="K44" i="1"/>
  <c r="AA44" i="1" s="1"/>
  <c r="Z43" i="1"/>
  <c r="X43" i="1"/>
  <c r="V43" i="1"/>
  <c r="R43" i="1"/>
  <c r="N43" i="1"/>
  <c r="M43" i="1"/>
  <c r="K43" i="1"/>
  <c r="J43" i="1"/>
  <c r="I43" i="1"/>
  <c r="AA43" i="1" s="1"/>
  <c r="F43" i="1"/>
  <c r="D43" i="1"/>
  <c r="AA42" i="1"/>
  <c r="B42" i="1"/>
  <c r="Z41" i="1"/>
  <c r="Y41" i="1"/>
  <c r="X41" i="1"/>
  <c r="W41" i="1"/>
  <c r="V41" i="1"/>
  <c r="R41" i="1"/>
  <c r="Q41" i="1"/>
  <c r="N41" i="1"/>
  <c r="L41" i="1"/>
  <c r="K41" i="1"/>
  <c r="K45" i="1" s="1"/>
  <c r="AA40" i="1"/>
  <c r="Z40" i="1"/>
  <c r="X40" i="1"/>
  <c r="W40" i="1"/>
  <c r="V40" i="1"/>
  <c r="Q40" i="1"/>
  <c r="M40" i="1"/>
  <c r="L40" i="1"/>
  <c r="J40" i="1"/>
  <c r="F40" i="1"/>
  <c r="D40" i="1"/>
  <c r="B40" i="1"/>
  <c r="Y39" i="1"/>
  <c r="X39" i="1"/>
  <c r="V39" i="1"/>
  <c r="R39" i="1"/>
  <c r="Q39" i="1"/>
  <c r="O39" i="1"/>
  <c r="N39" i="1"/>
  <c r="K39" i="1"/>
  <c r="J39" i="1"/>
  <c r="I39" i="1"/>
  <c r="D39" i="1"/>
  <c r="B39" i="1"/>
  <c r="AA39" i="1" s="1"/>
  <c r="Z38" i="1"/>
  <c r="Y38" i="1"/>
  <c r="X38" i="1"/>
  <c r="W38" i="1"/>
  <c r="V38" i="1"/>
  <c r="R38" i="1"/>
  <c r="Q38" i="1"/>
  <c r="O38" i="1"/>
  <c r="N38" i="1"/>
  <c r="M38" i="1"/>
  <c r="L38" i="1"/>
  <c r="K38" i="1"/>
  <c r="J38" i="1"/>
  <c r="I38" i="1"/>
  <c r="I45" i="1" s="1"/>
  <c r="F38" i="1"/>
  <c r="F45" i="1" s="1"/>
  <c r="D38" i="1"/>
  <c r="B38" i="1"/>
  <c r="AA38" i="1" s="1"/>
  <c r="Z37" i="1"/>
  <c r="X37" i="1"/>
  <c r="W37" i="1"/>
  <c r="V37" i="1"/>
  <c r="Q37" i="1"/>
  <c r="M37" i="1"/>
  <c r="M45" i="1" s="1"/>
  <c r="L37" i="1"/>
  <c r="L45" i="1" s="1"/>
  <c r="J37" i="1"/>
  <c r="AA37" i="1" s="1"/>
  <c r="F37" i="1"/>
  <c r="D37" i="1"/>
  <c r="D45" i="1" s="1"/>
  <c r="B37" i="1"/>
  <c r="B36" i="1"/>
  <c r="B45" i="1" s="1"/>
  <c r="Z35" i="1"/>
  <c r="Z45" i="1" s="1"/>
  <c r="Y35" i="1"/>
  <c r="Y45" i="1" s="1"/>
  <c r="X35" i="1"/>
  <c r="X45" i="1" s="1"/>
  <c r="W35" i="1"/>
  <c r="V35" i="1"/>
  <c r="R35" i="1"/>
  <c r="R45" i="1" s="1"/>
  <c r="Q35" i="1"/>
  <c r="Q45" i="1" s="1"/>
  <c r="N35" i="1"/>
  <c r="K35" i="1"/>
  <c r="AA35" i="1" s="1"/>
  <c r="AA34" i="1"/>
  <c r="W33" i="1"/>
  <c r="W86" i="1" s="1"/>
  <c r="U33" i="1"/>
  <c r="U86" i="1" s="1"/>
  <c r="T33" i="1"/>
  <c r="S33" i="1"/>
  <c r="S86" i="1" s="1"/>
  <c r="P33" i="1"/>
  <c r="L33" i="1"/>
  <c r="I33" i="1"/>
  <c r="H33" i="1"/>
  <c r="G33" i="1"/>
  <c r="G86" i="1" s="1"/>
  <c r="E33" i="1"/>
  <c r="E86" i="1" s="1"/>
  <c r="C33" i="1"/>
  <c r="Z32" i="1"/>
  <c r="Z33" i="1" s="1"/>
  <c r="X32" i="1"/>
  <c r="X33" i="1" s="1"/>
  <c r="W32" i="1"/>
  <c r="V32" i="1"/>
  <c r="Q32" i="1"/>
  <c r="M32" i="1"/>
  <c r="M33" i="1" s="1"/>
  <c r="L32" i="1"/>
  <c r="J32" i="1"/>
  <c r="F32" i="1"/>
  <c r="F33" i="1" s="1"/>
  <c r="D32" i="1"/>
  <c r="D33" i="1" s="1"/>
  <c r="B32" i="1"/>
  <c r="Y31" i="1"/>
  <c r="Y33" i="1" s="1"/>
  <c r="X31" i="1"/>
  <c r="V31" i="1"/>
  <c r="V33" i="1" s="1"/>
  <c r="V86" i="1" s="1"/>
  <c r="R31" i="1"/>
  <c r="R33" i="1" s="1"/>
  <c r="R86" i="1" s="1"/>
  <c r="Q31" i="1"/>
  <c r="Q33" i="1" s="1"/>
  <c r="O31" i="1"/>
  <c r="O33" i="1" s="1"/>
  <c r="O86" i="1" s="1"/>
  <c r="N31" i="1"/>
  <c r="N33" i="1" s="1"/>
  <c r="N86" i="1" s="1"/>
  <c r="K31" i="1"/>
  <c r="K33" i="1" s="1"/>
  <c r="J31" i="1"/>
  <c r="J33" i="1" s="1"/>
  <c r="I31" i="1"/>
  <c r="D31" i="1"/>
  <c r="B31" i="1"/>
  <c r="AA31" i="1" s="1"/>
  <c r="AA30" i="1"/>
  <c r="Y26" i="1"/>
  <c r="W26" i="1"/>
  <c r="T26" i="1"/>
  <c r="S26" i="1"/>
  <c r="O26" i="1"/>
  <c r="L26" i="1"/>
  <c r="I26" i="1"/>
  <c r="H26" i="1"/>
  <c r="G26" i="1"/>
  <c r="F26" i="1"/>
  <c r="E26" i="1"/>
  <c r="D26" i="1"/>
  <c r="C26" i="1"/>
  <c r="B26" i="1"/>
  <c r="Z25" i="1"/>
  <c r="Z26" i="1" s="1"/>
  <c r="X25" i="1"/>
  <c r="X26" i="1" s="1"/>
  <c r="W25" i="1"/>
  <c r="V25" i="1"/>
  <c r="V26" i="1" s="1"/>
  <c r="U25" i="1"/>
  <c r="U26" i="1" s="1"/>
  <c r="T25" i="1"/>
  <c r="R25" i="1"/>
  <c r="R26" i="1" s="1"/>
  <c r="Q25" i="1"/>
  <c r="Q26" i="1" s="1"/>
  <c r="P25" i="1"/>
  <c r="P26" i="1" s="1"/>
  <c r="N25" i="1"/>
  <c r="N26" i="1" s="1"/>
  <c r="K25" i="1"/>
  <c r="K26" i="1" s="1"/>
  <c r="M24" i="1"/>
  <c r="M26" i="1" s="1"/>
  <c r="L24" i="1"/>
  <c r="J24" i="1"/>
  <c r="AA24" i="1" s="1"/>
  <c r="AA23" i="1"/>
  <c r="B22" i="1"/>
  <c r="AA22" i="1" s="1"/>
  <c r="AA21" i="1"/>
  <c r="B21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H20" i="1"/>
  <c r="G20" i="1"/>
  <c r="F20" i="1"/>
  <c r="E20" i="1"/>
  <c r="C20" i="1"/>
  <c r="B20" i="1"/>
  <c r="D19" i="1"/>
  <c r="AA19" i="1" s="1"/>
  <c r="I18" i="1"/>
  <c r="AA18" i="1" s="1"/>
  <c r="D18" i="1"/>
  <c r="D20" i="1" s="1"/>
  <c r="Z17" i="1"/>
  <c r="Y17" i="1"/>
  <c r="Y27" i="1" s="1"/>
  <c r="Y28" i="1" s="1"/>
  <c r="X17" i="1"/>
  <c r="X27" i="1" s="1"/>
  <c r="X28" i="1" s="1"/>
  <c r="W17" i="1"/>
  <c r="W27" i="1" s="1"/>
  <c r="W28" i="1" s="1"/>
  <c r="W87" i="1" s="1"/>
  <c r="W88" i="1" s="1"/>
  <c r="V17" i="1"/>
  <c r="V27" i="1" s="1"/>
  <c r="V28" i="1" s="1"/>
  <c r="V87" i="1" s="1"/>
  <c r="V88" i="1" s="1"/>
  <c r="U17" i="1"/>
  <c r="U27" i="1" s="1"/>
  <c r="U28" i="1" s="1"/>
  <c r="U87" i="1" s="1"/>
  <c r="U88" i="1" s="1"/>
  <c r="T17" i="1"/>
  <c r="T27" i="1" s="1"/>
  <c r="T28" i="1" s="1"/>
  <c r="S17" i="1"/>
  <c r="S27" i="1" s="1"/>
  <c r="S28" i="1" s="1"/>
  <c r="S87" i="1" s="1"/>
  <c r="S88" i="1" s="1"/>
  <c r="R17" i="1"/>
  <c r="Q17" i="1"/>
  <c r="P17" i="1"/>
  <c r="P27" i="1" s="1"/>
  <c r="P28" i="1" s="1"/>
  <c r="O17" i="1"/>
  <c r="O27" i="1" s="1"/>
  <c r="O28" i="1" s="1"/>
  <c r="O87" i="1" s="1"/>
  <c r="O88" i="1" s="1"/>
  <c r="N17" i="1"/>
  <c r="M17" i="1"/>
  <c r="M27" i="1" s="1"/>
  <c r="M28" i="1" s="1"/>
  <c r="L17" i="1"/>
  <c r="L27" i="1" s="1"/>
  <c r="L28" i="1" s="1"/>
  <c r="K17" i="1"/>
  <c r="K27" i="1" s="1"/>
  <c r="K28" i="1" s="1"/>
  <c r="J17" i="1"/>
  <c r="I17" i="1"/>
  <c r="H17" i="1"/>
  <c r="H27" i="1" s="1"/>
  <c r="H28" i="1" s="1"/>
  <c r="H87" i="1" s="1"/>
  <c r="H88" i="1" s="1"/>
  <c r="F17" i="1"/>
  <c r="F27" i="1" s="1"/>
  <c r="F28" i="1" s="1"/>
  <c r="E17" i="1"/>
  <c r="E27" i="1" s="1"/>
  <c r="E28" i="1" s="1"/>
  <c r="E87" i="1" s="1"/>
  <c r="E88" i="1" s="1"/>
  <c r="AA16" i="1"/>
  <c r="C16" i="1"/>
  <c r="C17" i="1" s="1"/>
  <c r="C27" i="1" s="1"/>
  <c r="C28" i="1" s="1"/>
  <c r="B16" i="1"/>
  <c r="B15" i="1"/>
  <c r="AA15" i="1" s="1"/>
  <c r="B14" i="1"/>
  <c r="AA14" i="1" s="1"/>
  <c r="AA13" i="1"/>
  <c r="B13" i="1"/>
  <c r="G12" i="1"/>
  <c r="D12" i="1"/>
  <c r="D17" i="1" s="1"/>
  <c r="D27" i="1" s="1"/>
  <c r="D28" i="1" s="1"/>
  <c r="B12" i="1"/>
  <c r="AA12" i="1" s="1"/>
  <c r="AA11" i="1"/>
  <c r="G11" i="1"/>
  <c r="AA10" i="1"/>
  <c r="G10" i="1"/>
  <c r="G17" i="1" s="1"/>
  <c r="G27" i="1" s="1"/>
  <c r="G28" i="1" s="1"/>
  <c r="G87" i="1" s="1"/>
  <c r="G88" i="1" s="1"/>
  <c r="AA9" i="1"/>
  <c r="B9" i="1"/>
  <c r="B8" i="1"/>
  <c r="B17" i="1" s="1"/>
  <c r="AA7" i="1"/>
  <c r="Q27" i="1" l="1"/>
  <c r="Q28" i="1" s="1"/>
  <c r="Y86" i="1"/>
  <c r="Y87" i="1" s="1"/>
  <c r="Y88" i="1" s="1"/>
  <c r="I86" i="1"/>
  <c r="P86" i="1"/>
  <c r="P87" i="1" s="1"/>
  <c r="P88" i="1" s="1"/>
  <c r="R27" i="1"/>
  <c r="R28" i="1" s="1"/>
  <c r="R87" i="1" s="1"/>
  <c r="R88" i="1" s="1"/>
  <c r="Z27" i="1"/>
  <c r="Z28" i="1" s="1"/>
  <c r="K86" i="1"/>
  <c r="L86" i="1"/>
  <c r="K87" i="1"/>
  <c r="K88" i="1" s="1"/>
  <c r="D86" i="1"/>
  <c r="D87" i="1" s="1"/>
  <c r="D88" i="1" s="1"/>
  <c r="X86" i="1"/>
  <c r="L87" i="1"/>
  <c r="L88" i="1" s="1"/>
  <c r="F86" i="1"/>
  <c r="F87" i="1" s="1"/>
  <c r="F88" i="1" s="1"/>
  <c r="Z86" i="1"/>
  <c r="AA51" i="1"/>
  <c r="X87" i="1"/>
  <c r="X88" i="1" s="1"/>
  <c r="C86" i="1"/>
  <c r="C87" i="1" s="1"/>
  <c r="C88" i="1" s="1"/>
  <c r="T86" i="1"/>
  <c r="T87" i="1" s="1"/>
  <c r="T88" i="1" s="1"/>
  <c r="B27" i="1"/>
  <c r="AA17" i="1"/>
  <c r="N27" i="1"/>
  <c r="N28" i="1" s="1"/>
  <c r="N87" i="1" s="1"/>
  <c r="N88" i="1" s="1"/>
  <c r="M86" i="1"/>
  <c r="M87" i="1" s="1"/>
  <c r="M88" i="1" s="1"/>
  <c r="AA85" i="1"/>
  <c r="AA36" i="1"/>
  <c r="B74" i="1"/>
  <c r="AA74" i="1" s="1"/>
  <c r="AA25" i="1"/>
  <c r="AA32" i="1"/>
  <c r="AA63" i="1"/>
  <c r="B81" i="1"/>
  <c r="AA81" i="1" s="1"/>
  <c r="D85" i="1"/>
  <c r="AA8" i="1"/>
  <c r="I20" i="1"/>
  <c r="I27" i="1" s="1"/>
  <c r="I28" i="1" s="1"/>
  <c r="I87" i="1" s="1"/>
  <c r="I88" i="1" s="1"/>
  <c r="J26" i="1"/>
  <c r="J27" i="1" s="1"/>
  <c r="J28" i="1" s="1"/>
  <c r="B33" i="1"/>
  <c r="AA41" i="1"/>
  <c r="AA47" i="1"/>
  <c r="AA83" i="1"/>
  <c r="J45" i="1"/>
  <c r="J86" i="1" s="1"/>
  <c r="Q61" i="1"/>
  <c r="AA61" i="1" s="1"/>
  <c r="J87" i="1" l="1"/>
  <c r="J88" i="1" s="1"/>
  <c r="B28" i="1"/>
  <c r="AA27" i="1"/>
  <c r="AA45" i="1"/>
  <c r="AA26" i="1"/>
  <c r="AA20" i="1"/>
  <c r="Q86" i="1"/>
  <c r="Q87" i="1" s="1"/>
  <c r="Q88" i="1" s="1"/>
  <c r="Z87" i="1"/>
  <c r="Z88" i="1" s="1"/>
  <c r="AA33" i="1"/>
  <c r="B86" i="1"/>
  <c r="AA86" i="1" s="1"/>
  <c r="AA28" i="1" l="1"/>
  <c r="B87" i="1"/>
  <c r="B88" i="1" l="1"/>
  <c r="AA88" i="1" s="1"/>
  <c r="AA87" i="1"/>
</calcChain>
</file>

<file path=xl/sharedStrings.xml><?xml version="1.0" encoding="utf-8"?>
<sst xmlns="http://schemas.openxmlformats.org/spreadsheetml/2006/main" count="112" uniqueCount="112">
  <si>
    <t>0010 - Operations</t>
  </si>
  <si>
    <t>0025 - Staff Account</t>
  </si>
  <si>
    <t>1100 - RSP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</si>
  <si>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</si>
  <si>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</si>
  <si>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</si>
  <si>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</si>
  <si>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</si>
  <si>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</si>
  <si>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2800 - Arts in Education</t>
  </si>
  <si>
    <t>2910 - DAIL State</t>
  </si>
  <si>
    <t>2943 - DCBS State</t>
  </si>
  <si>
    <t>3010 - FRYSC - Fed</t>
  </si>
  <si>
    <t>3220 - PERS Effectiveness Coach</t>
  </si>
  <si>
    <t>336L - IDEA B 24-25</t>
  </si>
  <si>
    <t>336M - IDEA B 25-26</t>
  </si>
  <si>
    <t>3416- SPF</t>
  </si>
  <si>
    <t>3420 - Interact for Health</t>
  </si>
  <si>
    <t>345K - Title III EL 23-24</t>
  </si>
  <si>
    <t>345L - Title III EL 24-25</t>
  </si>
  <si>
    <t>3800 - Trauma Informed</t>
  </si>
  <si>
    <t>3910 - DAIL Fed</t>
  </si>
  <si>
    <t>3925 - Mental Health</t>
  </si>
  <si>
    <t>3931 - RSP SBMH Counselor</t>
  </si>
  <si>
    <t>3943 - DCBS Fed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</si>
  <si>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</si>
  <si>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</si>
  <si>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</si>
  <si>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</si>
  <si>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</si>
  <si>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</si>
  <si>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31913 SPONSORSHIP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</si>
  <si>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</si>
  <si>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</si>
  <si>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</si>
  <si>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</si>
  <si>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</si>
  <si>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</si>
  <si>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</si>
  <si>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</si>
  <si>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</si>
  <si>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</si>
  <si>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</si>
  <si>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</si>
  <si>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</si>
  <si>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</si>
  <si>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</si>
  <si>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</si>
  <si>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</si>
  <si>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</si>
  <si>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</si>
  <si>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</si>
  <si>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</si>
  <si>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</si>
  <si>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</si>
  <si>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</si>
  <si>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</si>
  <si>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</si>
  <si>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</si>
  <si>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</si>
  <si>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</si>
  <si>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</si>
  <si>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</si>
  <si>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</si>
  <si>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</si>
  <si>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</si>
  <si>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</si>
  <si>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</si>
  <si>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</si>
  <si>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</si>
  <si>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</si>
  <si>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</si>
  <si>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</si>
  <si>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</si>
  <si>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</si>
  <si>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</si>
  <si>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</si>
  <si>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</si>
  <si>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</si>
  <si>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</si>
  <si>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</si>
  <si>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</si>
  <si>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</si>
  <si>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</si>
  <si>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</si>
  <si>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</si>
  <si>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</si>
  <si>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</si>
  <si>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</si>
  <si>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</si>
  <si>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</si>
  <si>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</si>
  <si>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</si>
  <si>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   40615 JANITORIAL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</si>
  <si>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</si>
  <si>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</si>
  <si>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</si>
  <si>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</si>
  <si>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</si>
  <si>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</si>
  <si>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</si>
  <si>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</si>
  <si>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</si>
  <si>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</si>
  <si>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</si>
  <si>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</si>
  <si>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</si>
  <si>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</si>
  <si>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</si>
  <si>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</si>
  <si>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</si>
  <si>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- August,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</si>
</sst>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2"/>
  <sheetViews>
    <sheetView tabSelected="1" topLeftCell="C1" workbookViewId="0">
      <selection activeCell="Y88" sqref="Y88"/>
    </sheetView>
  </sheetViews>
  <sheetFormatPr defaultRowHeight="15" x14ac:dyDescent="0.25"/>
  <cols>
    <col min="1" max="1" width="37.85546875" customWidth="1"/>
    <col min="2" max="2" width="10.28515625" customWidth="1"/>
    <col min="3" max="3" width="7.7109375" customWidth="1"/>
    <col min="4" max="4" width="12" customWidth="1"/>
    <col min="5" max="5" width="7.7109375" customWidth="1"/>
    <col min="6" max="6" width="11.140625" customWidth="1"/>
    <col min="7" max="7" width="12" customWidth="1"/>
    <col min="8" max="8" width="8.5703125" customWidth="1"/>
    <col min="9" max="9" width="9.42578125" customWidth="1"/>
    <col min="10" max="11" width="11.140625" customWidth="1"/>
    <col min="12" max="12" width="10.28515625" customWidth="1"/>
    <col min="13" max="13" width="11.140625" customWidth="1"/>
    <col min="14" max="14" width="12" customWidth="1"/>
    <col min="15" max="15" width="11.140625" customWidth="1"/>
    <col min="16" max="17" width="10.28515625" customWidth="1"/>
    <col min="18" max="18" width="11.140625" customWidth="1"/>
    <col min="19" max="20" width="7.7109375" customWidth="1"/>
    <col min="21" max="21" width="8.5703125" customWidth="1"/>
    <col min="22" max="23" width="11.140625" customWidth="1"/>
    <col min="24" max="24" width="12" customWidth="1"/>
    <col min="25" max="26" width="11.140625" customWidth="1"/>
    <col min="27" max="27" width="12" customWidth="1"/>
  </cols>
  <sheetData>
    <row r="1" spans="1:27" ht="18" x14ac:dyDescent="0.25">
      <c r="A1" s="10" t="s">
        <v>109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8" x14ac:dyDescent="0.25">
      <c r="A2" s="10" t="s">
        <v>110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x14ac:dyDescent="0.25">
      <c r="A3" s="11" t="s">
        <v>111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5" spans="1:27" ht="48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</row>
    <row r="6" spans="1:27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x14ac:dyDescent="0.25">
      <c r="A7" s="3" t="s">
        <v>27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5">
        <f t="shared" ref="AA7:AA28" si="0">((((((((((((((((((((((((B7)+(C7))+(D7))+(E7))+(F7))+(G7))+(H7))+(I7))+(J7))+(K7))+(L7))+(M7))+(N7))+(O7))+(P7))+(Q7))+(R7))+(S7))+(T7))+(U7))+(V7))+(W7))+(X7))+(Y7))+(Z7)</f>
        <v>0</v>
      </c>
    </row>
    <row r="8" spans="1:27" x14ac:dyDescent="0.25">
      <c r="A8" s="3" t="s">
        <v>28</v>
      </c>
      <c r="B8" s="5">
        <f>271241.53</f>
        <v>271241.53000000003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5">
        <f t="shared" si="0"/>
        <v>271241.53000000003</v>
      </c>
    </row>
    <row r="9" spans="1:27" x14ac:dyDescent="0.25">
      <c r="A9" s="3" t="s">
        <v>29</v>
      </c>
      <c r="B9" s="5">
        <f>40353.85</f>
        <v>40353.85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5">
        <f t="shared" si="0"/>
        <v>40353.85</v>
      </c>
    </row>
    <row r="10" spans="1:27" x14ac:dyDescent="0.25">
      <c r="A10" s="3" t="s">
        <v>30</v>
      </c>
      <c r="B10" s="4"/>
      <c r="C10" s="4"/>
      <c r="D10" s="4"/>
      <c r="E10" s="4"/>
      <c r="F10" s="4"/>
      <c r="G10" s="5">
        <f>1534.97</f>
        <v>1534.97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5">
        <f t="shared" si="0"/>
        <v>1534.97</v>
      </c>
    </row>
    <row r="11" spans="1:27" x14ac:dyDescent="0.25">
      <c r="A11" s="3" t="s">
        <v>31</v>
      </c>
      <c r="B11" s="4"/>
      <c r="C11" s="4"/>
      <c r="D11" s="4"/>
      <c r="E11" s="4"/>
      <c r="F11" s="4"/>
      <c r="G11" s="5">
        <f>3000</f>
        <v>3000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5">
        <f t="shared" si="0"/>
        <v>3000</v>
      </c>
    </row>
    <row r="12" spans="1:27" x14ac:dyDescent="0.25">
      <c r="A12" s="3" t="s">
        <v>32</v>
      </c>
      <c r="B12" s="5">
        <f>9152.77</f>
        <v>9152.77</v>
      </c>
      <c r="C12" s="4"/>
      <c r="D12" s="5">
        <f>95.24</f>
        <v>95.24</v>
      </c>
      <c r="E12" s="4"/>
      <c r="F12" s="4"/>
      <c r="G12" s="5">
        <f>486.47</f>
        <v>486.47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5">
        <f t="shared" si="0"/>
        <v>9734.48</v>
      </c>
    </row>
    <row r="13" spans="1:27" x14ac:dyDescent="0.25">
      <c r="A13" s="3" t="s">
        <v>33</v>
      </c>
      <c r="B13" s="5">
        <f>43773.86</f>
        <v>43773.86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5">
        <f t="shared" si="0"/>
        <v>43773.86</v>
      </c>
    </row>
    <row r="14" spans="1:27" x14ac:dyDescent="0.25">
      <c r="A14" s="3" t="s">
        <v>34</v>
      </c>
      <c r="B14" s="5">
        <f>190367.53</f>
        <v>190367.53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5">
        <f t="shared" si="0"/>
        <v>190367.53</v>
      </c>
    </row>
    <row r="15" spans="1:27" x14ac:dyDescent="0.25">
      <c r="A15" s="3" t="s">
        <v>35</v>
      </c>
      <c r="B15" s="5">
        <f>40000</f>
        <v>40000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5">
        <f t="shared" si="0"/>
        <v>40000</v>
      </c>
    </row>
    <row r="16" spans="1:27" x14ac:dyDescent="0.25">
      <c r="A16" s="3" t="s">
        <v>36</v>
      </c>
      <c r="B16" s="5">
        <f>863.24</f>
        <v>863.24</v>
      </c>
      <c r="C16" s="5">
        <f>180</f>
        <v>180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5">
        <f t="shared" si="0"/>
        <v>1043.24</v>
      </c>
    </row>
    <row r="17" spans="1:27" x14ac:dyDescent="0.25">
      <c r="A17" s="3" t="s">
        <v>37</v>
      </c>
      <c r="B17" s="6">
        <f t="shared" ref="B17:Z17" si="1">(((((((((B7)+(B8))+(B9))+(B10))+(B11))+(B12))+(B13))+(B14))+(B15))+(B16)</f>
        <v>595752.78</v>
      </c>
      <c r="C17" s="6">
        <f t="shared" si="1"/>
        <v>180</v>
      </c>
      <c r="D17" s="6">
        <f t="shared" si="1"/>
        <v>95.24</v>
      </c>
      <c r="E17" s="6">
        <f t="shared" si="1"/>
        <v>0</v>
      </c>
      <c r="F17" s="6">
        <f t="shared" si="1"/>
        <v>0</v>
      </c>
      <c r="G17" s="6">
        <f t="shared" si="1"/>
        <v>5021.4400000000005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1"/>
        <v>0</v>
      </c>
      <c r="Q17" s="6">
        <f t="shared" si="1"/>
        <v>0</v>
      </c>
      <c r="R17" s="6">
        <f t="shared" si="1"/>
        <v>0</v>
      </c>
      <c r="S17" s="6">
        <f t="shared" si="1"/>
        <v>0</v>
      </c>
      <c r="T17" s="6">
        <f t="shared" si="1"/>
        <v>0</v>
      </c>
      <c r="U17" s="6">
        <f t="shared" si="1"/>
        <v>0</v>
      </c>
      <c r="V17" s="6">
        <f t="shared" si="1"/>
        <v>0</v>
      </c>
      <c r="W17" s="6">
        <f t="shared" si="1"/>
        <v>0</v>
      </c>
      <c r="X17" s="6">
        <f t="shared" si="1"/>
        <v>0</v>
      </c>
      <c r="Y17" s="6">
        <f t="shared" si="1"/>
        <v>0</v>
      </c>
      <c r="Z17" s="6">
        <f t="shared" si="1"/>
        <v>0</v>
      </c>
      <c r="AA17" s="6">
        <f t="shared" si="0"/>
        <v>601049.46</v>
      </c>
    </row>
    <row r="18" spans="1:27" x14ac:dyDescent="0.25">
      <c r="A18" s="3" t="s">
        <v>38</v>
      </c>
      <c r="B18" s="4"/>
      <c r="C18" s="4"/>
      <c r="D18" s="5">
        <f>1107063.36</f>
        <v>1107063.3600000001</v>
      </c>
      <c r="E18" s="4"/>
      <c r="F18" s="4"/>
      <c r="G18" s="4"/>
      <c r="H18" s="4"/>
      <c r="I18" s="5">
        <f>93038.69</f>
        <v>93038.69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5">
        <f t="shared" si="0"/>
        <v>1200102.05</v>
      </c>
    </row>
    <row r="19" spans="1:27" x14ac:dyDescent="0.25">
      <c r="A19" s="3" t="s">
        <v>39</v>
      </c>
      <c r="B19" s="4"/>
      <c r="C19" s="4"/>
      <c r="D19" s="5">
        <f>21020.64</f>
        <v>21020.639999999999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5">
        <f t="shared" si="0"/>
        <v>21020.639999999999</v>
      </c>
    </row>
    <row r="20" spans="1:27" x14ac:dyDescent="0.25">
      <c r="A20" s="3" t="s">
        <v>40</v>
      </c>
      <c r="B20" s="6">
        <f t="shared" ref="B20:Z20" si="2">(B18)+(B19)</f>
        <v>0</v>
      </c>
      <c r="C20" s="6">
        <f t="shared" si="2"/>
        <v>0</v>
      </c>
      <c r="D20" s="6">
        <f t="shared" si="2"/>
        <v>1128084</v>
      </c>
      <c r="E20" s="6">
        <f t="shared" si="2"/>
        <v>0</v>
      </c>
      <c r="F20" s="6">
        <f t="shared" si="2"/>
        <v>0</v>
      </c>
      <c r="G20" s="6">
        <f t="shared" si="2"/>
        <v>0</v>
      </c>
      <c r="H20" s="6">
        <f t="shared" si="2"/>
        <v>0</v>
      </c>
      <c r="I20" s="6">
        <f t="shared" si="2"/>
        <v>93038.69</v>
      </c>
      <c r="J20" s="6">
        <f t="shared" si="2"/>
        <v>0</v>
      </c>
      <c r="K20" s="6">
        <f t="shared" si="2"/>
        <v>0</v>
      </c>
      <c r="L20" s="6">
        <f t="shared" si="2"/>
        <v>0</v>
      </c>
      <c r="M20" s="6">
        <f t="shared" si="2"/>
        <v>0</v>
      </c>
      <c r="N20" s="6">
        <f t="shared" si="2"/>
        <v>0</v>
      </c>
      <c r="O20" s="6">
        <f t="shared" si="2"/>
        <v>0</v>
      </c>
      <c r="P20" s="6">
        <f t="shared" si="2"/>
        <v>0</v>
      </c>
      <c r="Q20" s="6">
        <f t="shared" si="2"/>
        <v>0</v>
      </c>
      <c r="R20" s="6">
        <f t="shared" si="2"/>
        <v>0</v>
      </c>
      <c r="S20" s="6">
        <f t="shared" si="2"/>
        <v>0</v>
      </c>
      <c r="T20" s="6">
        <f t="shared" si="2"/>
        <v>0</v>
      </c>
      <c r="U20" s="6">
        <f t="shared" si="2"/>
        <v>0</v>
      </c>
      <c r="V20" s="6">
        <f t="shared" si="2"/>
        <v>0</v>
      </c>
      <c r="W20" s="6">
        <f t="shared" si="2"/>
        <v>0</v>
      </c>
      <c r="X20" s="6">
        <f t="shared" si="2"/>
        <v>0</v>
      </c>
      <c r="Y20" s="6">
        <f t="shared" si="2"/>
        <v>0</v>
      </c>
      <c r="Z20" s="6">
        <f t="shared" si="2"/>
        <v>0</v>
      </c>
      <c r="AA20" s="6">
        <f t="shared" si="0"/>
        <v>1221122.69</v>
      </c>
    </row>
    <row r="21" spans="1:27" x14ac:dyDescent="0.25">
      <c r="A21" s="3" t="s">
        <v>41</v>
      </c>
      <c r="B21" s="5">
        <f>5292</f>
        <v>5292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5">
        <f t="shared" si="0"/>
        <v>5292</v>
      </c>
    </row>
    <row r="22" spans="1:27" x14ac:dyDescent="0.25">
      <c r="A22" s="3" t="s">
        <v>42</v>
      </c>
      <c r="B22" s="5">
        <f>11283.89</f>
        <v>11283.89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5">
        <f t="shared" si="0"/>
        <v>11283.89</v>
      </c>
    </row>
    <row r="23" spans="1:27" x14ac:dyDescent="0.25">
      <c r="A23" s="3" t="s">
        <v>43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5">
        <f t="shared" si="0"/>
        <v>0</v>
      </c>
    </row>
    <row r="24" spans="1:27" x14ac:dyDescent="0.25">
      <c r="A24" s="3" t="s">
        <v>44</v>
      </c>
      <c r="B24" s="4"/>
      <c r="C24" s="4"/>
      <c r="D24" s="4"/>
      <c r="E24" s="4"/>
      <c r="F24" s="4"/>
      <c r="G24" s="4"/>
      <c r="H24" s="4"/>
      <c r="I24" s="4"/>
      <c r="J24" s="5">
        <f>88873.87</f>
        <v>88873.87</v>
      </c>
      <c r="K24" s="4"/>
      <c r="L24" s="5">
        <f>6432.81</f>
        <v>6432.81</v>
      </c>
      <c r="M24" s="5">
        <f>20402.68</f>
        <v>20402.68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5">
        <f t="shared" si="0"/>
        <v>115709.35999999999</v>
      </c>
    </row>
    <row r="25" spans="1:27" x14ac:dyDescent="0.25">
      <c r="A25" s="3" t="s">
        <v>45</v>
      </c>
      <c r="B25" s="4"/>
      <c r="C25" s="4"/>
      <c r="D25" s="4"/>
      <c r="E25" s="4"/>
      <c r="F25" s="4"/>
      <c r="G25" s="4"/>
      <c r="H25" s="4"/>
      <c r="I25" s="4"/>
      <c r="J25" s="4"/>
      <c r="K25" s="5">
        <f>40541.46</f>
        <v>40541.46</v>
      </c>
      <c r="L25" s="4"/>
      <c r="M25" s="4"/>
      <c r="N25" s="5">
        <f>13247.93</f>
        <v>13247.93</v>
      </c>
      <c r="O25" s="4"/>
      <c r="P25" s="5">
        <f>60278.23</f>
        <v>60278.23</v>
      </c>
      <c r="Q25" s="5">
        <f>187406.34</f>
        <v>187406.34</v>
      </c>
      <c r="R25" s="5">
        <f>25596.88</f>
        <v>25596.880000000001</v>
      </c>
      <c r="S25" s="4"/>
      <c r="T25" s="5">
        <f>740.94</f>
        <v>740.94</v>
      </c>
      <c r="U25" s="5">
        <f>1108.96</f>
        <v>1108.96</v>
      </c>
      <c r="V25" s="5">
        <f>93750.49</f>
        <v>93750.49</v>
      </c>
      <c r="W25" s="5">
        <f>53131.56</f>
        <v>53131.56</v>
      </c>
      <c r="X25" s="5">
        <f>126565.33</f>
        <v>126565.33</v>
      </c>
      <c r="Y25" s="4"/>
      <c r="Z25" s="5">
        <f>22359.71</f>
        <v>22359.71</v>
      </c>
      <c r="AA25" s="5">
        <f t="shared" si="0"/>
        <v>624727.82999999996</v>
      </c>
    </row>
    <row r="26" spans="1:27" x14ac:dyDescent="0.25">
      <c r="A26" s="3" t="s">
        <v>46</v>
      </c>
      <c r="B26" s="6">
        <f t="shared" ref="B26:Z26" si="3">((B23)+(B24))+(B25)</f>
        <v>0</v>
      </c>
      <c r="C26" s="6">
        <f t="shared" si="3"/>
        <v>0</v>
      </c>
      <c r="D26" s="6">
        <f t="shared" si="3"/>
        <v>0</v>
      </c>
      <c r="E26" s="6">
        <f t="shared" si="3"/>
        <v>0</v>
      </c>
      <c r="F26" s="6">
        <f t="shared" si="3"/>
        <v>0</v>
      </c>
      <c r="G26" s="6">
        <f t="shared" si="3"/>
        <v>0</v>
      </c>
      <c r="H26" s="6">
        <f t="shared" si="3"/>
        <v>0</v>
      </c>
      <c r="I26" s="6">
        <f t="shared" si="3"/>
        <v>0</v>
      </c>
      <c r="J26" s="6">
        <f t="shared" si="3"/>
        <v>88873.87</v>
      </c>
      <c r="K26" s="6">
        <f t="shared" si="3"/>
        <v>40541.46</v>
      </c>
      <c r="L26" s="6">
        <f t="shared" si="3"/>
        <v>6432.81</v>
      </c>
      <c r="M26" s="6">
        <f t="shared" si="3"/>
        <v>20402.68</v>
      </c>
      <c r="N26" s="6">
        <f t="shared" si="3"/>
        <v>13247.93</v>
      </c>
      <c r="O26" s="6">
        <f t="shared" si="3"/>
        <v>0</v>
      </c>
      <c r="P26" s="6">
        <f t="shared" si="3"/>
        <v>60278.23</v>
      </c>
      <c r="Q26" s="6">
        <f t="shared" si="3"/>
        <v>187406.34</v>
      </c>
      <c r="R26" s="6">
        <f t="shared" si="3"/>
        <v>25596.880000000001</v>
      </c>
      <c r="S26" s="6">
        <f t="shared" si="3"/>
        <v>0</v>
      </c>
      <c r="T26" s="6">
        <f t="shared" si="3"/>
        <v>740.94</v>
      </c>
      <c r="U26" s="6">
        <f t="shared" si="3"/>
        <v>1108.96</v>
      </c>
      <c r="V26" s="6">
        <f t="shared" si="3"/>
        <v>93750.49</v>
      </c>
      <c r="W26" s="6">
        <f t="shared" si="3"/>
        <v>53131.56</v>
      </c>
      <c r="X26" s="6">
        <f t="shared" si="3"/>
        <v>126565.33</v>
      </c>
      <c r="Y26" s="6">
        <f t="shared" si="3"/>
        <v>0</v>
      </c>
      <c r="Z26" s="6">
        <f t="shared" si="3"/>
        <v>22359.71</v>
      </c>
      <c r="AA26" s="6">
        <f t="shared" si="0"/>
        <v>740437.18999999983</v>
      </c>
    </row>
    <row r="27" spans="1:27" x14ac:dyDescent="0.25">
      <c r="A27" s="3" t="s">
        <v>47</v>
      </c>
      <c r="B27" s="6">
        <f t="shared" ref="B27:Z27" si="4">((((B17)+(B20))+(B21))+(B22))+(B26)</f>
        <v>612328.67000000004</v>
      </c>
      <c r="C27" s="6">
        <f t="shared" si="4"/>
        <v>180</v>
      </c>
      <c r="D27" s="6">
        <f t="shared" si="4"/>
        <v>1128179.24</v>
      </c>
      <c r="E27" s="6">
        <f t="shared" si="4"/>
        <v>0</v>
      </c>
      <c r="F27" s="6">
        <f t="shared" si="4"/>
        <v>0</v>
      </c>
      <c r="G27" s="6">
        <f t="shared" si="4"/>
        <v>5021.4400000000005</v>
      </c>
      <c r="H27" s="6">
        <f t="shared" si="4"/>
        <v>0</v>
      </c>
      <c r="I27" s="6">
        <f t="shared" si="4"/>
        <v>93038.69</v>
      </c>
      <c r="J27" s="6">
        <f t="shared" si="4"/>
        <v>88873.87</v>
      </c>
      <c r="K27" s="6">
        <f t="shared" si="4"/>
        <v>40541.46</v>
      </c>
      <c r="L27" s="6">
        <f t="shared" si="4"/>
        <v>6432.81</v>
      </c>
      <c r="M27" s="6">
        <f t="shared" si="4"/>
        <v>20402.68</v>
      </c>
      <c r="N27" s="6">
        <f t="shared" si="4"/>
        <v>13247.93</v>
      </c>
      <c r="O27" s="6">
        <f t="shared" si="4"/>
        <v>0</v>
      </c>
      <c r="P27" s="6">
        <f t="shared" si="4"/>
        <v>60278.23</v>
      </c>
      <c r="Q27" s="6">
        <f t="shared" si="4"/>
        <v>187406.34</v>
      </c>
      <c r="R27" s="6">
        <f t="shared" si="4"/>
        <v>25596.880000000001</v>
      </c>
      <c r="S27" s="6">
        <f t="shared" si="4"/>
        <v>0</v>
      </c>
      <c r="T27" s="6">
        <f t="shared" si="4"/>
        <v>740.94</v>
      </c>
      <c r="U27" s="6">
        <f t="shared" si="4"/>
        <v>1108.96</v>
      </c>
      <c r="V27" s="6">
        <f t="shared" si="4"/>
        <v>93750.49</v>
      </c>
      <c r="W27" s="6">
        <f t="shared" si="4"/>
        <v>53131.56</v>
      </c>
      <c r="X27" s="6">
        <f t="shared" si="4"/>
        <v>126565.33</v>
      </c>
      <c r="Y27" s="6">
        <f t="shared" si="4"/>
        <v>0</v>
      </c>
      <c r="Z27" s="6">
        <f t="shared" si="4"/>
        <v>22359.71</v>
      </c>
      <c r="AA27" s="6">
        <f t="shared" si="0"/>
        <v>2579185.23</v>
      </c>
    </row>
    <row r="28" spans="1:27" x14ac:dyDescent="0.25">
      <c r="A28" s="3" t="s">
        <v>48</v>
      </c>
      <c r="B28" s="6">
        <f t="shared" ref="B28:Z28" si="5">(B27)-(0)</f>
        <v>612328.67000000004</v>
      </c>
      <c r="C28" s="6">
        <f t="shared" si="5"/>
        <v>180</v>
      </c>
      <c r="D28" s="6">
        <f t="shared" si="5"/>
        <v>1128179.24</v>
      </c>
      <c r="E28" s="6">
        <f t="shared" si="5"/>
        <v>0</v>
      </c>
      <c r="F28" s="6">
        <f t="shared" si="5"/>
        <v>0</v>
      </c>
      <c r="G28" s="6">
        <f t="shared" si="5"/>
        <v>5021.4400000000005</v>
      </c>
      <c r="H28" s="6">
        <f t="shared" si="5"/>
        <v>0</v>
      </c>
      <c r="I28" s="6">
        <f t="shared" si="5"/>
        <v>93038.69</v>
      </c>
      <c r="J28" s="6">
        <f t="shared" si="5"/>
        <v>88873.87</v>
      </c>
      <c r="K28" s="6">
        <f t="shared" si="5"/>
        <v>40541.46</v>
      </c>
      <c r="L28" s="6">
        <f t="shared" si="5"/>
        <v>6432.81</v>
      </c>
      <c r="M28" s="6">
        <f t="shared" si="5"/>
        <v>20402.68</v>
      </c>
      <c r="N28" s="6">
        <f t="shared" si="5"/>
        <v>13247.93</v>
      </c>
      <c r="O28" s="6">
        <f t="shared" si="5"/>
        <v>0</v>
      </c>
      <c r="P28" s="6">
        <f t="shared" si="5"/>
        <v>60278.23</v>
      </c>
      <c r="Q28" s="6">
        <f t="shared" si="5"/>
        <v>187406.34</v>
      </c>
      <c r="R28" s="6">
        <f t="shared" si="5"/>
        <v>25596.880000000001</v>
      </c>
      <c r="S28" s="6">
        <f t="shared" si="5"/>
        <v>0</v>
      </c>
      <c r="T28" s="6">
        <f t="shared" si="5"/>
        <v>740.94</v>
      </c>
      <c r="U28" s="6">
        <f t="shared" si="5"/>
        <v>1108.96</v>
      </c>
      <c r="V28" s="6">
        <f t="shared" si="5"/>
        <v>93750.49</v>
      </c>
      <c r="W28" s="6">
        <f t="shared" si="5"/>
        <v>53131.56</v>
      </c>
      <c r="X28" s="6">
        <f t="shared" si="5"/>
        <v>126565.33</v>
      </c>
      <c r="Y28" s="6">
        <f t="shared" si="5"/>
        <v>0</v>
      </c>
      <c r="Z28" s="6">
        <f t="shared" si="5"/>
        <v>22359.71</v>
      </c>
      <c r="AA28" s="6">
        <f t="shared" si="0"/>
        <v>2579185.23</v>
      </c>
    </row>
    <row r="29" spans="1:27" x14ac:dyDescent="0.25">
      <c r="A29" s="3" t="s">
        <v>49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x14ac:dyDescent="0.25">
      <c r="A30" s="3" t="s">
        <v>50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">
        <f t="shared" ref="AA30:AA61" si="6">((((((((((((((((((((((((B30)+(C30))+(D30))+(E30))+(F30))+(G30))+(H30))+(I30))+(J30))+(K30))+(L30))+(M30))+(N30))+(O30))+(P30))+(Q30))+(R30))+(S30))+(T30))+(U30))+(V30))+(W30))+(X30))+(Y30))+(Z30)</f>
        <v>0</v>
      </c>
    </row>
    <row r="31" spans="1:27" x14ac:dyDescent="0.25">
      <c r="A31" s="3" t="s">
        <v>51</v>
      </c>
      <c r="B31" s="5">
        <f>84107.36</f>
        <v>84107.36</v>
      </c>
      <c r="C31" s="4"/>
      <c r="D31" s="5">
        <f>138564.4</f>
        <v>138564.4</v>
      </c>
      <c r="E31" s="4"/>
      <c r="F31" s="4"/>
      <c r="G31" s="4"/>
      <c r="H31" s="4"/>
      <c r="I31" s="5">
        <f>10950.68</f>
        <v>10950.68</v>
      </c>
      <c r="J31" s="5">
        <f>148624.63</f>
        <v>148624.63</v>
      </c>
      <c r="K31" s="5">
        <f>19089.52</f>
        <v>19089.52</v>
      </c>
      <c r="L31" s="4"/>
      <c r="M31" s="4"/>
      <c r="N31" s="5">
        <f>17681.68</f>
        <v>17681.68</v>
      </c>
      <c r="O31" s="5">
        <f>18395</f>
        <v>18395</v>
      </c>
      <c r="P31" s="4"/>
      <c r="Q31" s="5">
        <f>83811.56</f>
        <v>83811.56</v>
      </c>
      <c r="R31" s="5">
        <f>28477.9</f>
        <v>28477.9</v>
      </c>
      <c r="S31" s="4"/>
      <c r="T31" s="4"/>
      <c r="U31" s="4"/>
      <c r="V31" s="5">
        <f>65905.88</f>
        <v>65905.88</v>
      </c>
      <c r="W31" s="4"/>
      <c r="X31" s="5">
        <f>90652.68</f>
        <v>90652.68</v>
      </c>
      <c r="Y31" s="5">
        <f>10280.28</f>
        <v>10280.280000000001</v>
      </c>
      <c r="Z31" s="4"/>
      <c r="AA31" s="5">
        <f t="shared" si="6"/>
        <v>716541.57000000007</v>
      </c>
    </row>
    <row r="32" spans="1:27" x14ac:dyDescent="0.25">
      <c r="A32" s="3" t="s">
        <v>52</v>
      </c>
      <c r="B32" s="5">
        <f>61088.68</f>
        <v>61088.68</v>
      </c>
      <c r="C32" s="4"/>
      <c r="D32" s="5">
        <f>38778.06</f>
        <v>38778.06</v>
      </c>
      <c r="E32" s="4"/>
      <c r="F32" s="5">
        <f>15779.6</f>
        <v>15779.6</v>
      </c>
      <c r="G32" s="4"/>
      <c r="H32" s="4"/>
      <c r="I32" s="4"/>
      <c r="J32" s="5">
        <f>7956.76</f>
        <v>7956.76</v>
      </c>
      <c r="K32" s="4"/>
      <c r="L32" s="5">
        <f>7607.84</f>
        <v>7607.84</v>
      </c>
      <c r="M32" s="5">
        <f>24874.15</f>
        <v>24874.15</v>
      </c>
      <c r="N32" s="4"/>
      <c r="O32" s="4"/>
      <c r="P32" s="4"/>
      <c r="Q32" s="5">
        <f>11881.56</f>
        <v>11881.56</v>
      </c>
      <c r="R32" s="4"/>
      <c r="S32" s="4"/>
      <c r="T32" s="4"/>
      <c r="U32" s="4"/>
      <c r="V32" s="5">
        <f>10279.16</f>
        <v>10279.16</v>
      </c>
      <c r="W32" s="5">
        <f>68470.96</f>
        <v>68470.960000000006</v>
      </c>
      <c r="X32" s="5">
        <f>10171.84</f>
        <v>10171.84</v>
      </c>
      <c r="Y32" s="4"/>
      <c r="Z32" s="5">
        <f>24874.29</f>
        <v>24874.29</v>
      </c>
      <c r="AA32" s="5">
        <f t="shared" si="6"/>
        <v>281762.90000000002</v>
      </c>
    </row>
    <row r="33" spans="1:27" x14ac:dyDescent="0.25">
      <c r="A33" s="3" t="s">
        <v>53</v>
      </c>
      <c r="B33" s="6">
        <f t="shared" ref="B33:Z33" si="7">((B30)+(B31))+(B32)</f>
        <v>145196.04</v>
      </c>
      <c r="C33" s="6">
        <f t="shared" si="7"/>
        <v>0</v>
      </c>
      <c r="D33" s="6">
        <f t="shared" si="7"/>
        <v>177342.46</v>
      </c>
      <c r="E33" s="6">
        <f t="shared" si="7"/>
        <v>0</v>
      </c>
      <c r="F33" s="6">
        <f t="shared" si="7"/>
        <v>15779.6</v>
      </c>
      <c r="G33" s="6">
        <f t="shared" si="7"/>
        <v>0</v>
      </c>
      <c r="H33" s="6">
        <f t="shared" si="7"/>
        <v>0</v>
      </c>
      <c r="I33" s="6">
        <f t="shared" si="7"/>
        <v>10950.68</v>
      </c>
      <c r="J33" s="6">
        <f t="shared" si="7"/>
        <v>156581.39000000001</v>
      </c>
      <c r="K33" s="6">
        <f t="shared" si="7"/>
        <v>19089.52</v>
      </c>
      <c r="L33" s="6">
        <f t="shared" si="7"/>
        <v>7607.84</v>
      </c>
      <c r="M33" s="6">
        <f t="shared" si="7"/>
        <v>24874.15</v>
      </c>
      <c r="N33" s="6">
        <f t="shared" si="7"/>
        <v>17681.68</v>
      </c>
      <c r="O33" s="6">
        <f t="shared" si="7"/>
        <v>18395</v>
      </c>
      <c r="P33" s="6">
        <f t="shared" si="7"/>
        <v>0</v>
      </c>
      <c r="Q33" s="6">
        <f t="shared" si="7"/>
        <v>95693.119999999995</v>
      </c>
      <c r="R33" s="6">
        <f t="shared" si="7"/>
        <v>28477.9</v>
      </c>
      <c r="S33" s="6">
        <f t="shared" si="7"/>
        <v>0</v>
      </c>
      <c r="T33" s="6">
        <f t="shared" si="7"/>
        <v>0</v>
      </c>
      <c r="U33" s="6">
        <f t="shared" si="7"/>
        <v>0</v>
      </c>
      <c r="V33" s="6">
        <f t="shared" si="7"/>
        <v>76185.040000000008</v>
      </c>
      <c r="W33" s="6">
        <f t="shared" si="7"/>
        <v>68470.960000000006</v>
      </c>
      <c r="X33" s="6">
        <f t="shared" si="7"/>
        <v>100824.51999999999</v>
      </c>
      <c r="Y33" s="6">
        <f t="shared" si="7"/>
        <v>10280.280000000001</v>
      </c>
      <c r="Z33" s="6">
        <f t="shared" si="7"/>
        <v>24874.29</v>
      </c>
      <c r="AA33" s="6">
        <f t="shared" si="6"/>
        <v>998304.47000000009</v>
      </c>
    </row>
    <row r="34" spans="1:27" x14ac:dyDescent="0.25">
      <c r="A34" s="3" t="s">
        <v>54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">
        <f t="shared" si="6"/>
        <v>0</v>
      </c>
    </row>
    <row r="35" spans="1:27" x14ac:dyDescent="0.25">
      <c r="A35" s="3" t="s">
        <v>55</v>
      </c>
      <c r="B35" s="4"/>
      <c r="C35" s="4"/>
      <c r="D35" s="4"/>
      <c r="E35" s="4"/>
      <c r="F35" s="4"/>
      <c r="G35" s="4"/>
      <c r="H35" s="4"/>
      <c r="I35" s="4"/>
      <c r="J35" s="4"/>
      <c r="K35" s="5">
        <f>2.38</f>
        <v>2.38</v>
      </c>
      <c r="L35" s="4"/>
      <c r="M35" s="4"/>
      <c r="N35" s="5">
        <f>2.5</f>
        <v>2.5</v>
      </c>
      <c r="O35" s="4"/>
      <c r="P35" s="4"/>
      <c r="Q35" s="5">
        <f>12.62</f>
        <v>12.62</v>
      </c>
      <c r="R35" s="5">
        <f>3.3</f>
        <v>3.3</v>
      </c>
      <c r="S35" s="4"/>
      <c r="T35" s="4"/>
      <c r="U35" s="4"/>
      <c r="V35" s="5">
        <f>10.64</f>
        <v>10.64</v>
      </c>
      <c r="W35" s="5">
        <f>9</f>
        <v>9</v>
      </c>
      <c r="X35" s="5">
        <f>14.48</f>
        <v>14.48</v>
      </c>
      <c r="Y35" s="5">
        <f>2</f>
        <v>2</v>
      </c>
      <c r="Z35" s="5">
        <f>3.5</f>
        <v>3.5</v>
      </c>
      <c r="AA35" s="5">
        <f t="shared" si="6"/>
        <v>60.42</v>
      </c>
    </row>
    <row r="36" spans="1:27" x14ac:dyDescent="0.25">
      <c r="A36" s="3" t="s">
        <v>56</v>
      </c>
      <c r="B36" s="5">
        <f>585</f>
        <v>585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">
        <f t="shared" si="6"/>
        <v>585</v>
      </c>
    </row>
    <row r="37" spans="1:27" x14ac:dyDescent="0.25">
      <c r="A37" s="3" t="s">
        <v>57</v>
      </c>
      <c r="B37" s="5">
        <f>3656.77</f>
        <v>3656.77</v>
      </c>
      <c r="C37" s="4"/>
      <c r="D37" s="5">
        <f>2283.25</f>
        <v>2283.25</v>
      </c>
      <c r="E37" s="4"/>
      <c r="F37" s="5">
        <f>932.25</f>
        <v>932.25</v>
      </c>
      <c r="G37" s="4"/>
      <c r="H37" s="4"/>
      <c r="I37" s="4"/>
      <c r="J37" s="5">
        <f>475.05</f>
        <v>475.05</v>
      </c>
      <c r="K37" s="4"/>
      <c r="L37" s="5">
        <f>457.67</f>
        <v>457.67</v>
      </c>
      <c r="M37" s="5">
        <f>1472.66</f>
        <v>1472.66</v>
      </c>
      <c r="N37" s="4"/>
      <c r="O37" s="4"/>
      <c r="P37" s="4"/>
      <c r="Q37" s="5">
        <f>722.35</f>
        <v>722.35</v>
      </c>
      <c r="R37" s="4"/>
      <c r="S37" s="4"/>
      <c r="T37" s="4"/>
      <c r="U37" s="4"/>
      <c r="V37" s="5">
        <f>545.11</f>
        <v>545.11</v>
      </c>
      <c r="W37" s="5">
        <f>4119.08</f>
        <v>4119.08</v>
      </c>
      <c r="X37" s="5">
        <f>614.43</f>
        <v>614.42999999999995</v>
      </c>
      <c r="Y37" s="4"/>
      <c r="Z37" s="5">
        <f>1472.6</f>
        <v>1472.6</v>
      </c>
      <c r="AA37" s="5">
        <f t="shared" si="6"/>
        <v>16751.22</v>
      </c>
    </row>
    <row r="38" spans="1:27" x14ac:dyDescent="0.25">
      <c r="A38" s="3" t="s">
        <v>58</v>
      </c>
      <c r="B38" s="5">
        <f>2249.64</f>
        <v>2249.64</v>
      </c>
      <c r="C38" s="4"/>
      <c r="D38" s="5">
        <f>2469.69</f>
        <v>2469.69</v>
      </c>
      <c r="E38" s="4"/>
      <c r="F38" s="5">
        <f>218.03</f>
        <v>218.03</v>
      </c>
      <c r="G38" s="4"/>
      <c r="H38" s="4"/>
      <c r="I38" s="5">
        <f>156.4</f>
        <v>156.4</v>
      </c>
      <c r="J38" s="5">
        <f>2171.11</f>
        <v>2171.11</v>
      </c>
      <c r="K38" s="5">
        <f>258.68</f>
        <v>258.68</v>
      </c>
      <c r="L38" s="5">
        <f>107.01</f>
        <v>107.01</v>
      </c>
      <c r="M38" s="5">
        <f>344.41</f>
        <v>344.41</v>
      </c>
      <c r="N38" s="5">
        <f>248.72</f>
        <v>248.72</v>
      </c>
      <c r="O38" s="5">
        <f>259.04</f>
        <v>259.04000000000002</v>
      </c>
      <c r="P38" s="4"/>
      <c r="Q38" s="5">
        <f>1332.1</f>
        <v>1332.1</v>
      </c>
      <c r="R38" s="5">
        <f>390.32</f>
        <v>390.32</v>
      </c>
      <c r="S38" s="4"/>
      <c r="T38" s="4"/>
      <c r="U38" s="4"/>
      <c r="V38" s="5">
        <f>1044.86</f>
        <v>1044.8599999999999</v>
      </c>
      <c r="W38" s="5">
        <f>963.4</f>
        <v>963.4</v>
      </c>
      <c r="X38" s="5">
        <f>1411.02</f>
        <v>1411.02</v>
      </c>
      <c r="Y38" s="5">
        <f>146.08</f>
        <v>146.08000000000001</v>
      </c>
      <c r="Z38" s="5">
        <f>344.38</f>
        <v>344.38</v>
      </c>
      <c r="AA38" s="5">
        <f t="shared" si="6"/>
        <v>14114.89</v>
      </c>
    </row>
    <row r="39" spans="1:27" x14ac:dyDescent="0.25">
      <c r="A39" s="3" t="s">
        <v>59</v>
      </c>
      <c r="B39" s="5">
        <f>2968.9</f>
        <v>2968.9</v>
      </c>
      <c r="C39" s="4"/>
      <c r="D39" s="5">
        <f>4156.94</f>
        <v>4156.9399999999996</v>
      </c>
      <c r="E39" s="4"/>
      <c r="F39" s="4"/>
      <c r="G39" s="4"/>
      <c r="H39" s="4"/>
      <c r="I39" s="5">
        <f>328.52</f>
        <v>328.52</v>
      </c>
      <c r="J39" s="5">
        <f>4458.6</f>
        <v>4458.6000000000004</v>
      </c>
      <c r="K39" s="5">
        <f>3083.05</f>
        <v>3083.05</v>
      </c>
      <c r="L39" s="4"/>
      <c r="M39" s="4"/>
      <c r="N39" s="5">
        <f>2847.64</f>
        <v>2847.64</v>
      </c>
      <c r="O39" s="5">
        <f>551.84</f>
        <v>551.84</v>
      </c>
      <c r="P39" s="4"/>
      <c r="Q39" s="5">
        <f>13497.84</f>
        <v>13497.84</v>
      </c>
      <c r="R39" s="5">
        <f>4643.16</f>
        <v>4643.16</v>
      </c>
      <c r="S39" s="4"/>
      <c r="T39" s="4"/>
      <c r="U39" s="4"/>
      <c r="V39" s="5">
        <f>10901.88</f>
        <v>10901.88</v>
      </c>
      <c r="W39" s="4"/>
      <c r="X39" s="5">
        <f>14984.76</f>
        <v>14984.76</v>
      </c>
      <c r="Y39" s="5">
        <f>1413.52</f>
        <v>1413.52</v>
      </c>
      <c r="Z39" s="4"/>
      <c r="AA39" s="5">
        <f t="shared" si="6"/>
        <v>63836.65</v>
      </c>
    </row>
    <row r="40" spans="1:27" x14ac:dyDescent="0.25">
      <c r="A40" s="3" t="s">
        <v>60</v>
      </c>
      <c r="B40" s="5">
        <f>11368.84</f>
        <v>11368.84</v>
      </c>
      <c r="C40" s="4"/>
      <c r="D40" s="5">
        <f>7220.5</f>
        <v>7220.5</v>
      </c>
      <c r="E40" s="4"/>
      <c r="F40" s="5">
        <f>2938.16</f>
        <v>2938.16</v>
      </c>
      <c r="G40" s="4"/>
      <c r="H40" s="4"/>
      <c r="I40" s="4"/>
      <c r="J40" s="5">
        <f>1481.56</f>
        <v>1481.56</v>
      </c>
      <c r="K40" s="4"/>
      <c r="L40" s="5">
        <f>1416.56</f>
        <v>1416.56</v>
      </c>
      <c r="M40" s="5">
        <f>4631.63</f>
        <v>4631.63</v>
      </c>
      <c r="N40" s="4"/>
      <c r="O40" s="4"/>
      <c r="P40" s="4"/>
      <c r="Q40" s="5">
        <f>1446.92</f>
        <v>1446.92</v>
      </c>
      <c r="R40" s="4"/>
      <c r="S40" s="4"/>
      <c r="T40" s="4"/>
      <c r="U40" s="4"/>
      <c r="V40" s="5">
        <f>1913.96</f>
        <v>1913.96</v>
      </c>
      <c r="W40" s="5">
        <f>12749.28</f>
        <v>12749.28</v>
      </c>
      <c r="X40" s="5">
        <f>1899.88</f>
        <v>1899.88</v>
      </c>
      <c r="Y40" s="4"/>
      <c r="Z40" s="5">
        <f>4631.51</f>
        <v>4631.51</v>
      </c>
      <c r="AA40" s="5">
        <f t="shared" si="6"/>
        <v>51698.8</v>
      </c>
    </row>
    <row r="41" spans="1:27" x14ac:dyDescent="0.25">
      <c r="A41" s="3" t="s">
        <v>61</v>
      </c>
      <c r="B41" s="4"/>
      <c r="C41" s="4"/>
      <c r="D41" s="4"/>
      <c r="E41" s="4"/>
      <c r="F41" s="4"/>
      <c r="G41" s="4"/>
      <c r="H41" s="4"/>
      <c r="I41" s="4"/>
      <c r="J41" s="4"/>
      <c r="K41" s="5">
        <f>3755.74</f>
        <v>3755.74</v>
      </c>
      <c r="L41" s="5">
        <f>2847.12</f>
        <v>2847.12</v>
      </c>
      <c r="M41" s="4"/>
      <c r="N41" s="5">
        <f>2932.96</f>
        <v>2932.96</v>
      </c>
      <c r="O41" s="4"/>
      <c r="P41" s="4"/>
      <c r="Q41" s="5">
        <f>14521.18</f>
        <v>14521.18</v>
      </c>
      <c r="R41" s="5">
        <f>3426</f>
        <v>3426</v>
      </c>
      <c r="S41" s="4"/>
      <c r="T41" s="4"/>
      <c r="U41" s="4"/>
      <c r="V41" s="5">
        <f>12410.54</f>
        <v>12410.54</v>
      </c>
      <c r="W41" s="5">
        <f>8494.16</f>
        <v>8494.16</v>
      </c>
      <c r="X41" s="5">
        <f>11319.38</f>
        <v>11319.38</v>
      </c>
      <c r="Y41" s="5">
        <f>1754.6</f>
        <v>1754.6</v>
      </c>
      <c r="Z41" s="5">
        <f>3156.81</f>
        <v>3156.81</v>
      </c>
      <c r="AA41" s="5">
        <f t="shared" si="6"/>
        <v>64618.489999999991</v>
      </c>
    </row>
    <row r="42" spans="1:27" x14ac:dyDescent="0.25">
      <c r="A42" s="3" t="s">
        <v>62</v>
      </c>
      <c r="B42" s="5">
        <f>66140.47</f>
        <v>66140.47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5">
        <f t="shared" si="6"/>
        <v>66140.47</v>
      </c>
    </row>
    <row r="43" spans="1:27" x14ac:dyDescent="0.25">
      <c r="A43" s="3" t="s">
        <v>63</v>
      </c>
      <c r="B43" s="4"/>
      <c r="C43" s="4"/>
      <c r="D43" s="5">
        <f>1773.42</f>
        <v>1773.42</v>
      </c>
      <c r="E43" s="4"/>
      <c r="F43" s="5">
        <f>315.6</f>
        <v>315.60000000000002</v>
      </c>
      <c r="G43" s="4"/>
      <c r="H43" s="4"/>
      <c r="I43" s="5">
        <f>109.5</f>
        <v>109.5</v>
      </c>
      <c r="J43" s="5">
        <f>3131.63</f>
        <v>3131.63</v>
      </c>
      <c r="K43" s="5">
        <f>381.8</f>
        <v>381.8</v>
      </c>
      <c r="L43" s="4"/>
      <c r="M43" s="5">
        <f>497.48</f>
        <v>497.48</v>
      </c>
      <c r="N43" s="5">
        <f>353.64</f>
        <v>353.64</v>
      </c>
      <c r="O43" s="4"/>
      <c r="P43" s="4"/>
      <c r="Q43" s="4"/>
      <c r="R43" s="5">
        <f>683.14</f>
        <v>683.14</v>
      </c>
      <c r="S43" s="4"/>
      <c r="T43" s="4"/>
      <c r="U43" s="4"/>
      <c r="V43" s="5">
        <f>1523.7</f>
        <v>1523.7</v>
      </c>
      <c r="W43" s="4"/>
      <c r="X43" s="5">
        <f>2016.5</f>
        <v>2016.5</v>
      </c>
      <c r="Y43" s="4"/>
      <c r="Z43" s="5">
        <f>497.48</f>
        <v>497.48</v>
      </c>
      <c r="AA43" s="5">
        <f t="shared" si="6"/>
        <v>11283.890000000001</v>
      </c>
    </row>
    <row r="44" spans="1:27" x14ac:dyDescent="0.25">
      <c r="A44" s="3" t="s">
        <v>64</v>
      </c>
      <c r="B44" s="4"/>
      <c r="C44" s="4"/>
      <c r="D44" s="4"/>
      <c r="E44" s="4"/>
      <c r="F44" s="4"/>
      <c r="G44" s="4"/>
      <c r="H44" s="4"/>
      <c r="I44" s="4"/>
      <c r="J44" s="4"/>
      <c r="K44" s="5">
        <f>19.04</f>
        <v>19.04</v>
      </c>
      <c r="L44" s="4"/>
      <c r="M44" s="4"/>
      <c r="N44" s="5">
        <f>20</f>
        <v>20</v>
      </c>
      <c r="O44" s="4"/>
      <c r="P44" s="4"/>
      <c r="Q44" s="5">
        <f>100.96</f>
        <v>100.96</v>
      </c>
      <c r="R44" s="5">
        <f>26.4</f>
        <v>26.4</v>
      </c>
      <c r="S44" s="4"/>
      <c r="T44" s="4"/>
      <c r="U44" s="4"/>
      <c r="V44" s="5">
        <f>85.12</f>
        <v>85.12</v>
      </c>
      <c r="W44" s="5">
        <f>72</f>
        <v>72</v>
      </c>
      <c r="X44" s="5">
        <f>115.84</f>
        <v>115.84</v>
      </c>
      <c r="Y44" s="5">
        <f>16</f>
        <v>16</v>
      </c>
      <c r="Z44" s="5">
        <f>28</f>
        <v>28</v>
      </c>
      <c r="AA44" s="5">
        <f t="shared" si="6"/>
        <v>483.36</v>
      </c>
    </row>
    <row r="45" spans="1:27" x14ac:dyDescent="0.25">
      <c r="A45" s="3" t="s">
        <v>65</v>
      </c>
      <c r="B45" s="6">
        <f t="shared" ref="B45:Z45" si="8">((((((((((B34)+(B35))+(B36))+(B37))+(B38))+(B39))+(B40))+(B41))+(B42))+(B43))+(B44)</f>
        <v>86969.62</v>
      </c>
      <c r="C45" s="6">
        <f t="shared" si="8"/>
        <v>0</v>
      </c>
      <c r="D45" s="6">
        <f t="shared" si="8"/>
        <v>17903.800000000003</v>
      </c>
      <c r="E45" s="6">
        <f t="shared" si="8"/>
        <v>0</v>
      </c>
      <c r="F45" s="6">
        <f t="shared" si="8"/>
        <v>4404.04</v>
      </c>
      <c r="G45" s="6">
        <f t="shared" si="8"/>
        <v>0</v>
      </c>
      <c r="H45" s="6">
        <f t="shared" si="8"/>
        <v>0</v>
      </c>
      <c r="I45" s="6">
        <f t="shared" si="8"/>
        <v>594.41999999999996</v>
      </c>
      <c r="J45" s="6">
        <f t="shared" si="8"/>
        <v>11717.95</v>
      </c>
      <c r="K45" s="6">
        <f t="shared" si="8"/>
        <v>7500.6900000000005</v>
      </c>
      <c r="L45" s="6">
        <f t="shared" si="8"/>
        <v>4828.3599999999997</v>
      </c>
      <c r="M45" s="6">
        <f t="shared" si="8"/>
        <v>6946.18</v>
      </c>
      <c r="N45" s="6">
        <f t="shared" si="8"/>
        <v>6405.46</v>
      </c>
      <c r="O45" s="6">
        <f t="shared" si="8"/>
        <v>810.88000000000011</v>
      </c>
      <c r="P45" s="6">
        <f t="shared" si="8"/>
        <v>0</v>
      </c>
      <c r="Q45" s="6">
        <f t="shared" si="8"/>
        <v>31633.97</v>
      </c>
      <c r="R45" s="6">
        <f t="shared" si="8"/>
        <v>9172.3199999999979</v>
      </c>
      <c r="S45" s="6">
        <f t="shared" si="8"/>
        <v>0</v>
      </c>
      <c r="T45" s="6">
        <f t="shared" si="8"/>
        <v>0</v>
      </c>
      <c r="U45" s="6">
        <f t="shared" si="8"/>
        <v>0</v>
      </c>
      <c r="V45" s="6">
        <f t="shared" si="8"/>
        <v>28435.81</v>
      </c>
      <c r="W45" s="6">
        <f t="shared" si="8"/>
        <v>26406.920000000002</v>
      </c>
      <c r="X45" s="6">
        <f t="shared" si="8"/>
        <v>32376.289999999997</v>
      </c>
      <c r="Y45" s="6">
        <f t="shared" si="8"/>
        <v>3332.2</v>
      </c>
      <c r="Z45" s="6">
        <f t="shared" si="8"/>
        <v>10134.279999999999</v>
      </c>
      <c r="AA45" s="6">
        <f t="shared" si="6"/>
        <v>289573.18999999994</v>
      </c>
    </row>
    <row r="46" spans="1:27" x14ac:dyDescent="0.25">
      <c r="A46" s="3" t="s">
        <v>66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5">
        <f t="shared" si="6"/>
        <v>0</v>
      </c>
    </row>
    <row r="47" spans="1:27" x14ac:dyDescent="0.25">
      <c r="A47" s="3" t="s">
        <v>67</v>
      </c>
      <c r="B47" s="5">
        <f>1659.34</f>
        <v>1659.34</v>
      </c>
      <c r="C47" s="4"/>
      <c r="D47" s="5">
        <f>212</f>
        <v>212</v>
      </c>
      <c r="E47" s="4"/>
      <c r="F47" s="4"/>
      <c r="G47" s="4"/>
      <c r="H47" s="4"/>
      <c r="I47" s="4"/>
      <c r="J47" s="5">
        <f>64</f>
        <v>64</v>
      </c>
      <c r="K47" s="4"/>
      <c r="L47" s="4"/>
      <c r="M47" s="5">
        <f>64</f>
        <v>64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5">
        <f t="shared" si="6"/>
        <v>1999.34</v>
      </c>
    </row>
    <row r="48" spans="1:27" x14ac:dyDescent="0.25">
      <c r="A48" s="3" t="s">
        <v>68</v>
      </c>
      <c r="B48" s="5">
        <f>18825</f>
        <v>18825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5">
        <f t="shared" si="6"/>
        <v>18825</v>
      </c>
    </row>
    <row r="49" spans="1:27" x14ac:dyDescent="0.25">
      <c r="A49" s="3" t="s">
        <v>69</v>
      </c>
      <c r="B49" s="5">
        <f>1845.85</f>
        <v>1845.85</v>
      </c>
      <c r="C49" s="4"/>
      <c r="D49" s="5">
        <f>1401.03</f>
        <v>1401.03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5">
        <f t="shared" si="6"/>
        <v>3246.88</v>
      </c>
    </row>
    <row r="50" spans="1:27" x14ac:dyDescent="0.25">
      <c r="A50" s="3" t="s">
        <v>70</v>
      </c>
      <c r="B50" s="5">
        <f>1248.52</f>
        <v>1248.52</v>
      </c>
      <c r="C50" s="4"/>
      <c r="D50" s="5">
        <f>2179.99</f>
        <v>2179.9899999999998</v>
      </c>
      <c r="E50" s="4"/>
      <c r="F50" s="4"/>
      <c r="G50" s="5">
        <f>16425.17</f>
        <v>16425.169999999998</v>
      </c>
      <c r="H50" s="4"/>
      <c r="I50" s="5">
        <f>38.72</f>
        <v>38.72</v>
      </c>
      <c r="J50" s="4"/>
      <c r="K50" s="5">
        <f>38.72</f>
        <v>38.72</v>
      </c>
      <c r="L50" s="4"/>
      <c r="M50" s="4"/>
      <c r="N50" s="4"/>
      <c r="O50" s="4"/>
      <c r="P50" s="5">
        <f>2960.25</f>
        <v>2960.25</v>
      </c>
      <c r="Q50" s="4"/>
      <c r="R50" s="5">
        <f>77.44</f>
        <v>77.44</v>
      </c>
      <c r="S50" s="4"/>
      <c r="T50" s="4"/>
      <c r="U50" s="4"/>
      <c r="V50" s="5">
        <f>154.88</f>
        <v>154.88</v>
      </c>
      <c r="W50" s="4"/>
      <c r="X50" s="5">
        <f>193.6</f>
        <v>193.6</v>
      </c>
      <c r="Y50" s="4"/>
      <c r="Z50" s="4"/>
      <c r="AA50" s="5">
        <f t="shared" si="6"/>
        <v>23317.289999999997</v>
      </c>
    </row>
    <row r="51" spans="1:27" x14ac:dyDescent="0.25">
      <c r="A51" s="3" t="s">
        <v>71</v>
      </c>
      <c r="B51" s="6">
        <f t="shared" ref="B51:Z51" si="9">((((B46)+(B47))+(B48))+(B49))+(B50)</f>
        <v>23578.71</v>
      </c>
      <c r="C51" s="6">
        <f t="shared" si="9"/>
        <v>0</v>
      </c>
      <c r="D51" s="6">
        <f t="shared" si="9"/>
        <v>3793.0199999999995</v>
      </c>
      <c r="E51" s="6">
        <f t="shared" si="9"/>
        <v>0</v>
      </c>
      <c r="F51" s="6">
        <f t="shared" si="9"/>
        <v>0</v>
      </c>
      <c r="G51" s="6">
        <f t="shared" si="9"/>
        <v>16425.169999999998</v>
      </c>
      <c r="H51" s="6">
        <f t="shared" si="9"/>
        <v>0</v>
      </c>
      <c r="I51" s="6">
        <f t="shared" si="9"/>
        <v>38.72</v>
      </c>
      <c r="J51" s="6">
        <f t="shared" si="9"/>
        <v>64</v>
      </c>
      <c r="K51" s="6">
        <f t="shared" si="9"/>
        <v>38.72</v>
      </c>
      <c r="L51" s="6">
        <f t="shared" si="9"/>
        <v>0</v>
      </c>
      <c r="M51" s="6">
        <f t="shared" si="9"/>
        <v>64</v>
      </c>
      <c r="N51" s="6">
        <f t="shared" si="9"/>
        <v>0</v>
      </c>
      <c r="O51" s="6">
        <f t="shared" si="9"/>
        <v>0</v>
      </c>
      <c r="P51" s="6">
        <f t="shared" si="9"/>
        <v>2960.25</v>
      </c>
      <c r="Q51" s="6">
        <f t="shared" si="9"/>
        <v>0</v>
      </c>
      <c r="R51" s="6">
        <f t="shared" si="9"/>
        <v>77.44</v>
      </c>
      <c r="S51" s="6">
        <f t="shared" si="9"/>
        <v>0</v>
      </c>
      <c r="T51" s="6">
        <f t="shared" si="9"/>
        <v>0</v>
      </c>
      <c r="U51" s="6">
        <f t="shared" si="9"/>
        <v>0</v>
      </c>
      <c r="V51" s="6">
        <f t="shared" si="9"/>
        <v>154.88</v>
      </c>
      <c r="W51" s="6">
        <f t="shared" si="9"/>
        <v>0</v>
      </c>
      <c r="X51" s="6">
        <f t="shared" si="9"/>
        <v>193.6</v>
      </c>
      <c r="Y51" s="6">
        <f t="shared" si="9"/>
        <v>0</v>
      </c>
      <c r="Z51" s="6">
        <f t="shared" si="9"/>
        <v>0</v>
      </c>
      <c r="AA51" s="6">
        <f t="shared" si="6"/>
        <v>47388.509999999995</v>
      </c>
    </row>
    <row r="52" spans="1:27" x14ac:dyDescent="0.25">
      <c r="A52" s="3" t="s">
        <v>72</v>
      </c>
      <c r="B52" s="5">
        <f>-12747.01</f>
        <v>-12747.01</v>
      </c>
      <c r="C52" s="4"/>
      <c r="D52" s="5">
        <f>19754.01</f>
        <v>19754.009999999998</v>
      </c>
      <c r="E52" s="4"/>
      <c r="F52" s="4"/>
      <c r="G52" s="5">
        <f>104655.14</f>
        <v>104655.14</v>
      </c>
      <c r="H52" s="4"/>
      <c r="I52" s="4"/>
      <c r="J52" s="4"/>
      <c r="K52" s="5">
        <f>25680.68</f>
        <v>25680.68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5">
        <f>8125</f>
        <v>8125</v>
      </c>
      <c r="W52" s="4"/>
      <c r="X52" s="4"/>
      <c r="Y52" s="4"/>
      <c r="Z52" s="4"/>
      <c r="AA52" s="5">
        <f t="shared" si="6"/>
        <v>145467.82</v>
      </c>
    </row>
    <row r="53" spans="1:27" x14ac:dyDescent="0.25">
      <c r="A53" s="3" t="s">
        <v>73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5">
        <f t="shared" si="6"/>
        <v>0</v>
      </c>
    </row>
    <row r="54" spans="1:27" x14ac:dyDescent="0.25">
      <c r="A54" s="3" t="s">
        <v>74</v>
      </c>
      <c r="B54" s="5">
        <f>930.6</f>
        <v>930.6</v>
      </c>
      <c r="C54" s="4"/>
      <c r="D54" s="5">
        <f>1889.4</f>
        <v>1889.4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5">
        <f t="shared" si="6"/>
        <v>2820</v>
      </c>
    </row>
    <row r="55" spans="1:27" x14ac:dyDescent="0.25">
      <c r="A55" s="3" t="s">
        <v>75</v>
      </c>
      <c r="B55" s="5">
        <f>530.76</f>
        <v>530.76</v>
      </c>
      <c r="C55" s="4"/>
      <c r="D55" s="5">
        <f>1077.6</f>
        <v>1077.5999999999999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5">
        <f t="shared" si="6"/>
        <v>1608.36</v>
      </c>
    </row>
    <row r="56" spans="1:27" x14ac:dyDescent="0.25">
      <c r="A56" s="3" t="s">
        <v>76</v>
      </c>
      <c r="B56" s="5">
        <f>664.88</f>
        <v>664.88</v>
      </c>
      <c r="C56" s="4"/>
      <c r="D56" s="5">
        <f>15093.54</f>
        <v>15093.54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5">
        <f t="shared" si="6"/>
        <v>15758.42</v>
      </c>
    </row>
    <row r="57" spans="1:27" x14ac:dyDescent="0.25">
      <c r="A57" s="3" t="s">
        <v>77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5">
        <f>40000</f>
        <v>40000</v>
      </c>
      <c r="R57" s="4"/>
      <c r="S57" s="4"/>
      <c r="T57" s="4"/>
      <c r="U57" s="4"/>
      <c r="V57" s="4"/>
      <c r="W57" s="4"/>
      <c r="X57" s="4"/>
      <c r="Y57" s="4"/>
      <c r="Z57" s="4"/>
      <c r="AA57" s="5">
        <f t="shared" si="6"/>
        <v>40000</v>
      </c>
    </row>
    <row r="58" spans="1:27" x14ac:dyDescent="0.25">
      <c r="A58" s="3" t="s">
        <v>78</v>
      </c>
      <c r="B58" s="5">
        <f>5870.47</f>
        <v>5870.47</v>
      </c>
      <c r="C58" s="4"/>
      <c r="D58" s="5">
        <f>11918.83</f>
        <v>11918.83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5">
        <f t="shared" si="6"/>
        <v>17789.3</v>
      </c>
    </row>
    <row r="59" spans="1:27" x14ac:dyDescent="0.25">
      <c r="A59" s="3" t="s">
        <v>79</v>
      </c>
      <c r="B59" s="5">
        <f>850.3</f>
        <v>850.3</v>
      </c>
      <c r="C59" s="4"/>
      <c r="D59" s="5">
        <f>1067.02</f>
        <v>1067.02</v>
      </c>
      <c r="E59" s="4"/>
      <c r="F59" s="4"/>
      <c r="G59" s="5">
        <f>7500</f>
        <v>7500</v>
      </c>
      <c r="H59" s="4"/>
      <c r="I59" s="4"/>
      <c r="J59" s="4"/>
      <c r="K59" s="5">
        <f>37.8</f>
        <v>37.799999999999997</v>
      </c>
      <c r="L59" s="4"/>
      <c r="M59" s="4"/>
      <c r="N59" s="4"/>
      <c r="O59" s="4"/>
      <c r="P59" s="5">
        <f>696.6</f>
        <v>696.6</v>
      </c>
      <c r="Q59" s="4"/>
      <c r="R59" s="5">
        <f>56.7</f>
        <v>56.7</v>
      </c>
      <c r="S59" s="4"/>
      <c r="T59" s="4"/>
      <c r="U59" s="4"/>
      <c r="V59" s="5">
        <f>151.2</f>
        <v>151.19999999999999</v>
      </c>
      <c r="W59" s="4"/>
      <c r="X59" s="5">
        <f>189</f>
        <v>189</v>
      </c>
      <c r="Y59" s="4"/>
      <c r="Z59" s="4"/>
      <c r="AA59" s="5">
        <f t="shared" si="6"/>
        <v>10548.62</v>
      </c>
    </row>
    <row r="60" spans="1:27" x14ac:dyDescent="0.25">
      <c r="A60" s="3" t="s">
        <v>80</v>
      </c>
      <c r="B60" s="4"/>
      <c r="C60" s="4"/>
      <c r="D60" s="5">
        <f>0</f>
        <v>0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5">
        <f t="shared" si="6"/>
        <v>0</v>
      </c>
    </row>
    <row r="61" spans="1:27" x14ac:dyDescent="0.25">
      <c r="A61" s="3" t="s">
        <v>81</v>
      </c>
      <c r="B61" s="6">
        <f t="shared" ref="B61:Z61" si="10">(((((((B53)+(B54))+(B55))+(B56))+(B57))+(B58))+(B59))+(B60)</f>
        <v>8847.01</v>
      </c>
      <c r="C61" s="6">
        <f t="shared" si="10"/>
        <v>0</v>
      </c>
      <c r="D61" s="6">
        <f t="shared" si="10"/>
        <v>31046.390000000003</v>
      </c>
      <c r="E61" s="6">
        <f t="shared" si="10"/>
        <v>0</v>
      </c>
      <c r="F61" s="6">
        <f t="shared" si="10"/>
        <v>0</v>
      </c>
      <c r="G61" s="6">
        <f t="shared" si="10"/>
        <v>7500</v>
      </c>
      <c r="H61" s="6">
        <f t="shared" si="10"/>
        <v>0</v>
      </c>
      <c r="I61" s="6">
        <f t="shared" si="10"/>
        <v>0</v>
      </c>
      <c r="J61" s="6">
        <f t="shared" si="10"/>
        <v>0</v>
      </c>
      <c r="K61" s="6">
        <f t="shared" si="10"/>
        <v>37.799999999999997</v>
      </c>
      <c r="L61" s="6">
        <f t="shared" si="10"/>
        <v>0</v>
      </c>
      <c r="M61" s="6">
        <f t="shared" si="10"/>
        <v>0</v>
      </c>
      <c r="N61" s="6">
        <f t="shared" si="10"/>
        <v>0</v>
      </c>
      <c r="O61" s="6">
        <f t="shared" si="10"/>
        <v>0</v>
      </c>
      <c r="P61" s="6">
        <f t="shared" si="10"/>
        <v>696.6</v>
      </c>
      <c r="Q61" s="6">
        <f t="shared" si="10"/>
        <v>40000</v>
      </c>
      <c r="R61" s="6">
        <f t="shared" si="10"/>
        <v>56.7</v>
      </c>
      <c r="S61" s="6">
        <f t="shared" si="10"/>
        <v>0</v>
      </c>
      <c r="T61" s="6">
        <f t="shared" si="10"/>
        <v>0</v>
      </c>
      <c r="U61" s="6">
        <f t="shared" si="10"/>
        <v>0</v>
      </c>
      <c r="V61" s="6">
        <f t="shared" si="10"/>
        <v>151.19999999999999</v>
      </c>
      <c r="W61" s="6">
        <f t="shared" si="10"/>
        <v>0</v>
      </c>
      <c r="X61" s="6">
        <f t="shared" si="10"/>
        <v>189</v>
      </c>
      <c r="Y61" s="6">
        <f t="shared" si="10"/>
        <v>0</v>
      </c>
      <c r="Z61" s="6">
        <f t="shared" si="10"/>
        <v>0</v>
      </c>
      <c r="AA61" s="6">
        <f t="shared" si="6"/>
        <v>88524.7</v>
      </c>
    </row>
    <row r="62" spans="1:27" x14ac:dyDescent="0.25">
      <c r="A62" s="3" t="s">
        <v>82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5">
        <f t="shared" ref="AA62:AA93" si="11">((((((((((((((((((((((((B62)+(C62))+(D62))+(E62))+(F62))+(G62))+(H62))+(I62))+(J62))+(K62))+(L62))+(M62))+(N62))+(O62))+(P62))+(Q62))+(R62))+(S62))+(T62))+(U62))+(V62))+(W62))+(X62))+(Y62))+(Z62)</f>
        <v>0</v>
      </c>
    </row>
    <row r="63" spans="1:27" x14ac:dyDescent="0.25">
      <c r="A63" s="3" t="s">
        <v>83</v>
      </c>
      <c r="B63" s="5">
        <f>42343.22</f>
        <v>42343.22</v>
      </c>
      <c r="C63" s="4"/>
      <c r="D63" s="5">
        <f>35852.5</f>
        <v>35852.5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5">
        <f t="shared" si="11"/>
        <v>78195.72</v>
      </c>
    </row>
    <row r="64" spans="1:27" x14ac:dyDescent="0.25">
      <c r="A64" s="3" t="s">
        <v>84</v>
      </c>
      <c r="B64" s="5">
        <f>23911</f>
        <v>23911</v>
      </c>
      <c r="C64" s="4"/>
      <c r="D64" s="5">
        <f>23911</f>
        <v>23911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5">
        <f t="shared" si="11"/>
        <v>47822</v>
      </c>
    </row>
    <row r="65" spans="1:27" x14ac:dyDescent="0.25">
      <c r="A65" s="3" t="s">
        <v>85</v>
      </c>
      <c r="B65" s="6">
        <f t="shared" ref="B65:Z65" si="12">((B62)+(B63))+(B64)</f>
        <v>66254.22</v>
      </c>
      <c r="C65" s="6">
        <f t="shared" si="12"/>
        <v>0</v>
      </c>
      <c r="D65" s="6">
        <f t="shared" si="12"/>
        <v>59763.5</v>
      </c>
      <c r="E65" s="6">
        <f t="shared" si="12"/>
        <v>0</v>
      </c>
      <c r="F65" s="6">
        <f t="shared" si="12"/>
        <v>0</v>
      </c>
      <c r="G65" s="6">
        <f t="shared" si="12"/>
        <v>0</v>
      </c>
      <c r="H65" s="6">
        <f t="shared" si="12"/>
        <v>0</v>
      </c>
      <c r="I65" s="6">
        <f t="shared" si="12"/>
        <v>0</v>
      </c>
      <c r="J65" s="6">
        <f t="shared" si="12"/>
        <v>0</v>
      </c>
      <c r="K65" s="6">
        <f t="shared" si="12"/>
        <v>0</v>
      </c>
      <c r="L65" s="6">
        <f t="shared" si="12"/>
        <v>0</v>
      </c>
      <c r="M65" s="6">
        <f t="shared" si="12"/>
        <v>0</v>
      </c>
      <c r="N65" s="6">
        <f t="shared" si="12"/>
        <v>0</v>
      </c>
      <c r="O65" s="6">
        <f t="shared" si="12"/>
        <v>0</v>
      </c>
      <c r="P65" s="6">
        <f t="shared" si="12"/>
        <v>0</v>
      </c>
      <c r="Q65" s="6">
        <f t="shared" si="12"/>
        <v>0</v>
      </c>
      <c r="R65" s="6">
        <f t="shared" si="12"/>
        <v>0</v>
      </c>
      <c r="S65" s="6">
        <f t="shared" si="12"/>
        <v>0</v>
      </c>
      <c r="T65" s="6">
        <f t="shared" si="12"/>
        <v>0</v>
      </c>
      <c r="U65" s="6">
        <f t="shared" si="12"/>
        <v>0</v>
      </c>
      <c r="V65" s="6">
        <f t="shared" si="12"/>
        <v>0</v>
      </c>
      <c r="W65" s="6">
        <f t="shared" si="12"/>
        <v>0</v>
      </c>
      <c r="X65" s="6">
        <f t="shared" si="12"/>
        <v>0</v>
      </c>
      <c r="Y65" s="6">
        <f t="shared" si="12"/>
        <v>0</v>
      </c>
      <c r="Z65" s="6">
        <f t="shared" si="12"/>
        <v>0</v>
      </c>
      <c r="AA65" s="6">
        <f t="shared" si="11"/>
        <v>126017.72</v>
      </c>
    </row>
    <row r="66" spans="1:27" x14ac:dyDescent="0.25">
      <c r="A66" s="3" t="s">
        <v>86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5">
        <f t="shared" si="11"/>
        <v>0</v>
      </c>
    </row>
    <row r="67" spans="1:27" x14ac:dyDescent="0.25">
      <c r="A67" s="3" t="s">
        <v>87</v>
      </c>
      <c r="B67" s="5">
        <f>158.61</f>
        <v>158.61000000000001</v>
      </c>
      <c r="C67" s="4"/>
      <c r="D67" s="5">
        <f>111.02</f>
        <v>111.02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5">
        <f>47.58</f>
        <v>47.58</v>
      </c>
      <c r="Q67" s="4"/>
      <c r="R67" s="4"/>
      <c r="S67" s="4"/>
      <c r="T67" s="4"/>
      <c r="U67" s="4"/>
      <c r="V67" s="4"/>
      <c r="W67" s="4"/>
      <c r="X67" s="4"/>
      <c r="Y67" s="4"/>
      <c r="Z67" s="4"/>
      <c r="AA67" s="5">
        <f t="shared" si="11"/>
        <v>317.20999999999998</v>
      </c>
    </row>
    <row r="68" spans="1:27" x14ac:dyDescent="0.25">
      <c r="A68" s="3" t="s">
        <v>88</v>
      </c>
      <c r="B68" s="5">
        <f>150</f>
        <v>150</v>
      </c>
      <c r="C68" s="4"/>
      <c r="D68" s="5">
        <f>60</f>
        <v>60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5">
        <f>90</f>
        <v>90</v>
      </c>
      <c r="Q68" s="4"/>
      <c r="R68" s="4"/>
      <c r="S68" s="4"/>
      <c r="T68" s="4"/>
      <c r="U68" s="4"/>
      <c r="V68" s="4"/>
      <c r="W68" s="4"/>
      <c r="X68" s="4"/>
      <c r="Y68" s="4"/>
      <c r="Z68" s="4"/>
      <c r="AA68" s="5">
        <f t="shared" si="11"/>
        <v>300</v>
      </c>
    </row>
    <row r="69" spans="1:27" x14ac:dyDescent="0.25">
      <c r="A69" s="3" t="s">
        <v>89</v>
      </c>
      <c r="B69" s="5">
        <f>1422.21</f>
        <v>1422.21</v>
      </c>
      <c r="C69" s="4"/>
      <c r="D69" s="5">
        <f>948.26</f>
        <v>948.26</v>
      </c>
      <c r="E69" s="4"/>
      <c r="F69" s="4"/>
      <c r="G69" s="4"/>
      <c r="H69" s="4"/>
      <c r="I69" s="4"/>
      <c r="J69" s="4"/>
      <c r="K69" s="5">
        <f>50.92</f>
        <v>50.92</v>
      </c>
      <c r="L69" s="4"/>
      <c r="M69" s="4"/>
      <c r="N69" s="4"/>
      <c r="O69" s="4"/>
      <c r="P69" s="5">
        <f>930.98</f>
        <v>930.98</v>
      </c>
      <c r="Q69" s="4"/>
      <c r="R69" s="5">
        <f>138.71</f>
        <v>138.71</v>
      </c>
      <c r="S69" s="4"/>
      <c r="T69" s="4"/>
      <c r="U69" s="4"/>
      <c r="V69" s="5">
        <f>573.91</f>
        <v>573.91</v>
      </c>
      <c r="W69" s="4"/>
      <c r="X69" s="5">
        <f>768.96</f>
        <v>768.96</v>
      </c>
      <c r="Y69" s="4"/>
      <c r="Z69" s="4"/>
      <c r="AA69" s="5">
        <f t="shared" si="11"/>
        <v>4833.9500000000007</v>
      </c>
    </row>
    <row r="70" spans="1:27" x14ac:dyDescent="0.25">
      <c r="A70" s="3" t="s">
        <v>90</v>
      </c>
      <c r="B70" s="5">
        <f>116.83</f>
        <v>116.83</v>
      </c>
      <c r="C70" s="4"/>
      <c r="D70" s="5">
        <f>889.73</f>
        <v>889.73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5">
        <f>3687.22</f>
        <v>3687.22</v>
      </c>
      <c r="Q70" s="4"/>
      <c r="R70" s="4"/>
      <c r="S70" s="4"/>
      <c r="T70" s="4"/>
      <c r="U70" s="4"/>
      <c r="V70" s="5">
        <f>472.26</f>
        <v>472.26</v>
      </c>
      <c r="W70" s="4"/>
      <c r="X70" s="5">
        <f>472.26</f>
        <v>472.26</v>
      </c>
      <c r="Y70" s="4"/>
      <c r="Z70" s="4"/>
      <c r="AA70" s="5">
        <f t="shared" si="11"/>
        <v>5638.3</v>
      </c>
    </row>
    <row r="71" spans="1:27" x14ac:dyDescent="0.25">
      <c r="A71" s="3" t="s">
        <v>91</v>
      </c>
      <c r="B71" s="5">
        <f>6136.92</f>
        <v>6136.92</v>
      </c>
      <c r="C71" s="4"/>
      <c r="D71" s="5">
        <f>356.45</f>
        <v>356.45</v>
      </c>
      <c r="E71" s="4"/>
      <c r="F71" s="4"/>
      <c r="G71" s="5">
        <f>139.59</f>
        <v>139.59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5">
        <f t="shared" si="11"/>
        <v>6632.96</v>
      </c>
    </row>
    <row r="72" spans="1:27" x14ac:dyDescent="0.25">
      <c r="A72" s="3" t="s">
        <v>92</v>
      </c>
      <c r="B72" s="5">
        <f>14263.81</f>
        <v>14263.81</v>
      </c>
      <c r="C72" s="5">
        <f>42</f>
        <v>42</v>
      </c>
      <c r="D72" s="5">
        <f>5501.32</f>
        <v>5501.32</v>
      </c>
      <c r="E72" s="5">
        <f>0</f>
        <v>0</v>
      </c>
      <c r="F72" s="4"/>
      <c r="G72" s="5">
        <f>15047.91</f>
        <v>15047.91</v>
      </c>
      <c r="H72" s="4"/>
      <c r="I72" s="4"/>
      <c r="J72" s="4"/>
      <c r="K72" s="5">
        <f>1381.48</f>
        <v>1381.48</v>
      </c>
      <c r="L72" s="4"/>
      <c r="M72" s="4"/>
      <c r="N72" s="4"/>
      <c r="O72" s="4"/>
      <c r="P72" s="5">
        <f>18059.54</f>
        <v>18059.54</v>
      </c>
      <c r="Q72" s="4"/>
      <c r="R72" s="4"/>
      <c r="S72" s="4"/>
      <c r="T72" s="5">
        <f>-62</f>
        <v>-62</v>
      </c>
      <c r="U72" s="5">
        <f>1058.01</f>
        <v>1058.01</v>
      </c>
      <c r="V72" s="5">
        <f>13401.4</f>
        <v>13401.4</v>
      </c>
      <c r="W72" s="4"/>
      <c r="X72" s="5">
        <f>6783.41</f>
        <v>6783.41</v>
      </c>
      <c r="Y72" s="4"/>
      <c r="Z72" s="4"/>
      <c r="AA72" s="5">
        <f t="shared" si="11"/>
        <v>75476.88</v>
      </c>
    </row>
    <row r="73" spans="1:27" x14ac:dyDescent="0.25">
      <c r="A73" s="3" t="s">
        <v>93</v>
      </c>
      <c r="B73" s="4"/>
      <c r="C73" s="4"/>
      <c r="D73" s="5">
        <f>1468.43</f>
        <v>1468.43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5">
        <f t="shared" si="11"/>
        <v>1468.43</v>
      </c>
    </row>
    <row r="74" spans="1:27" x14ac:dyDescent="0.25">
      <c r="A74" s="3" t="s">
        <v>94</v>
      </c>
      <c r="B74" s="6">
        <f t="shared" ref="B74:Z74" si="13">(((((((B66)+(B67))+(B68))+(B69))+(B70))+(B71))+(B72))+(B73)</f>
        <v>22248.379999999997</v>
      </c>
      <c r="C74" s="6">
        <f t="shared" si="13"/>
        <v>42</v>
      </c>
      <c r="D74" s="6">
        <f t="shared" si="13"/>
        <v>9335.2099999999991</v>
      </c>
      <c r="E74" s="6">
        <f t="shared" si="13"/>
        <v>0</v>
      </c>
      <c r="F74" s="6">
        <f t="shared" si="13"/>
        <v>0</v>
      </c>
      <c r="G74" s="6">
        <f t="shared" si="13"/>
        <v>15187.5</v>
      </c>
      <c r="H74" s="6">
        <f t="shared" si="13"/>
        <v>0</v>
      </c>
      <c r="I74" s="6">
        <f t="shared" si="13"/>
        <v>0</v>
      </c>
      <c r="J74" s="6">
        <f t="shared" si="13"/>
        <v>0</v>
      </c>
      <c r="K74" s="6">
        <f t="shared" si="13"/>
        <v>1432.4</v>
      </c>
      <c r="L74" s="6">
        <f t="shared" si="13"/>
        <v>0</v>
      </c>
      <c r="M74" s="6">
        <f t="shared" si="13"/>
        <v>0</v>
      </c>
      <c r="N74" s="6">
        <f t="shared" si="13"/>
        <v>0</v>
      </c>
      <c r="O74" s="6">
        <f t="shared" si="13"/>
        <v>0</v>
      </c>
      <c r="P74" s="6">
        <f t="shared" si="13"/>
        <v>22815.32</v>
      </c>
      <c r="Q74" s="6">
        <f t="shared" si="13"/>
        <v>0</v>
      </c>
      <c r="R74" s="6">
        <f t="shared" si="13"/>
        <v>138.71</v>
      </c>
      <c r="S74" s="6">
        <f t="shared" si="13"/>
        <v>0</v>
      </c>
      <c r="T74" s="6">
        <f t="shared" si="13"/>
        <v>-62</v>
      </c>
      <c r="U74" s="6">
        <f t="shared" si="13"/>
        <v>1058.01</v>
      </c>
      <c r="V74" s="6">
        <f t="shared" si="13"/>
        <v>14447.57</v>
      </c>
      <c r="W74" s="6">
        <f t="shared" si="13"/>
        <v>0</v>
      </c>
      <c r="X74" s="6">
        <f t="shared" si="13"/>
        <v>8024.63</v>
      </c>
      <c r="Y74" s="6">
        <f t="shared" si="13"/>
        <v>0</v>
      </c>
      <c r="Z74" s="6">
        <f t="shared" si="13"/>
        <v>0</v>
      </c>
      <c r="AA74" s="6">
        <f t="shared" si="11"/>
        <v>94667.73000000001</v>
      </c>
    </row>
    <row r="75" spans="1:27" x14ac:dyDescent="0.25">
      <c r="A75" s="3" t="s">
        <v>95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5">
        <f t="shared" si="11"/>
        <v>0</v>
      </c>
    </row>
    <row r="76" spans="1:27" x14ac:dyDescent="0.25">
      <c r="A76" s="3" t="s">
        <v>96</v>
      </c>
      <c r="B76" s="4"/>
      <c r="C76" s="4"/>
      <c r="D76" s="4"/>
      <c r="E76" s="4"/>
      <c r="F76" s="4"/>
      <c r="G76" s="5">
        <f>15000</f>
        <v>15000</v>
      </c>
      <c r="H76" s="4"/>
      <c r="I76" s="4"/>
      <c r="J76" s="4"/>
      <c r="K76" s="4"/>
      <c r="L76" s="4"/>
      <c r="M76" s="4"/>
      <c r="N76" s="4"/>
      <c r="O76" s="4"/>
      <c r="P76" s="5">
        <f>7155</f>
        <v>7155</v>
      </c>
      <c r="Q76" s="4"/>
      <c r="R76" s="5">
        <f>10000</f>
        <v>10000</v>
      </c>
      <c r="S76" s="4"/>
      <c r="T76" s="4"/>
      <c r="U76" s="4"/>
      <c r="V76" s="5">
        <f>32063.41</f>
        <v>32063.41</v>
      </c>
      <c r="W76" s="4"/>
      <c r="X76" s="5">
        <f>88562</f>
        <v>88562</v>
      </c>
      <c r="Y76" s="5">
        <f>5388</f>
        <v>5388</v>
      </c>
      <c r="Z76" s="4"/>
      <c r="AA76" s="5">
        <f t="shared" si="11"/>
        <v>158168.41</v>
      </c>
    </row>
    <row r="77" spans="1:27" x14ac:dyDescent="0.25">
      <c r="A77" s="3" t="s">
        <v>97</v>
      </c>
      <c r="B77" s="5">
        <f>3162.97</f>
        <v>3162.97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5">
        <f>5322</f>
        <v>5322</v>
      </c>
      <c r="Q77" s="4"/>
      <c r="R77" s="5">
        <f>970</f>
        <v>970</v>
      </c>
      <c r="S77" s="4"/>
      <c r="T77" s="4"/>
      <c r="U77" s="4"/>
      <c r="V77" s="5">
        <f>4175</f>
        <v>4175</v>
      </c>
      <c r="W77" s="4"/>
      <c r="X77" s="5">
        <f>4410.51</f>
        <v>4410.51</v>
      </c>
      <c r="Y77" s="4"/>
      <c r="Z77" s="4"/>
      <c r="AA77" s="5">
        <f t="shared" si="11"/>
        <v>18040.48</v>
      </c>
    </row>
    <row r="78" spans="1:27" x14ac:dyDescent="0.25">
      <c r="A78" s="3" t="s">
        <v>98</v>
      </c>
      <c r="B78" s="5">
        <f>17352.39</f>
        <v>17352.39</v>
      </c>
      <c r="C78" s="4"/>
      <c r="D78" s="4"/>
      <c r="E78" s="4"/>
      <c r="F78" s="4"/>
      <c r="G78" s="5">
        <f>1561.42</f>
        <v>1561.42</v>
      </c>
      <c r="H78" s="4"/>
      <c r="I78" s="4"/>
      <c r="J78" s="4"/>
      <c r="K78" s="5">
        <f>3191.86</f>
        <v>3191.86</v>
      </c>
      <c r="L78" s="4"/>
      <c r="M78" s="4"/>
      <c r="N78" s="5">
        <f>160916.6</f>
        <v>160916.6</v>
      </c>
      <c r="O78" s="4"/>
      <c r="P78" s="5">
        <f>4361.39</f>
        <v>4361.3900000000003</v>
      </c>
      <c r="Q78" s="4"/>
      <c r="R78" s="5">
        <f>40.91</f>
        <v>40.909999999999997</v>
      </c>
      <c r="S78" s="4"/>
      <c r="T78" s="5">
        <f>787.75</f>
        <v>787.75</v>
      </c>
      <c r="U78" s="5">
        <f>29.21</f>
        <v>29.21</v>
      </c>
      <c r="V78" s="5">
        <f>2747.95</f>
        <v>2747.95</v>
      </c>
      <c r="W78" s="4"/>
      <c r="X78" s="5">
        <f>1781.01</f>
        <v>1781.01</v>
      </c>
      <c r="Y78" s="5">
        <f>2716.52</f>
        <v>2716.52</v>
      </c>
      <c r="Z78" s="4"/>
      <c r="AA78" s="5">
        <f t="shared" si="11"/>
        <v>195487.01000000004</v>
      </c>
    </row>
    <row r="79" spans="1:27" x14ac:dyDescent="0.25">
      <c r="A79" s="3" t="s">
        <v>99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5">
        <f>13578.77</f>
        <v>13578.77</v>
      </c>
      <c r="Q79" s="4"/>
      <c r="R79" s="4"/>
      <c r="S79" s="4"/>
      <c r="T79" s="4"/>
      <c r="U79" s="4"/>
      <c r="V79" s="5">
        <f>979.2</f>
        <v>979.2</v>
      </c>
      <c r="W79" s="4"/>
      <c r="X79" s="4"/>
      <c r="Y79" s="4"/>
      <c r="Z79" s="4"/>
      <c r="AA79" s="5">
        <f t="shared" si="11"/>
        <v>14557.970000000001</v>
      </c>
    </row>
    <row r="80" spans="1:27" x14ac:dyDescent="0.25">
      <c r="A80" s="3" t="s">
        <v>100</v>
      </c>
      <c r="B80" s="5">
        <f>2550.55</f>
        <v>2550.5500000000002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5">
        <f t="shared" si="11"/>
        <v>2550.5500000000002</v>
      </c>
    </row>
    <row r="81" spans="1:27" x14ac:dyDescent="0.25">
      <c r="A81" s="3" t="s">
        <v>101</v>
      </c>
      <c r="B81" s="6">
        <f t="shared" ref="B81:Z81" si="14">(((((B75)+(B76))+(B77))+(B78))+(B79))+(B80)</f>
        <v>23065.91</v>
      </c>
      <c r="C81" s="6">
        <f t="shared" si="14"/>
        <v>0</v>
      </c>
      <c r="D81" s="6">
        <f t="shared" si="14"/>
        <v>0</v>
      </c>
      <c r="E81" s="6">
        <f t="shared" si="14"/>
        <v>0</v>
      </c>
      <c r="F81" s="6">
        <f t="shared" si="14"/>
        <v>0</v>
      </c>
      <c r="G81" s="6">
        <f t="shared" si="14"/>
        <v>16561.419999999998</v>
      </c>
      <c r="H81" s="6">
        <f t="shared" si="14"/>
        <v>0</v>
      </c>
      <c r="I81" s="6">
        <f t="shared" si="14"/>
        <v>0</v>
      </c>
      <c r="J81" s="6">
        <f t="shared" si="14"/>
        <v>0</v>
      </c>
      <c r="K81" s="6">
        <f t="shared" si="14"/>
        <v>3191.86</v>
      </c>
      <c r="L81" s="6">
        <f t="shared" si="14"/>
        <v>0</v>
      </c>
      <c r="M81" s="6">
        <f t="shared" si="14"/>
        <v>0</v>
      </c>
      <c r="N81" s="6">
        <f t="shared" si="14"/>
        <v>160916.6</v>
      </c>
      <c r="O81" s="6">
        <f t="shared" si="14"/>
        <v>0</v>
      </c>
      <c r="P81" s="6">
        <f t="shared" si="14"/>
        <v>30417.16</v>
      </c>
      <c r="Q81" s="6">
        <f t="shared" si="14"/>
        <v>0</v>
      </c>
      <c r="R81" s="6">
        <f t="shared" si="14"/>
        <v>11010.91</v>
      </c>
      <c r="S81" s="6">
        <f t="shared" si="14"/>
        <v>0</v>
      </c>
      <c r="T81" s="6">
        <f t="shared" si="14"/>
        <v>787.75</v>
      </c>
      <c r="U81" s="6">
        <f t="shared" si="14"/>
        <v>29.21</v>
      </c>
      <c r="V81" s="6">
        <f t="shared" si="14"/>
        <v>39965.56</v>
      </c>
      <c r="W81" s="6">
        <f t="shared" si="14"/>
        <v>0</v>
      </c>
      <c r="X81" s="6">
        <f t="shared" si="14"/>
        <v>94753.51999999999</v>
      </c>
      <c r="Y81" s="6">
        <f t="shared" si="14"/>
        <v>8104.52</v>
      </c>
      <c r="Z81" s="6">
        <f t="shared" si="14"/>
        <v>0</v>
      </c>
      <c r="AA81" s="6">
        <f t="shared" si="11"/>
        <v>388804.42000000004</v>
      </c>
    </row>
    <row r="82" spans="1:27" x14ac:dyDescent="0.25">
      <c r="A82" s="3" t="s">
        <v>102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5">
        <f t="shared" si="11"/>
        <v>0</v>
      </c>
    </row>
    <row r="83" spans="1:27" x14ac:dyDescent="0.25">
      <c r="A83" s="3" t="s">
        <v>103</v>
      </c>
      <c r="B83" s="5">
        <f>1063</f>
        <v>1063</v>
      </c>
      <c r="C83" s="4"/>
      <c r="D83" s="4"/>
      <c r="E83" s="4"/>
      <c r="F83" s="4"/>
      <c r="G83" s="4"/>
      <c r="H83" s="5">
        <f>500</f>
        <v>500</v>
      </c>
      <c r="I83" s="4"/>
      <c r="J83" s="4"/>
      <c r="K83" s="4"/>
      <c r="L83" s="4"/>
      <c r="M83" s="4"/>
      <c r="N83" s="4"/>
      <c r="O83" s="4"/>
      <c r="P83" s="5">
        <f>1965</f>
        <v>1965</v>
      </c>
      <c r="Q83" s="4"/>
      <c r="R83" s="4"/>
      <c r="S83" s="4"/>
      <c r="T83" s="4"/>
      <c r="U83" s="4"/>
      <c r="V83" s="4"/>
      <c r="W83" s="4"/>
      <c r="X83" s="5">
        <f>190</f>
        <v>190</v>
      </c>
      <c r="Y83" s="4"/>
      <c r="Z83" s="4"/>
      <c r="AA83" s="5">
        <f t="shared" si="11"/>
        <v>3718</v>
      </c>
    </row>
    <row r="84" spans="1:27" x14ac:dyDescent="0.25">
      <c r="A84" s="3" t="s">
        <v>104</v>
      </c>
      <c r="B84" s="4"/>
      <c r="C84" s="4"/>
      <c r="D84" s="5">
        <f>31893.84</f>
        <v>31893.84</v>
      </c>
      <c r="E84" s="4"/>
      <c r="F84" s="5">
        <f>1614.7</f>
        <v>1614.7</v>
      </c>
      <c r="G84" s="4"/>
      <c r="H84" s="5">
        <f>50</f>
        <v>50</v>
      </c>
      <c r="I84" s="5">
        <f>1158.38</f>
        <v>1158.3800000000001</v>
      </c>
      <c r="J84" s="5">
        <f>16836.33</f>
        <v>16836.330000000002</v>
      </c>
      <c r="K84" s="5">
        <f>7463.28</f>
        <v>7463.28</v>
      </c>
      <c r="L84" s="5">
        <f>1492.34</f>
        <v>1492.34</v>
      </c>
      <c r="M84" s="5">
        <f>3826.12</f>
        <v>3826.12</v>
      </c>
      <c r="N84" s="5">
        <f>18500.38</f>
        <v>18500.38</v>
      </c>
      <c r="O84" s="5">
        <f>1536.48</f>
        <v>1536.48</v>
      </c>
      <c r="P84" s="5">
        <f>4708.35</f>
        <v>4708.3500000000004</v>
      </c>
      <c r="Q84" s="5">
        <f>20079.25</f>
        <v>20079.25</v>
      </c>
      <c r="R84" s="5">
        <f>6850.76</f>
        <v>6850.76</v>
      </c>
      <c r="S84" s="5">
        <f>0</f>
        <v>0</v>
      </c>
      <c r="T84" s="5">
        <f>15.19</f>
        <v>15.19</v>
      </c>
      <c r="U84" s="5">
        <f>21.74</f>
        <v>21.74</v>
      </c>
      <c r="V84" s="5">
        <f>23445.11</f>
        <v>23445.11</v>
      </c>
      <c r="W84" s="5">
        <f>11385.35</f>
        <v>11385.35</v>
      </c>
      <c r="X84" s="5">
        <f>33117.21</f>
        <v>33117.21</v>
      </c>
      <c r="Y84" s="5">
        <f>2171.7</f>
        <v>2171.6999999999998</v>
      </c>
      <c r="Z84" s="5">
        <f>4201.02</f>
        <v>4201.0200000000004</v>
      </c>
      <c r="AA84" s="5">
        <f t="shared" si="11"/>
        <v>190367.53</v>
      </c>
    </row>
    <row r="85" spans="1:27" x14ac:dyDescent="0.25">
      <c r="A85" s="3" t="s">
        <v>105</v>
      </c>
      <c r="B85" s="6">
        <f t="shared" ref="B85:Z85" si="15">((B82)+(B83))+(B84)</f>
        <v>1063</v>
      </c>
      <c r="C85" s="6">
        <f t="shared" si="15"/>
        <v>0</v>
      </c>
      <c r="D85" s="6">
        <f t="shared" si="15"/>
        <v>31893.84</v>
      </c>
      <c r="E85" s="6">
        <f t="shared" si="15"/>
        <v>0</v>
      </c>
      <c r="F85" s="6">
        <f t="shared" si="15"/>
        <v>1614.7</v>
      </c>
      <c r="G85" s="6">
        <f t="shared" si="15"/>
        <v>0</v>
      </c>
      <c r="H85" s="6">
        <f t="shared" si="15"/>
        <v>550</v>
      </c>
      <c r="I85" s="6">
        <f t="shared" si="15"/>
        <v>1158.3800000000001</v>
      </c>
      <c r="J85" s="6">
        <f t="shared" si="15"/>
        <v>16836.330000000002</v>
      </c>
      <c r="K85" s="6">
        <f t="shared" si="15"/>
        <v>7463.28</v>
      </c>
      <c r="L85" s="6">
        <f t="shared" si="15"/>
        <v>1492.34</v>
      </c>
      <c r="M85" s="6">
        <f t="shared" si="15"/>
        <v>3826.12</v>
      </c>
      <c r="N85" s="6">
        <f t="shared" si="15"/>
        <v>18500.38</v>
      </c>
      <c r="O85" s="6">
        <f t="shared" si="15"/>
        <v>1536.48</v>
      </c>
      <c r="P85" s="6">
        <f t="shared" si="15"/>
        <v>6673.35</v>
      </c>
      <c r="Q85" s="6">
        <f t="shared" si="15"/>
        <v>20079.25</v>
      </c>
      <c r="R85" s="6">
        <f t="shared" si="15"/>
        <v>6850.76</v>
      </c>
      <c r="S85" s="6">
        <f t="shared" si="15"/>
        <v>0</v>
      </c>
      <c r="T85" s="6">
        <f t="shared" si="15"/>
        <v>15.19</v>
      </c>
      <c r="U85" s="6">
        <f t="shared" si="15"/>
        <v>21.74</v>
      </c>
      <c r="V85" s="6">
        <f t="shared" si="15"/>
        <v>23445.11</v>
      </c>
      <c r="W85" s="6">
        <f t="shared" si="15"/>
        <v>11385.35</v>
      </c>
      <c r="X85" s="6">
        <f t="shared" si="15"/>
        <v>33307.21</v>
      </c>
      <c r="Y85" s="6">
        <f t="shared" si="15"/>
        <v>2171.6999999999998</v>
      </c>
      <c r="Z85" s="6">
        <f t="shared" si="15"/>
        <v>4201.0200000000004</v>
      </c>
      <c r="AA85" s="6">
        <f t="shared" si="11"/>
        <v>194085.53</v>
      </c>
    </row>
    <row r="86" spans="1:27" x14ac:dyDescent="0.25">
      <c r="A86" s="3" t="s">
        <v>106</v>
      </c>
      <c r="B86" s="6">
        <f t="shared" ref="B86:Z86" si="16">((((((((B33)+(B45))+(B51))+(B52))+(B61))+(B65))+(B74))+(B81))+(B85)</f>
        <v>364475.87999999995</v>
      </c>
      <c r="C86" s="6">
        <f t="shared" si="16"/>
        <v>42</v>
      </c>
      <c r="D86" s="6">
        <f t="shared" si="16"/>
        <v>350832.2300000001</v>
      </c>
      <c r="E86" s="6">
        <f t="shared" si="16"/>
        <v>0</v>
      </c>
      <c r="F86" s="6">
        <f t="shared" si="16"/>
        <v>21798.34</v>
      </c>
      <c r="G86" s="6">
        <f t="shared" si="16"/>
        <v>160329.22999999998</v>
      </c>
      <c r="H86" s="6">
        <f t="shared" si="16"/>
        <v>550</v>
      </c>
      <c r="I86" s="6">
        <f t="shared" si="16"/>
        <v>12742.2</v>
      </c>
      <c r="J86" s="6">
        <f t="shared" si="16"/>
        <v>185199.67000000004</v>
      </c>
      <c r="K86" s="6">
        <f t="shared" si="16"/>
        <v>64434.950000000004</v>
      </c>
      <c r="L86" s="6">
        <f t="shared" si="16"/>
        <v>13928.54</v>
      </c>
      <c r="M86" s="6">
        <f t="shared" si="16"/>
        <v>35710.450000000004</v>
      </c>
      <c r="N86" s="6">
        <f t="shared" si="16"/>
        <v>203504.12</v>
      </c>
      <c r="O86" s="6">
        <f t="shared" si="16"/>
        <v>20742.36</v>
      </c>
      <c r="P86" s="6">
        <f t="shared" si="16"/>
        <v>63562.68</v>
      </c>
      <c r="Q86" s="6">
        <f t="shared" si="16"/>
        <v>187406.34</v>
      </c>
      <c r="R86" s="6">
        <f t="shared" si="16"/>
        <v>55784.74</v>
      </c>
      <c r="S86" s="6">
        <f t="shared" si="16"/>
        <v>0</v>
      </c>
      <c r="T86" s="6">
        <f t="shared" si="16"/>
        <v>740.94</v>
      </c>
      <c r="U86" s="6">
        <f t="shared" si="16"/>
        <v>1108.96</v>
      </c>
      <c r="V86" s="6">
        <f t="shared" si="16"/>
        <v>190910.16999999998</v>
      </c>
      <c r="W86" s="6">
        <f t="shared" si="16"/>
        <v>106263.23000000001</v>
      </c>
      <c r="X86" s="6">
        <f t="shared" si="16"/>
        <v>269668.77</v>
      </c>
      <c r="Y86" s="6">
        <f t="shared" si="16"/>
        <v>23888.7</v>
      </c>
      <c r="Z86" s="6">
        <f t="shared" si="16"/>
        <v>39209.589999999997</v>
      </c>
      <c r="AA86" s="6">
        <f t="shared" si="11"/>
        <v>2372834.09</v>
      </c>
    </row>
    <row r="87" spans="1:27" x14ac:dyDescent="0.25">
      <c r="A87" s="3" t="s">
        <v>107</v>
      </c>
      <c r="B87" s="6">
        <f t="shared" ref="B87:Z87" si="17">(B28)-(B86)</f>
        <v>247852.7900000001</v>
      </c>
      <c r="C87" s="6">
        <f t="shared" si="17"/>
        <v>138</v>
      </c>
      <c r="D87" s="6">
        <f t="shared" si="17"/>
        <v>777347.00999999989</v>
      </c>
      <c r="E87" s="6">
        <f t="shared" si="17"/>
        <v>0</v>
      </c>
      <c r="F87" s="6">
        <f t="shared" si="17"/>
        <v>-21798.34</v>
      </c>
      <c r="G87" s="6">
        <f t="shared" si="17"/>
        <v>-155307.78999999998</v>
      </c>
      <c r="H87" s="6">
        <f t="shared" si="17"/>
        <v>-550</v>
      </c>
      <c r="I87" s="6">
        <f t="shared" si="17"/>
        <v>80296.490000000005</v>
      </c>
      <c r="J87" s="6">
        <f t="shared" si="17"/>
        <v>-96325.800000000047</v>
      </c>
      <c r="K87" s="6">
        <f t="shared" si="17"/>
        <v>-23893.490000000005</v>
      </c>
      <c r="L87" s="6">
        <f t="shared" si="17"/>
        <v>-7495.7300000000005</v>
      </c>
      <c r="M87" s="6">
        <f t="shared" si="17"/>
        <v>-15307.770000000004</v>
      </c>
      <c r="N87" s="6">
        <f t="shared" si="17"/>
        <v>-190256.19</v>
      </c>
      <c r="O87" s="6">
        <f t="shared" si="17"/>
        <v>-20742.36</v>
      </c>
      <c r="P87" s="6">
        <f t="shared" si="17"/>
        <v>-3284.4499999999971</v>
      </c>
      <c r="Q87" s="6">
        <f t="shared" si="17"/>
        <v>0</v>
      </c>
      <c r="R87" s="6">
        <f t="shared" si="17"/>
        <v>-30187.859999999997</v>
      </c>
      <c r="S87" s="6">
        <f t="shared" si="17"/>
        <v>0</v>
      </c>
      <c r="T87" s="6">
        <f t="shared" si="17"/>
        <v>0</v>
      </c>
      <c r="U87" s="6">
        <f t="shared" si="17"/>
        <v>0</v>
      </c>
      <c r="V87" s="6">
        <f t="shared" si="17"/>
        <v>-97159.679999999978</v>
      </c>
      <c r="W87" s="6">
        <f t="shared" si="17"/>
        <v>-53131.670000000013</v>
      </c>
      <c r="X87" s="6">
        <f t="shared" si="17"/>
        <v>-143103.44</v>
      </c>
      <c r="Y87" s="6">
        <f t="shared" si="17"/>
        <v>-23888.7</v>
      </c>
      <c r="Z87" s="6">
        <f t="shared" si="17"/>
        <v>-16849.879999999997</v>
      </c>
      <c r="AA87" s="6">
        <f t="shared" si="11"/>
        <v>206351.14000000025</v>
      </c>
    </row>
    <row r="88" spans="1:27" x14ac:dyDescent="0.25">
      <c r="A88" s="3" t="s">
        <v>108</v>
      </c>
      <c r="B88" s="7">
        <f t="shared" ref="B88:Z88" si="18">(B87)+(0)</f>
        <v>247852.7900000001</v>
      </c>
      <c r="C88" s="7">
        <f t="shared" si="18"/>
        <v>138</v>
      </c>
      <c r="D88" s="7">
        <f t="shared" si="18"/>
        <v>777347.00999999989</v>
      </c>
      <c r="E88" s="7">
        <f t="shared" si="18"/>
        <v>0</v>
      </c>
      <c r="F88" s="7">
        <f t="shared" si="18"/>
        <v>-21798.34</v>
      </c>
      <c r="G88" s="7">
        <f t="shared" si="18"/>
        <v>-155307.78999999998</v>
      </c>
      <c r="H88" s="7">
        <f t="shared" si="18"/>
        <v>-550</v>
      </c>
      <c r="I88" s="7">
        <f t="shared" si="18"/>
        <v>80296.490000000005</v>
      </c>
      <c r="J88" s="7">
        <f t="shared" si="18"/>
        <v>-96325.800000000047</v>
      </c>
      <c r="K88" s="7">
        <f t="shared" si="18"/>
        <v>-23893.490000000005</v>
      </c>
      <c r="L88" s="7">
        <f t="shared" si="18"/>
        <v>-7495.7300000000005</v>
      </c>
      <c r="M88" s="7">
        <f t="shared" si="18"/>
        <v>-15307.770000000004</v>
      </c>
      <c r="N88" s="7">
        <f t="shared" si="18"/>
        <v>-190256.19</v>
      </c>
      <c r="O88" s="7">
        <f t="shared" si="18"/>
        <v>-20742.36</v>
      </c>
      <c r="P88" s="7">
        <f t="shared" si="18"/>
        <v>-3284.4499999999971</v>
      </c>
      <c r="Q88" s="7">
        <f t="shared" si="18"/>
        <v>0</v>
      </c>
      <c r="R88" s="7">
        <f t="shared" si="18"/>
        <v>-30187.859999999997</v>
      </c>
      <c r="S88" s="7">
        <f t="shared" si="18"/>
        <v>0</v>
      </c>
      <c r="T88" s="7">
        <f t="shared" si="18"/>
        <v>0</v>
      </c>
      <c r="U88" s="7">
        <f t="shared" si="18"/>
        <v>0</v>
      </c>
      <c r="V88" s="7">
        <f t="shared" si="18"/>
        <v>-97159.679999999978</v>
      </c>
      <c r="W88" s="7">
        <f t="shared" si="18"/>
        <v>-53131.670000000013</v>
      </c>
      <c r="X88" s="7">
        <f t="shared" si="18"/>
        <v>-143103.44</v>
      </c>
      <c r="Y88" s="7">
        <f t="shared" si="18"/>
        <v>-23888.7</v>
      </c>
      <c r="Z88" s="7">
        <f t="shared" si="18"/>
        <v>-16849.879999999997</v>
      </c>
      <c r="AA88" s="7">
        <f t="shared" si="11"/>
        <v>206351.14000000025</v>
      </c>
    </row>
    <row r="89" spans="1:27" x14ac:dyDescent="0.2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2" spans="1:27" x14ac:dyDescent="0.25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</sheetData>
  <sheetProtection algorithmName="SHA-512" hashValue="Y2YGfmh9VGJgy8V9c9E8rQFwwQePyQCbd0waIxHQG9W763GJVUGuf+2NeDSySvnIbB4tmzZZm5Vaqy6zYLE3jg==" saltValue="2nxvQ50zCVxCMT8Zw48t5Q==" spinCount="100000" sheet="1" objects="1" scenarios="1"/>
  <mergeCells count="4">
    <mergeCell ref="A92:AA92"/>
    <mergeCell ref="A1:AA1"/>
    <mergeCell ref="A2:AA2"/>
    <mergeCell ref="A3:AA3"/>
  </mergeCells>
  <pageMargins left="0.7" right="0.7" top="0.75" bottom="0.75" header="0.3" footer="0.3"/>
  <pageSetup paperSize="5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 Perkins</cp:lastModifiedBy>
  <cp:lastPrinted>2025-09-09T15:24:29Z</cp:lastPrinted>
  <dcterms:created xsi:type="dcterms:W3CDTF">2025-09-09T15:23:01Z</dcterms:created>
  <dcterms:modified xsi:type="dcterms:W3CDTF">2025-09-09T15:27:07Z</dcterms:modified>
</cp:coreProperties>
</file>