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gie.perkins_nkces\Documents\Board Meetings\2025-26\September 2025\"/>
    </mc:Choice>
  </mc:AlternateContent>
  <xr:revisionPtr revIDLastSave="0" documentId="13_ncr:1_{38FCD104-79A1-4738-938A-B6935664526C}" xr6:coauthVersionLast="36" xr6:coauthVersionMax="36" xr10:uidLastSave="{00000000-0000-0000-0000-000000000000}"/>
  <bookViews>
    <workbookView xWindow="0" yWindow="0" windowWidth="28800" windowHeight="11625" xr2:uid="{00000000-000D-0000-FFFF-FFFF00000000}"/>
  </bookViews>
  <sheets>
    <sheet name="Profit and Loss by Class" sheetId="1" r:id="rId1"/>
  </sheets>
  <calcPr calcId="191029"/>
</workbook>
</file>

<file path=xl/calcChain.xml><?xml version="1.0" encoding="utf-8"?>
<calcChain xmlns="http://schemas.openxmlformats.org/spreadsheetml/2006/main">
  <c r="V74" i="1" l="1"/>
  <c r="N74" i="1"/>
  <c r="F74" i="1"/>
  <c r="D74" i="1"/>
  <c r="Y73" i="1"/>
  <c r="Y74" i="1" s="1"/>
  <c r="X73" i="1"/>
  <c r="X74" i="1" s="1"/>
  <c r="W73" i="1"/>
  <c r="W74" i="1" s="1"/>
  <c r="V73" i="1"/>
  <c r="U73" i="1"/>
  <c r="U74" i="1" s="1"/>
  <c r="T73" i="1"/>
  <c r="T74" i="1" s="1"/>
  <c r="S73" i="1"/>
  <c r="S74" i="1" s="1"/>
  <c r="R73" i="1"/>
  <c r="R74" i="1" s="1"/>
  <c r="Q73" i="1"/>
  <c r="Q74" i="1" s="1"/>
  <c r="P73" i="1"/>
  <c r="P74" i="1" s="1"/>
  <c r="O73" i="1"/>
  <c r="O74" i="1" s="1"/>
  <c r="N73" i="1"/>
  <c r="M73" i="1"/>
  <c r="M74" i="1" s="1"/>
  <c r="L73" i="1"/>
  <c r="L74" i="1" s="1"/>
  <c r="K73" i="1"/>
  <c r="K74" i="1" s="1"/>
  <c r="J73" i="1"/>
  <c r="J74" i="1" s="1"/>
  <c r="I73" i="1"/>
  <c r="I74" i="1" s="1"/>
  <c r="H73" i="1"/>
  <c r="H74" i="1" s="1"/>
  <c r="G73" i="1"/>
  <c r="G74" i="1" s="1"/>
  <c r="E73" i="1"/>
  <c r="E74" i="1" s="1"/>
  <c r="C73" i="1"/>
  <c r="C74" i="1" s="1"/>
  <c r="W72" i="1"/>
  <c r="O72" i="1"/>
  <c r="G72" i="1"/>
  <c r="B72" i="1"/>
  <c r="Z72" i="1" s="1"/>
  <c r="Z71" i="1"/>
  <c r="Y70" i="1"/>
  <c r="X70" i="1"/>
  <c r="V70" i="1"/>
  <c r="S70" i="1"/>
  <c r="R70" i="1"/>
  <c r="Q70" i="1"/>
  <c r="P70" i="1"/>
  <c r="N70" i="1"/>
  <c r="M70" i="1"/>
  <c r="L70" i="1"/>
  <c r="K70" i="1"/>
  <c r="I70" i="1"/>
  <c r="H70" i="1"/>
  <c r="G70" i="1"/>
  <c r="E70" i="1"/>
  <c r="D70" i="1"/>
  <c r="C70" i="1"/>
  <c r="Z69" i="1"/>
  <c r="B69" i="1"/>
  <c r="Z68" i="1"/>
  <c r="O68" i="1"/>
  <c r="W67" i="1"/>
  <c r="U67" i="1"/>
  <c r="T67" i="1"/>
  <c r="T70" i="1" s="1"/>
  <c r="S67" i="1"/>
  <c r="Q67" i="1"/>
  <c r="O67" i="1"/>
  <c r="J67" i="1"/>
  <c r="J70" i="1" s="1"/>
  <c r="F67" i="1"/>
  <c r="B67" i="1"/>
  <c r="Z67" i="1" s="1"/>
  <c r="Z66" i="1"/>
  <c r="U66" i="1"/>
  <c r="O66" i="1"/>
  <c r="O70" i="1" s="1"/>
  <c r="B66" i="1"/>
  <c r="B70" i="1" s="1"/>
  <c r="Z70" i="1" s="1"/>
  <c r="Z65" i="1"/>
  <c r="W65" i="1"/>
  <c r="W70" i="1" s="1"/>
  <c r="U65" i="1"/>
  <c r="U70" i="1" s="1"/>
  <c r="F65" i="1"/>
  <c r="F70" i="1" s="1"/>
  <c r="Z64" i="1"/>
  <c r="Y63" i="1"/>
  <c r="X63" i="1"/>
  <c r="W63" i="1"/>
  <c r="V63" i="1"/>
  <c r="T63" i="1"/>
  <c r="S63" i="1"/>
  <c r="R63" i="1"/>
  <c r="Q63" i="1"/>
  <c r="P63" i="1"/>
  <c r="N63" i="1"/>
  <c r="M63" i="1"/>
  <c r="L63" i="1"/>
  <c r="K63" i="1"/>
  <c r="I63" i="1"/>
  <c r="H63" i="1"/>
  <c r="G63" i="1"/>
  <c r="E63" i="1"/>
  <c r="C63" i="1"/>
  <c r="W62" i="1"/>
  <c r="U62" i="1"/>
  <c r="T62" i="1"/>
  <c r="S62" i="1"/>
  <c r="O62" i="1"/>
  <c r="J62" i="1"/>
  <c r="F62" i="1"/>
  <c r="F63" i="1" s="1"/>
  <c r="D62" i="1"/>
  <c r="Z62" i="1" s="1"/>
  <c r="C62" i="1"/>
  <c r="B62" i="1"/>
  <c r="F61" i="1"/>
  <c r="B61" i="1"/>
  <c r="Z61" i="1" s="1"/>
  <c r="Z60" i="1"/>
  <c r="W60" i="1"/>
  <c r="U60" i="1"/>
  <c r="O60" i="1"/>
  <c r="C60" i="1"/>
  <c r="B60" i="1"/>
  <c r="W59" i="1"/>
  <c r="U59" i="1"/>
  <c r="U63" i="1" s="1"/>
  <c r="Q59" i="1"/>
  <c r="O59" i="1"/>
  <c r="O63" i="1" s="1"/>
  <c r="J59" i="1"/>
  <c r="J63" i="1" s="1"/>
  <c r="C59" i="1"/>
  <c r="B59" i="1"/>
  <c r="B63" i="1" s="1"/>
  <c r="Z58" i="1"/>
  <c r="Y57" i="1"/>
  <c r="X57" i="1"/>
  <c r="W57" i="1"/>
  <c r="V57" i="1"/>
  <c r="U57" i="1"/>
  <c r="T57" i="1"/>
  <c r="S57" i="1"/>
  <c r="R57" i="1"/>
  <c r="Q57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Z56" i="1"/>
  <c r="C56" i="1"/>
  <c r="B56" i="1"/>
  <c r="B57" i="1" s="1"/>
  <c r="C55" i="1"/>
  <c r="Z55" i="1" s="1"/>
  <c r="B55" i="1"/>
  <c r="Z54" i="1"/>
  <c r="Y53" i="1"/>
  <c r="X53" i="1"/>
  <c r="W53" i="1"/>
  <c r="V53" i="1"/>
  <c r="T53" i="1"/>
  <c r="S53" i="1"/>
  <c r="R53" i="1"/>
  <c r="Q53" i="1"/>
  <c r="P53" i="1"/>
  <c r="O53" i="1"/>
  <c r="N53" i="1"/>
  <c r="M53" i="1"/>
  <c r="L53" i="1"/>
  <c r="K53" i="1"/>
  <c r="J53" i="1"/>
  <c r="I53" i="1"/>
  <c r="H53" i="1"/>
  <c r="G53" i="1"/>
  <c r="E53" i="1"/>
  <c r="D53" i="1"/>
  <c r="W52" i="1"/>
  <c r="U52" i="1"/>
  <c r="U53" i="1" s="1"/>
  <c r="Q52" i="1"/>
  <c r="O52" i="1"/>
  <c r="J52" i="1"/>
  <c r="F52" i="1"/>
  <c r="F53" i="1" s="1"/>
  <c r="C52" i="1"/>
  <c r="B52" i="1"/>
  <c r="Z52" i="1" s="1"/>
  <c r="C51" i="1"/>
  <c r="Z51" i="1" s="1"/>
  <c r="B51" i="1"/>
  <c r="Z50" i="1"/>
  <c r="C50" i="1"/>
  <c r="B50" i="1"/>
  <c r="C49" i="1"/>
  <c r="Z49" i="1" s="1"/>
  <c r="B49" i="1"/>
  <c r="Z48" i="1"/>
  <c r="C48" i="1"/>
  <c r="C53" i="1" s="1"/>
  <c r="B48" i="1"/>
  <c r="B53" i="1" s="1"/>
  <c r="Z47" i="1"/>
  <c r="U46" i="1"/>
  <c r="J46" i="1"/>
  <c r="F46" i="1"/>
  <c r="C46" i="1"/>
  <c r="Z46" i="1" s="1"/>
  <c r="B46" i="1"/>
  <c r="Y45" i="1"/>
  <c r="X45" i="1"/>
  <c r="W45" i="1"/>
  <c r="V45" i="1"/>
  <c r="T45" i="1"/>
  <c r="S45" i="1"/>
  <c r="R45" i="1"/>
  <c r="P45" i="1"/>
  <c r="O45" i="1"/>
  <c r="N45" i="1"/>
  <c r="M45" i="1"/>
  <c r="L45" i="1"/>
  <c r="K45" i="1"/>
  <c r="I45" i="1"/>
  <c r="G45" i="1"/>
  <c r="F45" i="1"/>
  <c r="E45" i="1"/>
  <c r="D45" i="1"/>
  <c r="W44" i="1"/>
  <c r="U44" i="1"/>
  <c r="U45" i="1" s="1"/>
  <c r="Q44" i="1"/>
  <c r="Q45" i="1" s="1"/>
  <c r="O44" i="1"/>
  <c r="J44" i="1"/>
  <c r="J45" i="1" s="1"/>
  <c r="H44" i="1"/>
  <c r="H45" i="1" s="1"/>
  <c r="C44" i="1"/>
  <c r="B44" i="1"/>
  <c r="Z44" i="1" s="1"/>
  <c r="C43" i="1"/>
  <c r="B43" i="1"/>
  <c r="Z43" i="1" s="1"/>
  <c r="B42" i="1"/>
  <c r="Z42" i="1" s="1"/>
  <c r="L41" i="1"/>
  <c r="C41" i="1"/>
  <c r="C45" i="1" s="1"/>
  <c r="B41" i="1"/>
  <c r="Z41" i="1" s="1"/>
  <c r="Z40" i="1"/>
  <c r="X39" i="1"/>
  <c r="T39" i="1"/>
  <c r="S39" i="1"/>
  <c r="R39" i="1"/>
  <c r="O39" i="1"/>
  <c r="N39" i="1"/>
  <c r="G39" i="1"/>
  <c r="F39" i="1"/>
  <c r="D39" i="1"/>
  <c r="C39" i="1"/>
  <c r="Y38" i="1"/>
  <c r="X38" i="1"/>
  <c r="W38" i="1"/>
  <c r="V38" i="1"/>
  <c r="U38" i="1"/>
  <c r="Q38" i="1"/>
  <c r="P38" i="1"/>
  <c r="M38" i="1"/>
  <c r="J38" i="1"/>
  <c r="Z38" i="1" s="1"/>
  <c r="Y37" i="1"/>
  <c r="W37" i="1"/>
  <c r="U37" i="1"/>
  <c r="Q37" i="1"/>
  <c r="M37" i="1"/>
  <c r="L37" i="1"/>
  <c r="J37" i="1"/>
  <c r="I37" i="1"/>
  <c r="H37" i="1"/>
  <c r="E37" i="1"/>
  <c r="C37" i="1"/>
  <c r="Z37" i="1" s="1"/>
  <c r="B36" i="1"/>
  <c r="Z36" i="1" s="1"/>
  <c r="Y35" i="1"/>
  <c r="X35" i="1"/>
  <c r="W35" i="1"/>
  <c r="V35" i="1"/>
  <c r="U35" i="1"/>
  <c r="Q35" i="1"/>
  <c r="P35" i="1"/>
  <c r="P39" i="1" s="1"/>
  <c r="M35" i="1"/>
  <c r="K35" i="1"/>
  <c r="Z35" i="1" s="1"/>
  <c r="J35" i="1"/>
  <c r="Y34" i="1"/>
  <c r="W34" i="1"/>
  <c r="V34" i="1"/>
  <c r="U34" i="1"/>
  <c r="P34" i="1"/>
  <c r="L34" i="1"/>
  <c r="K34" i="1"/>
  <c r="I34" i="1"/>
  <c r="Z34" i="1" s="1"/>
  <c r="E34" i="1"/>
  <c r="C34" i="1"/>
  <c r="B34" i="1"/>
  <c r="Z33" i="1"/>
  <c r="X33" i="1"/>
  <c r="W33" i="1"/>
  <c r="U33" i="1"/>
  <c r="Q33" i="1"/>
  <c r="P33" i="1"/>
  <c r="N33" i="1"/>
  <c r="M33" i="1"/>
  <c r="J33" i="1"/>
  <c r="J39" i="1" s="1"/>
  <c r="I33" i="1"/>
  <c r="H33" i="1"/>
  <c r="H39" i="1" s="1"/>
  <c r="C33" i="1"/>
  <c r="B33" i="1"/>
  <c r="Y32" i="1"/>
  <c r="X32" i="1"/>
  <c r="W32" i="1"/>
  <c r="V32" i="1"/>
  <c r="U32" i="1"/>
  <c r="Q32" i="1"/>
  <c r="P32" i="1"/>
  <c r="N32" i="1"/>
  <c r="M32" i="1"/>
  <c r="L32" i="1"/>
  <c r="K32" i="1"/>
  <c r="K39" i="1" s="1"/>
  <c r="J32" i="1"/>
  <c r="I32" i="1"/>
  <c r="H32" i="1"/>
  <c r="E32" i="1"/>
  <c r="C32" i="1"/>
  <c r="B32" i="1"/>
  <c r="Z32" i="1" s="1"/>
  <c r="Y31" i="1"/>
  <c r="W31" i="1"/>
  <c r="V31" i="1"/>
  <c r="V39" i="1" s="1"/>
  <c r="U31" i="1"/>
  <c r="P31" i="1"/>
  <c r="L31" i="1"/>
  <c r="L39" i="1" s="1"/>
  <c r="K31" i="1"/>
  <c r="I31" i="1"/>
  <c r="I39" i="1" s="1"/>
  <c r="E31" i="1"/>
  <c r="E39" i="1" s="1"/>
  <c r="C31" i="1"/>
  <c r="B31" i="1"/>
  <c r="Z31" i="1" s="1"/>
  <c r="B30" i="1"/>
  <c r="Z30" i="1" s="1"/>
  <c r="Y29" i="1"/>
  <c r="Y39" i="1" s="1"/>
  <c r="X29" i="1"/>
  <c r="W29" i="1"/>
  <c r="W39" i="1" s="1"/>
  <c r="V29" i="1"/>
  <c r="U29" i="1"/>
  <c r="U39" i="1" s="1"/>
  <c r="Q29" i="1"/>
  <c r="Q39" i="1" s="1"/>
  <c r="P29" i="1"/>
  <c r="M29" i="1"/>
  <c r="M39" i="1" s="1"/>
  <c r="J29" i="1"/>
  <c r="Z28" i="1"/>
  <c r="X27" i="1"/>
  <c r="X75" i="1" s="1"/>
  <c r="T27" i="1"/>
  <c r="T75" i="1" s="1"/>
  <c r="S27" i="1"/>
  <c r="S75" i="1" s="1"/>
  <c r="R27" i="1"/>
  <c r="R75" i="1" s="1"/>
  <c r="O27" i="1"/>
  <c r="N27" i="1"/>
  <c r="N75" i="1" s="1"/>
  <c r="J27" i="1"/>
  <c r="H27" i="1"/>
  <c r="H75" i="1" s="1"/>
  <c r="G27" i="1"/>
  <c r="F27" i="1"/>
  <c r="D27" i="1"/>
  <c r="B27" i="1"/>
  <c r="Y26" i="1"/>
  <c r="Y27" i="1" s="1"/>
  <c r="Y75" i="1" s="1"/>
  <c r="W26" i="1"/>
  <c r="V26" i="1"/>
  <c r="V27" i="1" s="1"/>
  <c r="U26" i="1"/>
  <c r="P26" i="1"/>
  <c r="L26" i="1"/>
  <c r="L27" i="1" s="1"/>
  <c r="L75" i="1" s="1"/>
  <c r="K26" i="1"/>
  <c r="K27" i="1" s="1"/>
  <c r="K75" i="1" s="1"/>
  <c r="I26" i="1"/>
  <c r="E26" i="1"/>
  <c r="E27" i="1" s="1"/>
  <c r="C26" i="1"/>
  <c r="B26" i="1"/>
  <c r="Z26" i="1" s="1"/>
  <c r="X25" i="1"/>
  <c r="W25" i="1"/>
  <c r="W27" i="1" s="1"/>
  <c r="U25" i="1"/>
  <c r="U27" i="1" s="1"/>
  <c r="Q25" i="1"/>
  <c r="Q27" i="1" s="1"/>
  <c r="Q75" i="1" s="1"/>
  <c r="P25" i="1"/>
  <c r="P27" i="1" s="1"/>
  <c r="N25" i="1"/>
  <c r="M25" i="1"/>
  <c r="M27" i="1" s="1"/>
  <c r="M75" i="1" s="1"/>
  <c r="J25" i="1"/>
  <c r="I25" i="1"/>
  <c r="I27" i="1" s="1"/>
  <c r="I75" i="1" s="1"/>
  <c r="H25" i="1"/>
  <c r="C25" i="1"/>
  <c r="C27" i="1" s="1"/>
  <c r="B25" i="1"/>
  <c r="Z25" i="1" s="1"/>
  <c r="Z24" i="1"/>
  <c r="V21" i="1"/>
  <c r="V22" i="1" s="1"/>
  <c r="R21" i="1"/>
  <c r="R22" i="1" s="1"/>
  <c r="R76" i="1" s="1"/>
  <c r="R77" i="1" s="1"/>
  <c r="N21" i="1"/>
  <c r="N22" i="1" s="1"/>
  <c r="J21" i="1"/>
  <c r="J22" i="1" s="1"/>
  <c r="D21" i="1"/>
  <c r="D22" i="1" s="1"/>
  <c r="X20" i="1"/>
  <c r="W20" i="1"/>
  <c r="W21" i="1" s="1"/>
  <c r="W22" i="1" s="1"/>
  <c r="V20" i="1"/>
  <c r="U20" i="1"/>
  <c r="S20" i="1"/>
  <c r="R20" i="1"/>
  <c r="Q20" i="1"/>
  <c r="O20" i="1"/>
  <c r="O21" i="1" s="1"/>
  <c r="O22" i="1" s="1"/>
  <c r="N20" i="1"/>
  <c r="M20" i="1"/>
  <c r="K20" i="1"/>
  <c r="J20" i="1"/>
  <c r="H20" i="1"/>
  <c r="G20" i="1"/>
  <c r="G21" i="1" s="1"/>
  <c r="G22" i="1" s="1"/>
  <c r="F20" i="1"/>
  <c r="E20" i="1"/>
  <c r="D20" i="1"/>
  <c r="C20" i="1"/>
  <c r="B20" i="1"/>
  <c r="Y19" i="1"/>
  <c r="Y20" i="1" s="1"/>
  <c r="T19" i="1"/>
  <c r="T20" i="1" s="1"/>
  <c r="T21" i="1" s="1"/>
  <c r="T22" i="1" s="1"/>
  <c r="T76" i="1" s="1"/>
  <c r="T77" i="1" s="1"/>
  <c r="S19" i="1"/>
  <c r="P19" i="1"/>
  <c r="P20" i="1" s="1"/>
  <c r="O19" i="1"/>
  <c r="M19" i="1"/>
  <c r="Z19" i="1" s="1"/>
  <c r="L18" i="1"/>
  <c r="L20" i="1" s="1"/>
  <c r="L21" i="1" s="1"/>
  <c r="L22" i="1" s="1"/>
  <c r="L76" i="1" s="1"/>
  <c r="L77" i="1" s="1"/>
  <c r="I18" i="1"/>
  <c r="Z18" i="1" s="1"/>
  <c r="Z17" i="1"/>
  <c r="B16" i="1"/>
  <c r="Z16" i="1" s="1"/>
  <c r="Y15" i="1"/>
  <c r="X15" i="1"/>
  <c r="X21" i="1" s="1"/>
  <c r="X22" i="1" s="1"/>
  <c r="X76" i="1" s="1"/>
  <c r="X77" i="1" s="1"/>
  <c r="W15" i="1"/>
  <c r="V15" i="1"/>
  <c r="U15" i="1"/>
  <c r="U21" i="1" s="1"/>
  <c r="U22" i="1" s="1"/>
  <c r="T15" i="1"/>
  <c r="S15" i="1"/>
  <c r="S21" i="1" s="1"/>
  <c r="S22" i="1" s="1"/>
  <c r="S76" i="1" s="1"/>
  <c r="S77" i="1" s="1"/>
  <c r="R15" i="1"/>
  <c r="Q15" i="1"/>
  <c r="Q21" i="1" s="1"/>
  <c r="Q22" i="1" s="1"/>
  <c r="P15" i="1"/>
  <c r="P21" i="1" s="1"/>
  <c r="P22" i="1" s="1"/>
  <c r="O15" i="1"/>
  <c r="N15" i="1"/>
  <c r="M15" i="1"/>
  <c r="M21" i="1" s="1"/>
  <c r="M22" i="1" s="1"/>
  <c r="L15" i="1"/>
  <c r="K15" i="1"/>
  <c r="K21" i="1" s="1"/>
  <c r="K22" i="1" s="1"/>
  <c r="K76" i="1" s="1"/>
  <c r="K77" i="1" s="1"/>
  <c r="J15" i="1"/>
  <c r="I15" i="1"/>
  <c r="H15" i="1"/>
  <c r="H21" i="1" s="1"/>
  <c r="H22" i="1" s="1"/>
  <c r="H76" i="1" s="1"/>
  <c r="H77" i="1" s="1"/>
  <c r="G15" i="1"/>
  <c r="E15" i="1"/>
  <c r="E21" i="1" s="1"/>
  <c r="E22" i="1" s="1"/>
  <c r="D15" i="1"/>
  <c r="C15" i="1"/>
  <c r="C21" i="1" s="1"/>
  <c r="C22" i="1" s="1"/>
  <c r="Z14" i="1"/>
  <c r="B14" i="1"/>
  <c r="B13" i="1"/>
  <c r="Z13" i="1" s="1"/>
  <c r="Z12" i="1"/>
  <c r="B12" i="1"/>
  <c r="Z11" i="1"/>
  <c r="F11" i="1"/>
  <c r="C11" i="1"/>
  <c r="B11" i="1"/>
  <c r="F10" i="1"/>
  <c r="F15" i="1" s="1"/>
  <c r="F21" i="1" s="1"/>
  <c r="F22" i="1" s="1"/>
  <c r="Z9" i="1"/>
  <c r="B9" i="1"/>
  <c r="Z8" i="1"/>
  <c r="B8" i="1"/>
  <c r="B15" i="1" s="1"/>
  <c r="Z7" i="1"/>
  <c r="P75" i="1" l="1"/>
  <c r="O75" i="1"/>
  <c r="O76" i="1" s="1"/>
  <c r="O77" i="1" s="1"/>
  <c r="W76" i="1"/>
  <c r="W77" i="1" s="1"/>
  <c r="D75" i="1"/>
  <c r="D76" i="1" s="1"/>
  <c r="D77" i="1" s="1"/>
  <c r="Z15" i="1"/>
  <c r="B21" i="1"/>
  <c r="E76" i="1"/>
  <c r="E77" i="1" s="1"/>
  <c r="U75" i="1"/>
  <c r="U76" i="1" s="1"/>
  <c r="U77" i="1" s="1"/>
  <c r="F75" i="1"/>
  <c r="F76" i="1" s="1"/>
  <c r="F77" i="1" s="1"/>
  <c r="Z63" i="1"/>
  <c r="W75" i="1"/>
  <c r="G75" i="1"/>
  <c r="Z53" i="1"/>
  <c r="P76" i="1"/>
  <c r="P77" i="1" s="1"/>
  <c r="J76" i="1"/>
  <c r="J77" i="1" s="1"/>
  <c r="E75" i="1"/>
  <c r="M76" i="1"/>
  <c r="M77" i="1" s="1"/>
  <c r="Q76" i="1"/>
  <c r="Q77" i="1" s="1"/>
  <c r="Y21" i="1"/>
  <c r="Y22" i="1" s="1"/>
  <c r="Y76" i="1" s="1"/>
  <c r="Y77" i="1" s="1"/>
  <c r="G76" i="1"/>
  <c r="G77" i="1" s="1"/>
  <c r="N76" i="1"/>
  <c r="N77" i="1" s="1"/>
  <c r="V75" i="1"/>
  <c r="V76" i="1" s="1"/>
  <c r="V77" i="1" s="1"/>
  <c r="J75" i="1"/>
  <c r="B39" i="1"/>
  <c r="Z39" i="1" s="1"/>
  <c r="Z27" i="1"/>
  <c r="D63" i="1"/>
  <c r="Z10" i="1"/>
  <c r="I20" i="1"/>
  <c r="Z20" i="1" s="1"/>
  <c r="C57" i="1"/>
  <c r="Z57" i="1" s="1"/>
  <c r="Z59" i="1"/>
  <c r="Z29" i="1"/>
  <c r="Z73" i="1"/>
  <c r="B74" i="1"/>
  <c r="Z74" i="1" s="1"/>
  <c r="B45" i="1"/>
  <c r="Z45" i="1" s="1"/>
  <c r="C75" i="1" l="1"/>
  <c r="C76" i="1" s="1"/>
  <c r="C77" i="1" s="1"/>
  <c r="I21" i="1"/>
  <c r="I22" i="1" s="1"/>
  <c r="I76" i="1" s="1"/>
  <c r="I77" i="1" s="1"/>
  <c r="B75" i="1"/>
  <c r="Z75" i="1" s="1"/>
  <c r="B22" i="1"/>
  <c r="Z21" i="1"/>
  <c r="B76" i="1" l="1"/>
  <c r="Z22" i="1"/>
  <c r="B77" i="1" l="1"/>
  <c r="Z77" i="1" s="1"/>
  <c r="Z76" i="1"/>
</calcChain>
</file>

<file path=xl/sharedStrings.xml><?xml version="1.0" encoding="utf-8"?>
<sst xmlns="http://schemas.openxmlformats.org/spreadsheetml/2006/main" count="100" uniqueCount="100">
  <si>
    <t>0010 - Operations</t>
  </si>
  <si>
    <t>1100 - RSP</t>
  </si>
  <si>
    <t>1310 - EL Local</t>
  </si>
  <si>
    <t>1415 - NKU Regional Consultant</t>
  </si>
  <si>
    <t>1509 - Professional Development</t>
  </si>
  <si>
    <t>1550 - Special Ed PD</t>
  </si>
  <si>
    <t>1975 - YSA</t>
  </si>
  <si>
    <t>2010 - FRYSC State</t>
  </si>
  <si>
    <t>2800 - Arts in Education</t>
  </si>
  <si>
    <t>2910 - DAIL State</t>
  </si>
  <si>
    <t>2943 - DCBS State</t>
  </si>
  <si>
    <t>3010 - FRYSC - Fed</t>
  </si>
  <si>
    <t>3220 - PERS Effectiveness Coach</t>
  </si>
  <si>
    <t>336L - IDEA B 24-25</t>
  </si>
  <si>
    <t>336M - IDEA B 25-26</t>
  </si>
  <si>
    <t>3416- SPF</t>
  </si>
  <si>
    <t>3420 - Interact for Health</t>
  </si>
  <si>
    <t>345K - Title III EL 23-24</t>
  </si>
  <si>
    <t>345L - Title III EL 24-25</t>
  </si>
  <si>
    <t>3800 - Trauma Informed</t>
  </si>
  <si>
    <t>3910 - DAIL Fed</t>
  </si>
  <si>
    <t>3925 - Mental Health</t>
  </si>
  <si>
    <t>3931 - RSP SBMH Counselor</t>
  </si>
  <si>
    <t>3943 - DCBS Fed</t>
  </si>
  <si>
    <t>TOTAL</t>
  </si>
  <si>
    <t>Income</t>
  </si>
  <si>
    <t xml:space="preserve">   31100 UNRESTRICTED INCOME</t>
  </si>
  <si>
    <t xml:space="preserve">      31111 MEMBERSHIPS</t>
  </si>
  <si>
    <t xml:space="preserve">      31510 INTEREST</t>
  </si>
  <si>
    <t xml:space="preserve">      31913 SPONSORSHIP</t>
  </si>
  <si>
    <t xml:space="preserve">      31980 REFUNDS &amp; REIMBURSEMENTS</t>
  </si>
  <si>
    <t xml:space="preserve">      31981 KEDC REBATE (KPC) &amp;GRREC (AEPA)</t>
  </si>
  <si>
    <t xml:space="preserve">      31996 INDIRECT COSTS RECEIPTS</t>
  </si>
  <si>
    <t xml:space="preserve">      31999 MISC. REVENUES</t>
  </si>
  <si>
    <t xml:space="preserve">   Total 31100 UNRESTRICTED INCOME</t>
  </si>
  <si>
    <t xml:space="preserve">   31985 SICK LEAVE ESCROW</t>
  </si>
  <si>
    <t xml:space="preserve">   33000 RESTRICTED RECEIPTS</t>
  </si>
  <si>
    <t xml:space="preserve">      33200 STATE  RECEIPTS</t>
  </si>
  <si>
    <t xml:space="preserve">      34500 FEDERAL RECEIPTS</t>
  </si>
  <si>
    <t xml:space="preserve">   Total 33000 RESTRICTED RECEIPTS</t>
  </si>
  <si>
    <t>Total Income</t>
  </si>
  <si>
    <t>Gross Profit</t>
  </si>
  <si>
    <t>Expenses</t>
  </si>
  <si>
    <t xml:space="preserve">   40100 PERSONNEL</t>
  </si>
  <si>
    <t xml:space="preserve">      40110 CERTIFIED PERSONNEL</t>
  </si>
  <si>
    <t xml:space="preserve">      40130 CLASSIFIED PERSONNEL</t>
  </si>
  <si>
    <t xml:space="preserve">   Total 40100 PERSONNEL</t>
  </si>
  <si>
    <t xml:space="preserve">   40200 FRINGE</t>
  </si>
  <si>
    <t xml:space="preserve">      40211 LIFE INSURANCE</t>
  </si>
  <si>
    <t xml:space="preserve">      40214 DENTAL INSURANCE</t>
  </si>
  <si>
    <t xml:space="preserve">      40221 SOC SEC TAX</t>
  </si>
  <si>
    <t xml:space="preserve">      40222 MEDICARE TAX</t>
  </si>
  <si>
    <t xml:space="preserve">      40231 TEACHER RETIREMENT</t>
  </si>
  <si>
    <t xml:space="preserve">      40232 COUNTY RETIREMENT</t>
  </si>
  <si>
    <t xml:space="preserve">      40233 HEALTH INSURANCE</t>
  </si>
  <si>
    <t xml:space="preserve">      40260 WORKERS COMPENSATION</t>
  </si>
  <si>
    <t xml:space="preserve">      40291 SICK LEAVE PROGRAM</t>
  </si>
  <si>
    <t xml:space="preserve">      40294 ADMININSTRATIVE COST - INS</t>
  </si>
  <si>
    <t xml:space="preserve">   Total 40200 FRINGE</t>
  </si>
  <si>
    <t xml:space="preserve">   40300 PROFESSIONAL SERVICES</t>
  </si>
  <si>
    <t xml:space="preserve">      40330 OTHER PROFESSIONAL SERVICES</t>
  </si>
  <si>
    <t xml:space="preserve">      40331 AUDIT</t>
  </si>
  <si>
    <t xml:space="preserve">      40333 PAYROLL SERVICES</t>
  </si>
  <si>
    <t xml:space="preserve">      40340 TECHNICAL SERVICES</t>
  </si>
  <si>
    <t xml:space="preserve">   Total 40300 PROFESSIONAL SERVICES</t>
  </si>
  <si>
    <t xml:space="preserve">   40335 CONTRACTED SERVICE</t>
  </si>
  <si>
    <t xml:space="preserve">   40400 REPAIR/MAINTENANCE</t>
  </si>
  <si>
    <t xml:space="preserve">      40420 MOWING</t>
  </si>
  <si>
    <t xml:space="preserve">      40421 SANITATION SERVICE</t>
  </si>
  <si>
    <t xml:space="preserve">      40430 FACILITIES/REPAIR/MAINTENANCE</t>
  </si>
  <si>
    <t xml:space="preserve">      40620 UTILITIES - GAS/ELECTRIC</t>
  </si>
  <si>
    <t xml:space="preserve">      40648 SOFTWARE/SOFTWARE MAINT</t>
  </si>
  <si>
    <t xml:space="preserve">   Total 40400 REPAIR/MAINTENANCE</t>
  </si>
  <si>
    <t xml:space="preserve">   40500 INSURANCE</t>
  </si>
  <si>
    <t xml:space="preserve">      40520 LIABILITY INSURANCE</t>
  </si>
  <si>
    <t xml:space="preserve">      40522 PROPERTY INSURANCE</t>
  </si>
  <si>
    <t xml:space="preserve">   Total 40500 INSURANCE</t>
  </si>
  <si>
    <t xml:space="preserve">   40600 OFFICE EXPENSE</t>
  </si>
  <si>
    <t xml:space="preserve">      40532 TELEPHONE</t>
  </si>
  <si>
    <t xml:space="preserve">      40550 PRINTING</t>
  </si>
  <si>
    <t xml:space="preserve">      40605 FOOD</t>
  </si>
  <si>
    <t xml:space="preserve">      40610 SUPPLIES</t>
  </si>
  <si>
    <t xml:space="preserve">   Total 40600 OFFICE EXPENSE</t>
  </si>
  <si>
    <t xml:space="preserve">   40700 PROGRAM EXPENSES</t>
  </si>
  <si>
    <t xml:space="preserve">      40320 EDUCATIONAL SERVICES</t>
  </si>
  <si>
    <t xml:space="preserve">      40339 REGISTRATION FEE</t>
  </si>
  <si>
    <t xml:space="preserve">      40580 TRAVEL</t>
  </si>
  <si>
    <t xml:space="preserve">      40640 BOOKS/PERIODICALS</t>
  </si>
  <si>
    <t xml:space="preserve">      40720 Interest on Loan</t>
  </si>
  <si>
    <t xml:space="preserve">   Total 40700 PROGRAM EXPENSES</t>
  </si>
  <si>
    <t xml:space="preserve">   40800 OTHER EXPENSES</t>
  </si>
  <si>
    <t xml:space="preserve">      40810 DUES AND FEES</t>
  </si>
  <si>
    <t xml:space="preserve">      40933 INDIRECT COSTS</t>
  </si>
  <si>
    <t xml:space="preserve">   Total 40800 OTHER EXPENSES</t>
  </si>
  <si>
    <t>Total Expenses</t>
  </si>
  <si>
    <t>Net Operating Income</t>
  </si>
  <si>
    <t>Net Income</t>
  </si>
  <si>
    <t>Northern Kentucky Cooperative For Educational Services</t>
  </si>
  <si>
    <t>Profit and Loss by Class</t>
  </si>
  <si>
    <t>July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</si>
</sst>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_€"/>
    <numFmt numFmtId="165" formatCode="&quot;$&quot;* #,##0.00\ _€"/>
  </numFmts>
  <fonts count="6" x14ac:knownFonts="1">
    <font>
      <sz val="11"/>
      <color indexed="8"/>
      <name val="Calibri"/>
      <family val="2"/>
      <scheme val="minor"/>
    </font>
    <font>
      <b/>
      <sz val="9"/>
      <color indexed="8"/>
      <name val="Arial"/>
    </font>
    <font>
      <b/>
      <sz val="8"/>
      <color indexed="8"/>
      <name val="Arial"/>
    </font>
    <font>
      <sz val="8"/>
      <color indexed="8"/>
      <name val="Arial"/>
    </font>
    <font>
      <b/>
      <sz val="14"/>
      <color indexed="8"/>
      <name val="Arial"/>
    </font>
    <font>
      <b/>
      <sz val="10"/>
      <color indexed="8"/>
      <name val="Arial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wrapText="1"/>
    </xf>
    <xf numFmtId="0" fontId="2" fillId="0" borderId="0" xfId="0" applyFont="1" applyAlignment="1">
      <alignment horizontal="left" wrapText="1"/>
    </xf>
    <xf numFmtId="164" fontId="3" fillId="0" borderId="0" xfId="0" applyNumberFormat="1" applyFont="1" applyAlignment="1">
      <alignment wrapText="1"/>
    </xf>
    <xf numFmtId="164" fontId="3" fillId="0" borderId="0" xfId="0" applyNumberFormat="1" applyFont="1" applyAlignment="1">
      <alignment horizontal="right" wrapText="1"/>
    </xf>
    <xf numFmtId="165" fontId="2" fillId="0" borderId="2" xfId="0" applyNumberFormat="1" applyFont="1" applyBorder="1" applyAlignment="1">
      <alignment horizontal="right" wrapText="1"/>
    </xf>
    <xf numFmtId="165" fontId="2" fillId="0" borderId="3" xfId="0" applyNumberFormat="1" applyFont="1" applyBorder="1" applyAlignment="1">
      <alignment horizontal="right" wrapText="1"/>
    </xf>
    <xf numFmtId="0" fontId="3" fillId="0" borderId="0" xfId="0" applyFont="1" applyAlignment="1">
      <alignment horizontal="center"/>
    </xf>
    <xf numFmtId="0" fontId="0" fillId="0" borderId="0" xfId="0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81"/>
  <sheetViews>
    <sheetView tabSelected="1" workbookViewId="0">
      <selection activeCell="A81" sqref="A81:Z81"/>
    </sheetView>
  </sheetViews>
  <sheetFormatPr defaultRowHeight="15" x14ac:dyDescent="0.25"/>
  <cols>
    <col min="1" max="1" width="37.85546875" customWidth="1"/>
    <col min="2" max="2" width="10.28515625" customWidth="1"/>
    <col min="3" max="3" width="12" customWidth="1"/>
    <col min="4" max="4" width="7.7109375" customWidth="1"/>
    <col min="5" max="6" width="11.140625" customWidth="1"/>
    <col min="7" max="7" width="8.5703125" customWidth="1"/>
    <col min="8" max="8" width="10.28515625" customWidth="1"/>
    <col min="9" max="9" width="9.42578125" customWidth="1"/>
    <col min="10" max="10" width="11.140625" customWidth="1"/>
    <col min="11" max="11" width="10.28515625" customWidth="1"/>
    <col min="12" max="13" width="9.42578125" customWidth="1"/>
    <col min="14" max="14" width="11.140625" customWidth="1"/>
    <col min="15" max="16" width="9.42578125" customWidth="1"/>
    <col min="17" max="17" width="11.140625" customWidth="1"/>
    <col min="18" max="19" width="7.7109375" customWidth="1"/>
    <col min="20" max="20" width="8.5703125" customWidth="1"/>
    <col min="21" max="22" width="11.140625" customWidth="1"/>
    <col min="23" max="23" width="12" customWidth="1"/>
    <col min="24" max="24" width="10.28515625" customWidth="1"/>
    <col min="25" max="25" width="9.42578125" customWidth="1"/>
    <col min="26" max="26" width="12" customWidth="1"/>
  </cols>
  <sheetData>
    <row r="1" spans="1:26" ht="18" x14ac:dyDescent="0.25">
      <c r="A1" s="10" t="s">
        <v>97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</row>
    <row r="2" spans="1:26" ht="18" x14ac:dyDescent="0.25">
      <c r="A2" s="10" t="s">
        <v>98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</row>
    <row r="3" spans="1:26" x14ac:dyDescent="0.25">
      <c r="A3" s="11" t="s">
        <v>99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5" spans="1:26" ht="60.75" x14ac:dyDescent="0.25">
      <c r="A5" s="1"/>
      <c r="B5" s="2" t="s">
        <v>0</v>
      </c>
      <c r="C5" s="2" t="s">
        <v>1</v>
      </c>
      <c r="D5" s="2" t="s">
        <v>2</v>
      </c>
      <c r="E5" s="2" t="s">
        <v>3</v>
      </c>
      <c r="F5" s="2" t="s">
        <v>4</v>
      </c>
      <c r="G5" s="2" t="s">
        <v>5</v>
      </c>
      <c r="H5" s="2" t="s">
        <v>6</v>
      </c>
      <c r="I5" s="2" t="s">
        <v>7</v>
      </c>
      <c r="J5" s="2" t="s">
        <v>8</v>
      </c>
      <c r="K5" s="2" t="s">
        <v>9</v>
      </c>
      <c r="L5" s="2" t="s">
        <v>10</v>
      </c>
      <c r="M5" s="2" t="s">
        <v>11</v>
      </c>
      <c r="N5" s="2" t="s">
        <v>12</v>
      </c>
      <c r="O5" s="2" t="s">
        <v>13</v>
      </c>
      <c r="P5" s="2" t="s">
        <v>14</v>
      </c>
      <c r="Q5" s="2" t="s">
        <v>15</v>
      </c>
      <c r="R5" s="2" t="s">
        <v>16</v>
      </c>
      <c r="S5" s="2" t="s">
        <v>17</v>
      </c>
      <c r="T5" s="2" t="s">
        <v>18</v>
      </c>
      <c r="U5" s="2" t="s">
        <v>19</v>
      </c>
      <c r="V5" s="2" t="s">
        <v>20</v>
      </c>
      <c r="W5" s="2" t="s">
        <v>21</v>
      </c>
      <c r="X5" s="2" t="s">
        <v>22</v>
      </c>
      <c r="Y5" s="2" t="s">
        <v>23</v>
      </c>
      <c r="Z5" s="2" t="s">
        <v>24</v>
      </c>
    </row>
    <row r="6" spans="1:26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x14ac:dyDescent="0.25">
      <c r="A7" s="3" t="s">
        <v>26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5">
        <f t="shared" ref="Z7:Z22" si="0">(((((((((((((((((((((((B7)+(C7))+(D7))+(E7))+(F7))+(G7))+(H7))+(I7))+(J7))+(K7))+(L7))+(M7))+(N7))+(O7))+(P7))+(Q7))+(R7))+(S7))+(T7))+(U7))+(V7))+(W7))+(X7))+(Y7)</f>
        <v>0</v>
      </c>
    </row>
    <row r="8" spans="1:26" x14ac:dyDescent="0.25">
      <c r="A8" s="3" t="s">
        <v>27</v>
      </c>
      <c r="B8" s="5">
        <f>271241.53</f>
        <v>271241.53000000003</v>
      </c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5">
        <f t="shared" si="0"/>
        <v>271241.53000000003</v>
      </c>
    </row>
    <row r="9" spans="1:26" x14ac:dyDescent="0.25">
      <c r="A9" s="3" t="s">
        <v>28</v>
      </c>
      <c r="B9" s="5">
        <f>21238.31</f>
        <v>21238.31</v>
      </c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5">
        <f t="shared" si="0"/>
        <v>21238.31</v>
      </c>
    </row>
    <row r="10" spans="1:26" x14ac:dyDescent="0.25">
      <c r="A10" s="3" t="s">
        <v>29</v>
      </c>
      <c r="B10" s="4"/>
      <c r="C10" s="4"/>
      <c r="D10" s="4"/>
      <c r="E10" s="4"/>
      <c r="F10" s="5">
        <f>1500</f>
        <v>1500</v>
      </c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5">
        <f t="shared" si="0"/>
        <v>1500</v>
      </c>
    </row>
    <row r="11" spans="1:26" x14ac:dyDescent="0.25">
      <c r="A11" s="3" t="s">
        <v>30</v>
      </c>
      <c r="B11" s="5">
        <f>9127.77</f>
        <v>9127.77</v>
      </c>
      <c r="C11" s="5">
        <f>95.24</f>
        <v>95.24</v>
      </c>
      <c r="D11" s="4"/>
      <c r="E11" s="4"/>
      <c r="F11" s="5">
        <f>107.83</f>
        <v>107.83</v>
      </c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5">
        <f t="shared" si="0"/>
        <v>9330.84</v>
      </c>
    </row>
    <row r="12" spans="1:26" x14ac:dyDescent="0.25">
      <c r="A12" s="3" t="s">
        <v>31</v>
      </c>
      <c r="B12" s="5">
        <f>43773.86</f>
        <v>43773.86</v>
      </c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5">
        <f t="shared" si="0"/>
        <v>43773.86</v>
      </c>
    </row>
    <row r="13" spans="1:26" x14ac:dyDescent="0.25">
      <c r="A13" s="3" t="s">
        <v>32</v>
      </c>
      <c r="B13" s="5">
        <f>81964.52</f>
        <v>81964.52</v>
      </c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5">
        <f t="shared" si="0"/>
        <v>81964.52</v>
      </c>
    </row>
    <row r="14" spans="1:26" x14ac:dyDescent="0.25">
      <c r="A14" s="3" t="s">
        <v>33</v>
      </c>
      <c r="B14" s="5">
        <f>2298.82</f>
        <v>2298.8200000000002</v>
      </c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5">
        <f t="shared" si="0"/>
        <v>2298.8200000000002</v>
      </c>
    </row>
    <row r="15" spans="1:26" x14ac:dyDescent="0.25">
      <c r="A15" s="3" t="s">
        <v>34</v>
      </c>
      <c r="B15" s="6">
        <f t="shared" ref="B15:Y15" si="1">(((((((B7)+(B8))+(B9))+(B10))+(B11))+(B12))+(B13))+(B14)</f>
        <v>429644.81000000006</v>
      </c>
      <c r="C15" s="6">
        <f t="shared" si="1"/>
        <v>95.24</v>
      </c>
      <c r="D15" s="6">
        <f t="shared" si="1"/>
        <v>0</v>
      </c>
      <c r="E15" s="6">
        <f t="shared" si="1"/>
        <v>0</v>
      </c>
      <c r="F15" s="6">
        <f t="shared" si="1"/>
        <v>1607.83</v>
      </c>
      <c r="G15" s="6">
        <f t="shared" si="1"/>
        <v>0</v>
      </c>
      <c r="H15" s="6">
        <f t="shared" si="1"/>
        <v>0</v>
      </c>
      <c r="I15" s="6">
        <f t="shared" si="1"/>
        <v>0</v>
      </c>
      <c r="J15" s="6">
        <f t="shared" si="1"/>
        <v>0</v>
      </c>
      <c r="K15" s="6">
        <f t="shared" si="1"/>
        <v>0</v>
      </c>
      <c r="L15" s="6">
        <f t="shared" si="1"/>
        <v>0</v>
      </c>
      <c r="M15" s="6">
        <f t="shared" si="1"/>
        <v>0</v>
      </c>
      <c r="N15" s="6">
        <f t="shared" si="1"/>
        <v>0</v>
      </c>
      <c r="O15" s="6">
        <f t="shared" si="1"/>
        <v>0</v>
      </c>
      <c r="P15" s="6">
        <f t="shared" si="1"/>
        <v>0</v>
      </c>
      <c r="Q15" s="6">
        <f t="shared" si="1"/>
        <v>0</v>
      </c>
      <c r="R15" s="6">
        <f t="shared" si="1"/>
        <v>0</v>
      </c>
      <c r="S15" s="6">
        <f t="shared" si="1"/>
        <v>0</v>
      </c>
      <c r="T15" s="6">
        <f t="shared" si="1"/>
        <v>0</v>
      </c>
      <c r="U15" s="6">
        <f t="shared" si="1"/>
        <v>0</v>
      </c>
      <c r="V15" s="6">
        <f t="shared" si="1"/>
        <v>0</v>
      </c>
      <c r="W15" s="6">
        <f t="shared" si="1"/>
        <v>0</v>
      </c>
      <c r="X15" s="6">
        <f t="shared" si="1"/>
        <v>0</v>
      </c>
      <c r="Y15" s="6">
        <f t="shared" si="1"/>
        <v>0</v>
      </c>
      <c r="Z15" s="6">
        <f t="shared" si="0"/>
        <v>431347.88000000006</v>
      </c>
    </row>
    <row r="16" spans="1:26" x14ac:dyDescent="0.25">
      <c r="A16" s="3" t="s">
        <v>35</v>
      </c>
      <c r="B16" s="5">
        <f>5290.67</f>
        <v>5290.67</v>
      </c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5">
        <f t="shared" si="0"/>
        <v>5290.67</v>
      </c>
    </row>
    <row r="17" spans="1:26" x14ac:dyDescent="0.25">
      <c r="A17" s="3" t="s">
        <v>36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5">
        <f t="shared" si="0"/>
        <v>0</v>
      </c>
    </row>
    <row r="18" spans="1:26" x14ac:dyDescent="0.25">
      <c r="A18" s="3" t="s">
        <v>37</v>
      </c>
      <c r="B18" s="4"/>
      <c r="C18" s="4"/>
      <c r="D18" s="4"/>
      <c r="E18" s="4"/>
      <c r="F18" s="4"/>
      <c r="G18" s="4"/>
      <c r="H18" s="4"/>
      <c r="I18" s="5">
        <f>88873.87</f>
        <v>88873.87</v>
      </c>
      <c r="J18" s="4"/>
      <c r="K18" s="4"/>
      <c r="L18" s="5">
        <f>20402.68</f>
        <v>20402.68</v>
      </c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5">
        <f t="shared" si="0"/>
        <v>109276.54999999999</v>
      </c>
    </row>
    <row r="19" spans="1:26" x14ac:dyDescent="0.25">
      <c r="A19" s="3" t="s">
        <v>38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5">
        <f>13247.93</f>
        <v>13247.93</v>
      </c>
      <c r="N19" s="4"/>
      <c r="O19" s="5">
        <f>26663.54</f>
        <v>26663.54</v>
      </c>
      <c r="P19" s="5">
        <f>71303.18</f>
        <v>71303.179999999993</v>
      </c>
      <c r="Q19" s="4"/>
      <c r="R19" s="4"/>
      <c r="S19" s="5">
        <f>740.94</f>
        <v>740.94</v>
      </c>
      <c r="T19" s="5">
        <f>1108.96</f>
        <v>1108.96</v>
      </c>
      <c r="U19" s="4"/>
      <c r="V19" s="4"/>
      <c r="W19" s="4"/>
      <c r="X19" s="4"/>
      <c r="Y19" s="5">
        <f>22359.71</f>
        <v>22359.71</v>
      </c>
      <c r="Z19" s="5">
        <f t="shared" si="0"/>
        <v>135424.26</v>
      </c>
    </row>
    <row r="20" spans="1:26" x14ac:dyDescent="0.25">
      <c r="A20" s="3" t="s">
        <v>39</v>
      </c>
      <c r="B20" s="6">
        <f t="shared" ref="B20:Y20" si="2">((B17)+(B18))+(B19)</f>
        <v>0</v>
      </c>
      <c r="C20" s="6">
        <f t="shared" si="2"/>
        <v>0</v>
      </c>
      <c r="D20" s="6">
        <f t="shared" si="2"/>
        <v>0</v>
      </c>
      <c r="E20" s="6">
        <f t="shared" si="2"/>
        <v>0</v>
      </c>
      <c r="F20" s="6">
        <f t="shared" si="2"/>
        <v>0</v>
      </c>
      <c r="G20" s="6">
        <f t="shared" si="2"/>
        <v>0</v>
      </c>
      <c r="H20" s="6">
        <f t="shared" si="2"/>
        <v>0</v>
      </c>
      <c r="I20" s="6">
        <f t="shared" si="2"/>
        <v>88873.87</v>
      </c>
      <c r="J20" s="6">
        <f t="shared" si="2"/>
        <v>0</v>
      </c>
      <c r="K20" s="6">
        <f t="shared" si="2"/>
        <v>0</v>
      </c>
      <c r="L20" s="6">
        <f t="shared" si="2"/>
        <v>20402.68</v>
      </c>
      <c r="M20" s="6">
        <f t="shared" si="2"/>
        <v>13247.93</v>
      </c>
      <c r="N20" s="6">
        <f t="shared" si="2"/>
        <v>0</v>
      </c>
      <c r="O20" s="6">
        <f t="shared" si="2"/>
        <v>26663.54</v>
      </c>
      <c r="P20" s="6">
        <f t="shared" si="2"/>
        <v>71303.179999999993</v>
      </c>
      <c r="Q20" s="6">
        <f t="shared" si="2"/>
        <v>0</v>
      </c>
      <c r="R20" s="6">
        <f t="shared" si="2"/>
        <v>0</v>
      </c>
      <c r="S20" s="6">
        <f t="shared" si="2"/>
        <v>740.94</v>
      </c>
      <c r="T20" s="6">
        <f t="shared" si="2"/>
        <v>1108.96</v>
      </c>
      <c r="U20" s="6">
        <f t="shared" si="2"/>
        <v>0</v>
      </c>
      <c r="V20" s="6">
        <f t="shared" si="2"/>
        <v>0</v>
      </c>
      <c r="W20" s="6">
        <f t="shared" si="2"/>
        <v>0</v>
      </c>
      <c r="X20" s="6">
        <f t="shared" si="2"/>
        <v>0</v>
      </c>
      <c r="Y20" s="6">
        <f t="shared" si="2"/>
        <v>22359.71</v>
      </c>
      <c r="Z20" s="6">
        <f t="shared" si="0"/>
        <v>244700.80999999997</v>
      </c>
    </row>
    <row r="21" spans="1:26" x14ac:dyDescent="0.25">
      <c r="A21" s="3" t="s">
        <v>40</v>
      </c>
      <c r="B21" s="6">
        <f t="shared" ref="B21:Y21" si="3">((B15)+(B16))+(B20)</f>
        <v>434935.48000000004</v>
      </c>
      <c r="C21" s="6">
        <f t="shared" si="3"/>
        <v>95.24</v>
      </c>
      <c r="D21" s="6">
        <f t="shared" si="3"/>
        <v>0</v>
      </c>
      <c r="E21" s="6">
        <f t="shared" si="3"/>
        <v>0</v>
      </c>
      <c r="F21" s="6">
        <f t="shared" si="3"/>
        <v>1607.83</v>
      </c>
      <c r="G21" s="6">
        <f t="shared" si="3"/>
        <v>0</v>
      </c>
      <c r="H21" s="6">
        <f t="shared" si="3"/>
        <v>0</v>
      </c>
      <c r="I21" s="6">
        <f t="shared" si="3"/>
        <v>88873.87</v>
      </c>
      <c r="J21" s="6">
        <f t="shared" si="3"/>
        <v>0</v>
      </c>
      <c r="K21" s="6">
        <f t="shared" si="3"/>
        <v>0</v>
      </c>
      <c r="L21" s="6">
        <f t="shared" si="3"/>
        <v>20402.68</v>
      </c>
      <c r="M21" s="6">
        <f t="shared" si="3"/>
        <v>13247.93</v>
      </c>
      <c r="N21" s="6">
        <f t="shared" si="3"/>
        <v>0</v>
      </c>
      <c r="O21" s="6">
        <f t="shared" si="3"/>
        <v>26663.54</v>
      </c>
      <c r="P21" s="6">
        <f t="shared" si="3"/>
        <v>71303.179999999993</v>
      </c>
      <c r="Q21" s="6">
        <f t="shared" si="3"/>
        <v>0</v>
      </c>
      <c r="R21" s="6">
        <f t="shared" si="3"/>
        <v>0</v>
      </c>
      <c r="S21" s="6">
        <f t="shared" si="3"/>
        <v>740.94</v>
      </c>
      <c r="T21" s="6">
        <f t="shared" si="3"/>
        <v>1108.96</v>
      </c>
      <c r="U21" s="6">
        <f t="shared" si="3"/>
        <v>0</v>
      </c>
      <c r="V21" s="6">
        <f t="shared" si="3"/>
        <v>0</v>
      </c>
      <c r="W21" s="6">
        <f t="shared" si="3"/>
        <v>0</v>
      </c>
      <c r="X21" s="6">
        <f t="shared" si="3"/>
        <v>0</v>
      </c>
      <c r="Y21" s="6">
        <f t="shared" si="3"/>
        <v>22359.71</v>
      </c>
      <c r="Z21" s="6">
        <f t="shared" si="0"/>
        <v>681339.3600000001</v>
      </c>
    </row>
    <row r="22" spans="1:26" x14ac:dyDescent="0.25">
      <c r="A22" s="3" t="s">
        <v>41</v>
      </c>
      <c r="B22" s="6">
        <f t="shared" ref="B22:Y22" si="4">(B21)-(0)</f>
        <v>434935.48000000004</v>
      </c>
      <c r="C22" s="6">
        <f t="shared" si="4"/>
        <v>95.24</v>
      </c>
      <c r="D22" s="6">
        <f t="shared" si="4"/>
        <v>0</v>
      </c>
      <c r="E22" s="6">
        <f t="shared" si="4"/>
        <v>0</v>
      </c>
      <c r="F22" s="6">
        <f t="shared" si="4"/>
        <v>1607.83</v>
      </c>
      <c r="G22" s="6">
        <f t="shared" si="4"/>
        <v>0</v>
      </c>
      <c r="H22" s="6">
        <f t="shared" si="4"/>
        <v>0</v>
      </c>
      <c r="I22" s="6">
        <f t="shared" si="4"/>
        <v>88873.87</v>
      </c>
      <c r="J22" s="6">
        <f t="shared" si="4"/>
        <v>0</v>
      </c>
      <c r="K22" s="6">
        <f t="shared" si="4"/>
        <v>0</v>
      </c>
      <c r="L22" s="6">
        <f t="shared" si="4"/>
        <v>20402.68</v>
      </c>
      <c r="M22" s="6">
        <f t="shared" si="4"/>
        <v>13247.93</v>
      </c>
      <c r="N22" s="6">
        <f t="shared" si="4"/>
        <v>0</v>
      </c>
      <c r="O22" s="6">
        <f t="shared" si="4"/>
        <v>26663.54</v>
      </c>
      <c r="P22" s="6">
        <f t="shared" si="4"/>
        <v>71303.179999999993</v>
      </c>
      <c r="Q22" s="6">
        <f t="shared" si="4"/>
        <v>0</v>
      </c>
      <c r="R22" s="6">
        <f t="shared" si="4"/>
        <v>0</v>
      </c>
      <c r="S22" s="6">
        <f t="shared" si="4"/>
        <v>740.94</v>
      </c>
      <c r="T22" s="6">
        <f t="shared" si="4"/>
        <v>1108.96</v>
      </c>
      <c r="U22" s="6">
        <f t="shared" si="4"/>
        <v>0</v>
      </c>
      <c r="V22" s="6">
        <f t="shared" si="4"/>
        <v>0</v>
      </c>
      <c r="W22" s="6">
        <f t="shared" si="4"/>
        <v>0</v>
      </c>
      <c r="X22" s="6">
        <f t="shared" si="4"/>
        <v>0</v>
      </c>
      <c r="Y22" s="6">
        <f t="shared" si="4"/>
        <v>22359.71</v>
      </c>
      <c r="Z22" s="6">
        <f t="shared" si="0"/>
        <v>681339.3600000001</v>
      </c>
    </row>
    <row r="23" spans="1:26" x14ac:dyDescent="0.25">
      <c r="A23" s="3" t="s">
        <v>42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x14ac:dyDescent="0.25">
      <c r="A24" s="3" t="s">
        <v>43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5">
        <f t="shared" ref="Z24:Z55" si="5">(((((((((((((((((((((((B24)+(C24))+(D24))+(E24))+(F24))+(G24))+(H24))+(I24))+(J24))+(K24))+(L24))+(M24))+(N24))+(O24))+(P24))+(Q24))+(R24))+(S24))+(T24))+(U24))+(V24))+(W24))+(X24))+(Y24)</f>
        <v>0</v>
      </c>
    </row>
    <row r="25" spans="1:26" x14ac:dyDescent="0.25">
      <c r="A25" s="3" t="s">
        <v>44</v>
      </c>
      <c r="B25" s="5">
        <f>34553.68</f>
        <v>34553.68</v>
      </c>
      <c r="C25" s="5">
        <f>43530.96</f>
        <v>43530.96</v>
      </c>
      <c r="D25" s="4"/>
      <c r="E25" s="4"/>
      <c r="F25" s="4"/>
      <c r="G25" s="4"/>
      <c r="H25" s="5">
        <f>5475.34</f>
        <v>5475.34</v>
      </c>
      <c r="I25" s="5">
        <f>71160.96</f>
        <v>71160.960000000006</v>
      </c>
      <c r="J25" s="5">
        <f>9544.76</f>
        <v>9544.76</v>
      </c>
      <c r="K25" s="4"/>
      <c r="L25" s="4"/>
      <c r="M25" s="5">
        <f>8840.84</f>
        <v>8840.84</v>
      </c>
      <c r="N25" s="5">
        <f>9197.5</f>
        <v>9197.5</v>
      </c>
      <c r="O25" s="4"/>
      <c r="P25" s="5">
        <f>41905.78</f>
        <v>41905.78</v>
      </c>
      <c r="Q25" s="5">
        <f>17078.68</f>
        <v>17078.68</v>
      </c>
      <c r="R25" s="4"/>
      <c r="S25" s="4"/>
      <c r="T25" s="4"/>
      <c r="U25" s="5">
        <f>32952.94</f>
        <v>32952.94</v>
      </c>
      <c r="V25" s="4"/>
      <c r="W25" s="5">
        <f>45326.34</f>
        <v>45326.34</v>
      </c>
      <c r="X25" s="5">
        <f>5140.14</f>
        <v>5140.1400000000003</v>
      </c>
      <c r="Y25" s="4"/>
      <c r="Z25" s="5">
        <f t="shared" si="5"/>
        <v>324707.92000000004</v>
      </c>
    </row>
    <row r="26" spans="1:26" x14ac:dyDescent="0.25">
      <c r="A26" s="3" t="s">
        <v>45</v>
      </c>
      <c r="B26" s="5">
        <f>30516.86</f>
        <v>30516.86</v>
      </c>
      <c r="C26" s="5">
        <f>9297.2</f>
        <v>9297.2000000000007</v>
      </c>
      <c r="D26" s="4"/>
      <c r="E26" s="5">
        <f>7889.8</f>
        <v>7889.8</v>
      </c>
      <c r="F26" s="4"/>
      <c r="G26" s="4"/>
      <c r="H26" s="4"/>
      <c r="I26" s="5">
        <f>3978.38</f>
        <v>3978.38</v>
      </c>
      <c r="J26" s="4"/>
      <c r="K26" s="5">
        <f>3803.92</f>
        <v>3803.92</v>
      </c>
      <c r="L26" s="5">
        <f>14191.51</f>
        <v>14191.51</v>
      </c>
      <c r="M26" s="4"/>
      <c r="N26" s="4"/>
      <c r="O26" s="4"/>
      <c r="P26" s="5">
        <f>5940.78</f>
        <v>5940.78</v>
      </c>
      <c r="Q26" s="4"/>
      <c r="R26" s="4"/>
      <c r="S26" s="4"/>
      <c r="T26" s="4"/>
      <c r="U26" s="5">
        <f>5139.58</f>
        <v>5139.58</v>
      </c>
      <c r="V26" s="5">
        <f>34235.48</f>
        <v>34235.480000000003</v>
      </c>
      <c r="W26" s="5">
        <f>5085.92</f>
        <v>5085.92</v>
      </c>
      <c r="X26" s="4"/>
      <c r="Y26" s="5">
        <f>14191.59</f>
        <v>14191.59</v>
      </c>
      <c r="Z26" s="5">
        <f t="shared" si="5"/>
        <v>134271.02000000002</v>
      </c>
    </row>
    <row r="27" spans="1:26" x14ac:dyDescent="0.25">
      <c r="A27" s="3" t="s">
        <v>46</v>
      </c>
      <c r="B27" s="6">
        <f t="shared" ref="B27:Y27" si="6">((B24)+(B25))+(B26)</f>
        <v>65070.54</v>
      </c>
      <c r="C27" s="6">
        <f t="shared" si="6"/>
        <v>52828.160000000003</v>
      </c>
      <c r="D27" s="6">
        <f t="shared" si="6"/>
        <v>0</v>
      </c>
      <c r="E27" s="6">
        <f t="shared" si="6"/>
        <v>7889.8</v>
      </c>
      <c r="F27" s="6">
        <f t="shared" si="6"/>
        <v>0</v>
      </c>
      <c r="G27" s="6">
        <f t="shared" si="6"/>
        <v>0</v>
      </c>
      <c r="H27" s="6">
        <f t="shared" si="6"/>
        <v>5475.34</v>
      </c>
      <c r="I27" s="6">
        <f t="shared" si="6"/>
        <v>75139.340000000011</v>
      </c>
      <c r="J27" s="6">
        <f t="shared" si="6"/>
        <v>9544.76</v>
      </c>
      <c r="K27" s="6">
        <f t="shared" si="6"/>
        <v>3803.92</v>
      </c>
      <c r="L27" s="6">
        <f t="shared" si="6"/>
        <v>14191.51</v>
      </c>
      <c r="M27" s="6">
        <f t="shared" si="6"/>
        <v>8840.84</v>
      </c>
      <c r="N27" s="6">
        <f t="shared" si="6"/>
        <v>9197.5</v>
      </c>
      <c r="O27" s="6">
        <f t="shared" si="6"/>
        <v>0</v>
      </c>
      <c r="P27" s="6">
        <f t="shared" si="6"/>
        <v>47846.559999999998</v>
      </c>
      <c r="Q27" s="6">
        <f t="shared" si="6"/>
        <v>17078.68</v>
      </c>
      <c r="R27" s="6">
        <f t="shared" si="6"/>
        <v>0</v>
      </c>
      <c r="S27" s="6">
        <f t="shared" si="6"/>
        <v>0</v>
      </c>
      <c r="T27" s="6">
        <f t="shared" si="6"/>
        <v>0</v>
      </c>
      <c r="U27" s="6">
        <f t="shared" si="6"/>
        <v>38092.520000000004</v>
      </c>
      <c r="V27" s="6">
        <f t="shared" si="6"/>
        <v>34235.480000000003</v>
      </c>
      <c r="W27" s="6">
        <f t="shared" si="6"/>
        <v>50412.259999999995</v>
      </c>
      <c r="X27" s="6">
        <f t="shared" si="6"/>
        <v>5140.1400000000003</v>
      </c>
      <c r="Y27" s="6">
        <f t="shared" si="6"/>
        <v>14191.59</v>
      </c>
      <c r="Z27" s="6">
        <f t="shared" si="5"/>
        <v>458978.94000000012</v>
      </c>
    </row>
    <row r="28" spans="1:26" x14ac:dyDescent="0.25">
      <c r="A28" s="3" t="s">
        <v>47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5">
        <f t="shared" si="5"/>
        <v>0</v>
      </c>
    </row>
    <row r="29" spans="1:26" x14ac:dyDescent="0.25">
      <c r="A29" s="3" t="s">
        <v>48</v>
      </c>
      <c r="B29" s="4"/>
      <c r="C29" s="4"/>
      <c r="D29" s="4"/>
      <c r="E29" s="4"/>
      <c r="F29" s="4"/>
      <c r="G29" s="4"/>
      <c r="H29" s="4"/>
      <c r="I29" s="4"/>
      <c r="J29" s="5">
        <f>1.19</f>
        <v>1.19</v>
      </c>
      <c r="K29" s="4"/>
      <c r="L29" s="4"/>
      <c r="M29" s="5">
        <f>1.25</f>
        <v>1.25</v>
      </c>
      <c r="N29" s="4"/>
      <c r="O29" s="4"/>
      <c r="P29" s="5">
        <f>6.31</f>
        <v>6.31</v>
      </c>
      <c r="Q29" s="5">
        <f>2.15</f>
        <v>2.15</v>
      </c>
      <c r="R29" s="4"/>
      <c r="S29" s="4"/>
      <c r="T29" s="4"/>
      <c r="U29" s="5">
        <f>5.32</f>
        <v>5.32</v>
      </c>
      <c r="V29" s="5">
        <f>4.5</f>
        <v>4.5</v>
      </c>
      <c r="W29" s="5">
        <f>7.24</f>
        <v>7.24</v>
      </c>
      <c r="X29" s="5">
        <f>1</f>
        <v>1</v>
      </c>
      <c r="Y29" s="5">
        <f>2</f>
        <v>2</v>
      </c>
      <c r="Z29" s="5">
        <f t="shared" si="5"/>
        <v>30.96</v>
      </c>
    </row>
    <row r="30" spans="1:26" x14ac:dyDescent="0.25">
      <c r="A30" s="3" t="s">
        <v>49</v>
      </c>
      <c r="B30" s="5">
        <f>255</f>
        <v>255</v>
      </c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5">
        <f t="shared" si="5"/>
        <v>255</v>
      </c>
    </row>
    <row r="31" spans="1:26" x14ac:dyDescent="0.25">
      <c r="A31" s="3" t="s">
        <v>50</v>
      </c>
      <c r="B31" s="5">
        <f>1826.66</f>
        <v>1826.66</v>
      </c>
      <c r="C31" s="5">
        <f>542.91</f>
        <v>542.91</v>
      </c>
      <c r="D31" s="4"/>
      <c r="E31" s="5">
        <f>466.13</f>
        <v>466.13</v>
      </c>
      <c r="F31" s="4"/>
      <c r="G31" s="4"/>
      <c r="H31" s="4"/>
      <c r="I31" s="5">
        <f>237.53</f>
        <v>237.53</v>
      </c>
      <c r="J31" s="4"/>
      <c r="K31" s="5">
        <f>228.83</f>
        <v>228.83</v>
      </c>
      <c r="L31" s="5">
        <f>838.7</f>
        <v>838.7</v>
      </c>
      <c r="M31" s="4"/>
      <c r="N31" s="4"/>
      <c r="O31" s="4"/>
      <c r="P31" s="5">
        <f>361.17</f>
        <v>361.17</v>
      </c>
      <c r="Q31" s="4"/>
      <c r="R31" s="4"/>
      <c r="S31" s="4"/>
      <c r="T31" s="4"/>
      <c r="U31" s="5">
        <f>272.55</f>
        <v>272.55</v>
      </c>
      <c r="V31" s="5">
        <f>2059.51</f>
        <v>2059.5100000000002</v>
      </c>
      <c r="W31" s="5">
        <f>307.21</f>
        <v>307.20999999999998</v>
      </c>
      <c r="X31" s="4"/>
      <c r="Y31" s="5">
        <f>838.68</f>
        <v>838.68</v>
      </c>
      <c r="Z31" s="5">
        <f t="shared" si="5"/>
        <v>7979.880000000001</v>
      </c>
    </row>
    <row r="32" spans="1:26" x14ac:dyDescent="0.25">
      <c r="A32" s="3" t="s">
        <v>51</v>
      </c>
      <c r="B32" s="5">
        <f>1125.69</f>
        <v>1125.69</v>
      </c>
      <c r="C32" s="5">
        <f>733.17</f>
        <v>733.17</v>
      </c>
      <c r="D32" s="4"/>
      <c r="E32" s="5">
        <f>109.01</f>
        <v>109.01</v>
      </c>
      <c r="F32" s="4"/>
      <c r="G32" s="4"/>
      <c r="H32" s="5">
        <f>78.2</f>
        <v>78.2</v>
      </c>
      <c r="I32" s="5">
        <f>1039.23</f>
        <v>1039.23</v>
      </c>
      <c r="J32" s="5">
        <f>129.34</f>
        <v>129.34</v>
      </c>
      <c r="K32" s="5">
        <f>53.51</f>
        <v>53.51</v>
      </c>
      <c r="L32" s="5">
        <f>196.15</f>
        <v>196.15</v>
      </c>
      <c r="M32" s="5">
        <f>124.36</f>
        <v>124.36</v>
      </c>
      <c r="N32" s="5">
        <f>129.52</f>
        <v>129.52000000000001</v>
      </c>
      <c r="O32" s="4"/>
      <c r="P32" s="5">
        <f>666.06</f>
        <v>666.06</v>
      </c>
      <c r="Q32" s="5">
        <f>236.18</f>
        <v>236.18</v>
      </c>
      <c r="R32" s="4"/>
      <c r="S32" s="4"/>
      <c r="T32" s="4"/>
      <c r="U32" s="5">
        <f>522.42</f>
        <v>522.41999999999996</v>
      </c>
      <c r="V32" s="5">
        <f>481.68</f>
        <v>481.68</v>
      </c>
      <c r="W32" s="5">
        <f>705.7</f>
        <v>705.7</v>
      </c>
      <c r="X32" s="5">
        <f>73.04</f>
        <v>73.040000000000006</v>
      </c>
      <c r="Y32" s="5">
        <f>196.12</f>
        <v>196.12</v>
      </c>
      <c r="Z32" s="5">
        <f t="shared" si="5"/>
        <v>6599.380000000001</v>
      </c>
    </row>
    <row r="33" spans="1:26" x14ac:dyDescent="0.25">
      <c r="A33" s="3" t="s">
        <v>52</v>
      </c>
      <c r="B33" s="5">
        <f>1482.28</f>
        <v>1482.28</v>
      </c>
      <c r="C33" s="5">
        <f>1305.92</f>
        <v>1305.92</v>
      </c>
      <c r="D33" s="4"/>
      <c r="E33" s="4"/>
      <c r="F33" s="4"/>
      <c r="G33" s="4"/>
      <c r="H33" s="5">
        <f>164.26</f>
        <v>164.26</v>
      </c>
      <c r="I33" s="5">
        <f>2134.76</f>
        <v>2134.7600000000002</v>
      </c>
      <c r="J33" s="5">
        <f>1545.87</f>
        <v>1545.87</v>
      </c>
      <c r="K33" s="4"/>
      <c r="L33" s="4"/>
      <c r="M33" s="5">
        <f>1423.82</f>
        <v>1423.82</v>
      </c>
      <c r="N33" s="5">
        <f>275.92</f>
        <v>275.92</v>
      </c>
      <c r="O33" s="4"/>
      <c r="P33" s="5">
        <f>6748.92</f>
        <v>6748.92</v>
      </c>
      <c r="Q33" s="5">
        <f>2807.32</f>
        <v>2807.32</v>
      </c>
      <c r="R33" s="4"/>
      <c r="S33" s="4"/>
      <c r="T33" s="4"/>
      <c r="U33" s="5">
        <f>5450.94</f>
        <v>5450.94</v>
      </c>
      <c r="V33" s="4"/>
      <c r="W33" s="5">
        <f>7492.38</f>
        <v>7492.38</v>
      </c>
      <c r="X33" s="5">
        <f>706.76</f>
        <v>706.76</v>
      </c>
      <c r="Y33" s="4"/>
      <c r="Z33" s="5">
        <f t="shared" si="5"/>
        <v>31539.149999999998</v>
      </c>
    </row>
    <row r="34" spans="1:26" x14ac:dyDescent="0.25">
      <c r="A34" s="3" t="s">
        <v>53</v>
      </c>
      <c r="B34" s="5">
        <f>5679.3</f>
        <v>5679.3</v>
      </c>
      <c r="C34" s="5">
        <f>1731.14</f>
        <v>1731.14</v>
      </c>
      <c r="D34" s="4"/>
      <c r="E34" s="5">
        <f>1469.08</f>
        <v>1469.08</v>
      </c>
      <c r="F34" s="4"/>
      <c r="G34" s="4"/>
      <c r="H34" s="4"/>
      <c r="I34" s="5">
        <f>740.78</f>
        <v>740.78</v>
      </c>
      <c r="J34" s="4"/>
      <c r="K34" s="5">
        <f>708.28</f>
        <v>708.28</v>
      </c>
      <c r="L34" s="5">
        <f>2642.49</f>
        <v>2642.49</v>
      </c>
      <c r="M34" s="4"/>
      <c r="N34" s="4"/>
      <c r="O34" s="4"/>
      <c r="P34" s="5">
        <f>723.46</f>
        <v>723.46</v>
      </c>
      <c r="Q34" s="4"/>
      <c r="R34" s="4"/>
      <c r="S34" s="4"/>
      <c r="T34" s="4"/>
      <c r="U34" s="5">
        <f>956.98</f>
        <v>956.98</v>
      </c>
      <c r="V34" s="5">
        <f>6374.64</f>
        <v>6374.64</v>
      </c>
      <c r="W34" s="5">
        <f>949.94</f>
        <v>949.94</v>
      </c>
      <c r="X34" s="4"/>
      <c r="Y34" s="5">
        <f>2642.43</f>
        <v>2642.43</v>
      </c>
      <c r="Z34" s="5">
        <f t="shared" si="5"/>
        <v>24618.52</v>
      </c>
    </row>
    <row r="35" spans="1:26" x14ac:dyDescent="0.25">
      <c r="A35" s="3" t="s">
        <v>54</v>
      </c>
      <c r="B35" s="4"/>
      <c r="C35" s="4"/>
      <c r="D35" s="4"/>
      <c r="E35" s="4"/>
      <c r="F35" s="4"/>
      <c r="G35" s="4"/>
      <c r="H35" s="4"/>
      <c r="I35" s="4"/>
      <c r="J35" s="5">
        <f>1877.87</f>
        <v>1877.87</v>
      </c>
      <c r="K35" s="5">
        <f>949.04</f>
        <v>949.04</v>
      </c>
      <c r="L35" s="4"/>
      <c r="M35" s="5">
        <f>1466.48</f>
        <v>1466.48</v>
      </c>
      <c r="N35" s="4"/>
      <c r="O35" s="4"/>
      <c r="P35" s="5">
        <f>7260.59</f>
        <v>7260.59</v>
      </c>
      <c r="Q35" s="5">
        <f>1800.5</f>
        <v>1800.5</v>
      </c>
      <c r="R35" s="4"/>
      <c r="S35" s="4"/>
      <c r="T35" s="4"/>
      <c r="U35" s="5">
        <f>6205.27</f>
        <v>6205.27</v>
      </c>
      <c r="V35" s="5">
        <f>4247.08</f>
        <v>4247.08</v>
      </c>
      <c r="W35" s="5">
        <f>5659.69</f>
        <v>5659.69</v>
      </c>
      <c r="X35" s="5">
        <f>877.3</f>
        <v>877.3</v>
      </c>
      <c r="Y35" s="5">
        <f>1793.38</f>
        <v>1793.38</v>
      </c>
      <c r="Z35" s="5">
        <f t="shared" si="5"/>
        <v>32137.200000000001</v>
      </c>
    </row>
    <row r="36" spans="1:26" x14ac:dyDescent="0.25">
      <c r="A36" s="3" t="s">
        <v>55</v>
      </c>
      <c r="B36" s="5">
        <f>49550.56</f>
        <v>49550.559999999998</v>
      </c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5">
        <f t="shared" si="5"/>
        <v>49550.559999999998</v>
      </c>
    </row>
    <row r="37" spans="1:26" x14ac:dyDescent="0.25">
      <c r="A37" s="3" t="s">
        <v>56</v>
      </c>
      <c r="B37" s="4"/>
      <c r="C37" s="5">
        <f>528.28</f>
        <v>528.28</v>
      </c>
      <c r="D37" s="4"/>
      <c r="E37" s="5">
        <f>157.8</f>
        <v>157.80000000000001</v>
      </c>
      <c r="F37" s="4"/>
      <c r="G37" s="4"/>
      <c r="H37" s="5">
        <f>54.75</f>
        <v>54.75</v>
      </c>
      <c r="I37" s="5">
        <f>1502.79</f>
        <v>1502.79</v>
      </c>
      <c r="J37" s="5">
        <f>190.9</f>
        <v>190.9</v>
      </c>
      <c r="K37" s="4"/>
      <c r="L37" s="5">
        <f>283.83</f>
        <v>283.83</v>
      </c>
      <c r="M37" s="5">
        <f>176.82</f>
        <v>176.82</v>
      </c>
      <c r="N37" s="4"/>
      <c r="O37" s="4"/>
      <c r="P37" s="4"/>
      <c r="Q37" s="5">
        <f>341.57</f>
        <v>341.57</v>
      </c>
      <c r="R37" s="4"/>
      <c r="S37" s="4"/>
      <c r="T37" s="4"/>
      <c r="U37" s="5">
        <f>761.85</f>
        <v>761.85</v>
      </c>
      <c r="V37" s="4"/>
      <c r="W37" s="5">
        <f>1008.25</f>
        <v>1008.25</v>
      </c>
      <c r="X37" s="4"/>
      <c r="Y37" s="5">
        <f>283.83</f>
        <v>283.83</v>
      </c>
      <c r="Z37" s="5">
        <f t="shared" si="5"/>
        <v>5290.67</v>
      </c>
    </row>
    <row r="38" spans="1:26" x14ac:dyDescent="0.25">
      <c r="A38" s="3" t="s">
        <v>57</v>
      </c>
      <c r="B38" s="4"/>
      <c r="C38" s="4"/>
      <c r="D38" s="4"/>
      <c r="E38" s="4"/>
      <c r="F38" s="4"/>
      <c r="G38" s="4"/>
      <c r="H38" s="4"/>
      <c r="I38" s="4"/>
      <c r="J38" s="5">
        <f>9.52</f>
        <v>9.52</v>
      </c>
      <c r="K38" s="4"/>
      <c r="L38" s="4"/>
      <c r="M38" s="5">
        <f>10</f>
        <v>10</v>
      </c>
      <c r="N38" s="4"/>
      <c r="O38" s="4"/>
      <c r="P38" s="5">
        <f>50.48</f>
        <v>50.48</v>
      </c>
      <c r="Q38" s="5">
        <f>17.2</f>
        <v>17.2</v>
      </c>
      <c r="R38" s="4"/>
      <c r="S38" s="4"/>
      <c r="T38" s="4"/>
      <c r="U38" s="5">
        <f>42.56</f>
        <v>42.56</v>
      </c>
      <c r="V38" s="5">
        <f>36</f>
        <v>36</v>
      </c>
      <c r="W38" s="5">
        <f>57.92</f>
        <v>57.92</v>
      </c>
      <c r="X38" s="5">
        <f>8</f>
        <v>8</v>
      </c>
      <c r="Y38" s="5">
        <f>16</f>
        <v>16</v>
      </c>
      <c r="Z38" s="5">
        <f t="shared" si="5"/>
        <v>247.68</v>
      </c>
    </row>
    <row r="39" spans="1:26" x14ac:dyDescent="0.25">
      <c r="A39" s="3" t="s">
        <v>58</v>
      </c>
      <c r="B39" s="6">
        <f t="shared" ref="B39:Y39" si="7">((((((((((B28)+(B29))+(B30))+(B31))+(B32))+(B33))+(B34))+(B35))+(B36))+(B37))+(B38)</f>
        <v>59919.49</v>
      </c>
      <c r="C39" s="6">
        <f t="shared" si="7"/>
        <v>4841.42</v>
      </c>
      <c r="D39" s="6">
        <f t="shared" si="7"/>
        <v>0</v>
      </c>
      <c r="E39" s="6">
        <f t="shared" si="7"/>
        <v>2202.02</v>
      </c>
      <c r="F39" s="6">
        <f t="shared" si="7"/>
        <v>0</v>
      </c>
      <c r="G39" s="6">
        <f t="shared" si="7"/>
        <v>0</v>
      </c>
      <c r="H39" s="6">
        <f t="shared" si="7"/>
        <v>297.20999999999998</v>
      </c>
      <c r="I39" s="6">
        <f t="shared" si="7"/>
        <v>5655.09</v>
      </c>
      <c r="J39" s="6">
        <f t="shared" si="7"/>
        <v>3754.6899999999996</v>
      </c>
      <c r="K39" s="6">
        <f t="shared" si="7"/>
        <v>1939.6599999999999</v>
      </c>
      <c r="L39" s="6">
        <f t="shared" si="7"/>
        <v>3961.17</v>
      </c>
      <c r="M39" s="6">
        <f t="shared" si="7"/>
        <v>3202.73</v>
      </c>
      <c r="N39" s="6">
        <f t="shared" si="7"/>
        <v>405.44000000000005</v>
      </c>
      <c r="O39" s="6">
        <f t="shared" si="7"/>
        <v>0</v>
      </c>
      <c r="P39" s="6">
        <f t="shared" si="7"/>
        <v>15816.99</v>
      </c>
      <c r="Q39" s="6">
        <f t="shared" si="7"/>
        <v>5204.9199999999992</v>
      </c>
      <c r="R39" s="6">
        <f t="shared" si="7"/>
        <v>0</v>
      </c>
      <c r="S39" s="6">
        <f t="shared" si="7"/>
        <v>0</v>
      </c>
      <c r="T39" s="6">
        <f t="shared" si="7"/>
        <v>0</v>
      </c>
      <c r="U39" s="6">
        <f t="shared" si="7"/>
        <v>14217.89</v>
      </c>
      <c r="V39" s="6">
        <f t="shared" si="7"/>
        <v>13203.41</v>
      </c>
      <c r="W39" s="6">
        <f t="shared" si="7"/>
        <v>16188.33</v>
      </c>
      <c r="X39" s="6">
        <f t="shared" si="7"/>
        <v>1666.1</v>
      </c>
      <c r="Y39" s="6">
        <f t="shared" si="7"/>
        <v>5772.44</v>
      </c>
      <c r="Z39" s="6">
        <f t="shared" si="5"/>
        <v>158249</v>
      </c>
    </row>
    <row r="40" spans="1:26" x14ac:dyDescent="0.25">
      <c r="A40" s="3" t="s">
        <v>59</v>
      </c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5">
        <f t="shared" si="5"/>
        <v>0</v>
      </c>
    </row>
    <row r="41" spans="1:26" x14ac:dyDescent="0.25">
      <c r="A41" s="3" t="s">
        <v>60</v>
      </c>
      <c r="B41" s="5">
        <f>64</f>
        <v>64</v>
      </c>
      <c r="C41" s="5">
        <f>84</f>
        <v>84</v>
      </c>
      <c r="D41" s="4"/>
      <c r="E41" s="4"/>
      <c r="F41" s="4"/>
      <c r="G41" s="4"/>
      <c r="H41" s="4"/>
      <c r="I41" s="4"/>
      <c r="J41" s="4"/>
      <c r="K41" s="4"/>
      <c r="L41" s="5">
        <f>64</f>
        <v>64</v>
      </c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5">
        <f t="shared" si="5"/>
        <v>212</v>
      </c>
    </row>
    <row r="42" spans="1:26" x14ac:dyDescent="0.25">
      <c r="A42" s="3" t="s">
        <v>61</v>
      </c>
      <c r="B42" s="5">
        <f>18825</f>
        <v>18825</v>
      </c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5">
        <f t="shared" si="5"/>
        <v>18825</v>
      </c>
    </row>
    <row r="43" spans="1:26" x14ac:dyDescent="0.25">
      <c r="A43" s="3" t="s">
        <v>62</v>
      </c>
      <c r="B43" s="5">
        <f>867.87</f>
        <v>867.87</v>
      </c>
      <c r="C43" s="5">
        <f>681.9</f>
        <v>681.9</v>
      </c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5">
        <f t="shared" si="5"/>
        <v>1549.77</v>
      </c>
    </row>
    <row r="44" spans="1:26" x14ac:dyDescent="0.25">
      <c r="A44" s="3" t="s">
        <v>63</v>
      </c>
      <c r="B44" s="5">
        <f>544.28</f>
        <v>544.28</v>
      </c>
      <c r="C44" s="5">
        <f>1085.2</f>
        <v>1085.2</v>
      </c>
      <c r="D44" s="4"/>
      <c r="E44" s="4"/>
      <c r="F44" s="4"/>
      <c r="G44" s="4"/>
      <c r="H44" s="5">
        <f>19.36</f>
        <v>19.36</v>
      </c>
      <c r="I44" s="4"/>
      <c r="J44" s="5">
        <f>19.36</f>
        <v>19.36</v>
      </c>
      <c r="K44" s="4"/>
      <c r="L44" s="4"/>
      <c r="M44" s="4"/>
      <c r="N44" s="4"/>
      <c r="O44" s="5">
        <f>1781.13</f>
        <v>1781.13</v>
      </c>
      <c r="P44" s="4"/>
      <c r="Q44" s="5">
        <f>38.72</f>
        <v>38.72</v>
      </c>
      <c r="R44" s="4"/>
      <c r="S44" s="4"/>
      <c r="T44" s="4"/>
      <c r="U44" s="5">
        <f>77.44</f>
        <v>77.44</v>
      </c>
      <c r="V44" s="4"/>
      <c r="W44" s="5">
        <f>96.8</f>
        <v>96.8</v>
      </c>
      <c r="X44" s="4"/>
      <c r="Y44" s="4"/>
      <c r="Z44" s="5">
        <f t="shared" si="5"/>
        <v>3662.29</v>
      </c>
    </row>
    <row r="45" spans="1:26" x14ac:dyDescent="0.25">
      <c r="A45" s="3" t="s">
        <v>64</v>
      </c>
      <c r="B45" s="6">
        <f t="shared" ref="B45:Y45" si="8">((((B40)+(B41))+(B42))+(B43))+(B44)</f>
        <v>20301.149999999998</v>
      </c>
      <c r="C45" s="6">
        <f t="shared" si="8"/>
        <v>1851.1</v>
      </c>
      <c r="D45" s="6">
        <f t="shared" si="8"/>
        <v>0</v>
      </c>
      <c r="E45" s="6">
        <f t="shared" si="8"/>
        <v>0</v>
      </c>
      <c r="F45" s="6">
        <f t="shared" si="8"/>
        <v>0</v>
      </c>
      <c r="G45" s="6">
        <f t="shared" si="8"/>
        <v>0</v>
      </c>
      <c r="H45" s="6">
        <f t="shared" si="8"/>
        <v>19.36</v>
      </c>
      <c r="I45" s="6">
        <f t="shared" si="8"/>
        <v>0</v>
      </c>
      <c r="J45" s="6">
        <f t="shared" si="8"/>
        <v>19.36</v>
      </c>
      <c r="K45" s="6">
        <f t="shared" si="8"/>
        <v>0</v>
      </c>
      <c r="L45" s="6">
        <f t="shared" si="8"/>
        <v>64</v>
      </c>
      <c r="M45" s="6">
        <f t="shared" si="8"/>
        <v>0</v>
      </c>
      <c r="N45" s="6">
        <f t="shared" si="8"/>
        <v>0</v>
      </c>
      <c r="O45" s="6">
        <f t="shared" si="8"/>
        <v>1781.13</v>
      </c>
      <c r="P45" s="6">
        <f t="shared" si="8"/>
        <v>0</v>
      </c>
      <c r="Q45" s="6">
        <f t="shared" si="8"/>
        <v>38.72</v>
      </c>
      <c r="R45" s="6">
        <f t="shared" si="8"/>
        <v>0</v>
      </c>
      <c r="S45" s="6">
        <f t="shared" si="8"/>
        <v>0</v>
      </c>
      <c r="T45" s="6">
        <f t="shared" si="8"/>
        <v>0</v>
      </c>
      <c r="U45" s="6">
        <f t="shared" si="8"/>
        <v>77.44</v>
      </c>
      <c r="V45" s="6">
        <f t="shared" si="8"/>
        <v>0</v>
      </c>
      <c r="W45" s="6">
        <f t="shared" si="8"/>
        <v>96.8</v>
      </c>
      <c r="X45" s="6">
        <f t="shared" si="8"/>
        <v>0</v>
      </c>
      <c r="Y45" s="6">
        <f t="shared" si="8"/>
        <v>0</v>
      </c>
      <c r="Z45" s="6">
        <f t="shared" si="5"/>
        <v>24249.059999999998</v>
      </c>
    </row>
    <row r="46" spans="1:26" x14ac:dyDescent="0.25">
      <c r="A46" s="3" t="s">
        <v>65</v>
      </c>
      <c r="B46" s="5">
        <f>2701.23</f>
        <v>2701.23</v>
      </c>
      <c r="C46" s="5">
        <f>149.17</f>
        <v>149.16999999999999</v>
      </c>
      <c r="D46" s="4"/>
      <c r="E46" s="4"/>
      <c r="F46" s="5">
        <f>65700</f>
        <v>65700</v>
      </c>
      <c r="G46" s="4"/>
      <c r="H46" s="4"/>
      <c r="I46" s="4"/>
      <c r="J46" s="5">
        <f>18206.68</f>
        <v>18206.68</v>
      </c>
      <c r="K46" s="4"/>
      <c r="L46" s="4"/>
      <c r="M46" s="4"/>
      <c r="N46" s="4"/>
      <c r="O46" s="4"/>
      <c r="P46" s="4"/>
      <c r="Q46" s="4"/>
      <c r="R46" s="4"/>
      <c r="S46" s="4"/>
      <c r="T46" s="4"/>
      <c r="U46" s="5">
        <f>6950</f>
        <v>6950</v>
      </c>
      <c r="V46" s="4"/>
      <c r="W46" s="4"/>
      <c r="X46" s="4"/>
      <c r="Y46" s="4"/>
      <c r="Z46" s="5">
        <f t="shared" si="5"/>
        <v>93707.079999999987</v>
      </c>
    </row>
    <row r="47" spans="1:26" x14ac:dyDescent="0.25">
      <c r="A47" s="3" t="s">
        <v>66</v>
      </c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5">
        <f t="shared" si="5"/>
        <v>0</v>
      </c>
    </row>
    <row r="48" spans="1:26" x14ac:dyDescent="0.25">
      <c r="A48" s="3" t="s">
        <v>67</v>
      </c>
      <c r="B48" s="5">
        <f>585.75</f>
        <v>585.75</v>
      </c>
      <c r="C48" s="5">
        <f>1189.25</f>
        <v>1189.25</v>
      </c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5">
        <f t="shared" si="5"/>
        <v>1775</v>
      </c>
    </row>
    <row r="49" spans="1:26" x14ac:dyDescent="0.25">
      <c r="A49" s="3" t="s">
        <v>68</v>
      </c>
      <c r="B49" s="5">
        <f>376.37</f>
        <v>376.37</v>
      </c>
      <c r="C49" s="5">
        <f>764.14</f>
        <v>764.14</v>
      </c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5">
        <f t="shared" si="5"/>
        <v>1140.51</v>
      </c>
    </row>
    <row r="50" spans="1:26" x14ac:dyDescent="0.25">
      <c r="A50" s="3" t="s">
        <v>69</v>
      </c>
      <c r="B50" s="5">
        <f>255.37</f>
        <v>255.37</v>
      </c>
      <c r="C50" s="5">
        <f>9206.5</f>
        <v>9206.5</v>
      </c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5">
        <f t="shared" si="5"/>
        <v>9461.8700000000008</v>
      </c>
    </row>
    <row r="51" spans="1:26" x14ac:dyDescent="0.25">
      <c r="A51" s="3" t="s">
        <v>70</v>
      </c>
      <c r="B51" s="5">
        <f>4768.4</f>
        <v>4768.3999999999996</v>
      </c>
      <c r="C51" s="5">
        <f>9681.3</f>
        <v>9681.2999999999993</v>
      </c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5">
        <f t="shared" si="5"/>
        <v>14449.699999999999</v>
      </c>
    </row>
    <row r="52" spans="1:26" x14ac:dyDescent="0.25">
      <c r="A52" s="3" t="s">
        <v>71</v>
      </c>
      <c r="B52" s="5">
        <f>415.7</f>
        <v>415.7</v>
      </c>
      <c r="C52" s="5">
        <f>838.52</f>
        <v>838.52</v>
      </c>
      <c r="D52" s="4"/>
      <c r="E52" s="4"/>
      <c r="F52" s="5">
        <f>7500</f>
        <v>7500</v>
      </c>
      <c r="G52" s="4"/>
      <c r="H52" s="4"/>
      <c r="I52" s="4"/>
      <c r="J52" s="5">
        <f>18.9</f>
        <v>18.899999999999999</v>
      </c>
      <c r="K52" s="4"/>
      <c r="L52" s="4"/>
      <c r="M52" s="4"/>
      <c r="N52" s="4"/>
      <c r="O52" s="5">
        <f>170.1</f>
        <v>170.1</v>
      </c>
      <c r="P52" s="4"/>
      <c r="Q52" s="5">
        <f>37.8</f>
        <v>37.799999999999997</v>
      </c>
      <c r="R52" s="4"/>
      <c r="S52" s="4"/>
      <c r="T52" s="4"/>
      <c r="U52" s="5">
        <f>75.6</f>
        <v>75.599999999999994</v>
      </c>
      <c r="V52" s="4"/>
      <c r="W52" s="5">
        <f>94.5</f>
        <v>94.5</v>
      </c>
      <c r="X52" s="4"/>
      <c r="Y52" s="4"/>
      <c r="Z52" s="5">
        <f t="shared" si="5"/>
        <v>9151.119999999999</v>
      </c>
    </row>
    <row r="53" spans="1:26" x14ac:dyDescent="0.25">
      <c r="A53" s="3" t="s">
        <v>72</v>
      </c>
      <c r="B53" s="6">
        <f t="shared" ref="B53:Y53" si="9">(((((B47)+(B48))+(B49))+(B50))+(B51))+(B52)</f>
        <v>6401.5899999999992</v>
      </c>
      <c r="C53" s="6">
        <f t="shared" si="9"/>
        <v>21679.71</v>
      </c>
      <c r="D53" s="6">
        <f t="shared" si="9"/>
        <v>0</v>
      </c>
      <c r="E53" s="6">
        <f t="shared" si="9"/>
        <v>0</v>
      </c>
      <c r="F53" s="6">
        <f t="shared" si="9"/>
        <v>7500</v>
      </c>
      <c r="G53" s="6">
        <f t="shared" si="9"/>
        <v>0</v>
      </c>
      <c r="H53" s="6">
        <f t="shared" si="9"/>
        <v>0</v>
      </c>
      <c r="I53" s="6">
        <f t="shared" si="9"/>
        <v>0</v>
      </c>
      <c r="J53" s="6">
        <f t="shared" si="9"/>
        <v>18.899999999999999</v>
      </c>
      <c r="K53" s="6">
        <f t="shared" si="9"/>
        <v>0</v>
      </c>
      <c r="L53" s="6">
        <f t="shared" si="9"/>
        <v>0</v>
      </c>
      <c r="M53" s="6">
        <f t="shared" si="9"/>
        <v>0</v>
      </c>
      <c r="N53" s="6">
        <f t="shared" si="9"/>
        <v>0</v>
      </c>
      <c r="O53" s="6">
        <f t="shared" si="9"/>
        <v>170.1</v>
      </c>
      <c r="P53" s="6">
        <f t="shared" si="9"/>
        <v>0</v>
      </c>
      <c r="Q53" s="6">
        <f t="shared" si="9"/>
        <v>37.799999999999997</v>
      </c>
      <c r="R53" s="6">
        <f t="shared" si="9"/>
        <v>0</v>
      </c>
      <c r="S53" s="6">
        <f t="shared" si="9"/>
        <v>0</v>
      </c>
      <c r="T53" s="6">
        <f t="shared" si="9"/>
        <v>0</v>
      </c>
      <c r="U53" s="6">
        <f t="shared" si="9"/>
        <v>75.599999999999994</v>
      </c>
      <c r="V53" s="6">
        <f t="shared" si="9"/>
        <v>0</v>
      </c>
      <c r="W53" s="6">
        <f t="shared" si="9"/>
        <v>94.5</v>
      </c>
      <c r="X53" s="6">
        <f t="shared" si="9"/>
        <v>0</v>
      </c>
      <c r="Y53" s="6">
        <f t="shared" si="9"/>
        <v>0</v>
      </c>
      <c r="Z53" s="6">
        <f t="shared" si="5"/>
        <v>35978.200000000004</v>
      </c>
    </row>
    <row r="54" spans="1:26" x14ac:dyDescent="0.25">
      <c r="A54" s="3" t="s">
        <v>73</v>
      </c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5">
        <f t="shared" si="5"/>
        <v>0</v>
      </c>
    </row>
    <row r="55" spans="1:26" x14ac:dyDescent="0.25">
      <c r="A55" s="3" t="s">
        <v>74</v>
      </c>
      <c r="B55" s="5">
        <f>42343.22</f>
        <v>42343.22</v>
      </c>
      <c r="C55" s="5">
        <f>35852.5</f>
        <v>35852.5</v>
      </c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5">
        <f t="shared" si="5"/>
        <v>78195.72</v>
      </c>
    </row>
    <row r="56" spans="1:26" x14ac:dyDescent="0.25">
      <c r="A56" s="3" t="s">
        <v>75</v>
      </c>
      <c r="B56" s="5">
        <f>23911</f>
        <v>23911</v>
      </c>
      <c r="C56" s="5">
        <f>23911</f>
        <v>23911</v>
      </c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5">
        <f t="shared" ref="Z56:Z87" si="10">(((((((((((((((((((((((B56)+(C56))+(D56))+(E56))+(F56))+(G56))+(H56))+(I56))+(J56))+(K56))+(L56))+(M56))+(N56))+(O56))+(P56))+(Q56))+(R56))+(S56))+(T56))+(U56))+(V56))+(W56))+(X56))+(Y56)</f>
        <v>47822</v>
      </c>
    </row>
    <row r="57" spans="1:26" x14ac:dyDescent="0.25">
      <c r="A57" s="3" t="s">
        <v>76</v>
      </c>
      <c r="B57" s="6">
        <f t="shared" ref="B57:Y57" si="11">((B54)+(B55))+(B56)</f>
        <v>66254.22</v>
      </c>
      <c r="C57" s="6">
        <f t="shared" si="11"/>
        <v>59763.5</v>
      </c>
      <c r="D57" s="6">
        <f t="shared" si="11"/>
        <v>0</v>
      </c>
      <c r="E57" s="6">
        <f t="shared" si="11"/>
        <v>0</v>
      </c>
      <c r="F57" s="6">
        <f t="shared" si="11"/>
        <v>0</v>
      </c>
      <c r="G57" s="6">
        <f t="shared" si="11"/>
        <v>0</v>
      </c>
      <c r="H57" s="6">
        <f t="shared" si="11"/>
        <v>0</v>
      </c>
      <c r="I57" s="6">
        <f t="shared" si="11"/>
        <v>0</v>
      </c>
      <c r="J57" s="6">
        <f t="shared" si="11"/>
        <v>0</v>
      </c>
      <c r="K57" s="6">
        <f t="shared" si="11"/>
        <v>0</v>
      </c>
      <c r="L57" s="6">
        <f t="shared" si="11"/>
        <v>0</v>
      </c>
      <c r="M57" s="6">
        <f t="shared" si="11"/>
        <v>0</v>
      </c>
      <c r="N57" s="6">
        <f t="shared" si="11"/>
        <v>0</v>
      </c>
      <c r="O57" s="6">
        <f t="shared" si="11"/>
        <v>0</v>
      </c>
      <c r="P57" s="6">
        <f t="shared" si="11"/>
        <v>0</v>
      </c>
      <c r="Q57" s="6">
        <f t="shared" si="11"/>
        <v>0</v>
      </c>
      <c r="R57" s="6">
        <f t="shared" si="11"/>
        <v>0</v>
      </c>
      <c r="S57" s="6">
        <f t="shared" si="11"/>
        <v>0</v>
      </c>
      <c r="T57" s="6">
        <f t="shared" si="11"/>
        <v>0</v>
      </c>
      <c r="U57" s="6">
        <f t="shared" si="11"/>
        <v>0</v>
      </c>
      <c r="V57" s="6">
        <f t="shared" si="11"/>
        <v>0</v>
      </c>
      <c r="W57" s="6">
        <f t="shared" si="11"/>
        <v>0</v>
      </c>
      <c r="X57" s="6">
        <f t="shared" si="11"/>
        <v>0</v>
      </c>
      <c r="Y57" s="6">
        <f t="shared" si="11"/>
        <v>0</v>
      </c>
      <c r="Z57" s="6">
        <f t="shared" si="10"/>
        <v>126017.72</v>
      </c>
    </row>
    <row r="58" spans="1:26" x14ac:dyDescent="0.25">
      <c r="A58" s="3" t="s">
        <v>77</v>
      </c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5">
        <f t="shared" si="10"/>
        <v>0</v>
      </c>
    </row>
    <row r="59" spans="1:26" x14ac:dyDescent="0.25">
      <c r="A59" s="3" t="s">
        <v>78</v>
      </c>
      <c r="B59" s="5">
        <f>855.11</f>
        <v>855.11</v>
      </c>
      <c r="C59" s="5">
        <f>469.45</f>
        <v>469.45</v>
      </c>
      <c r="D59" s="4"/>
      <c r="E59" s="4"/>
      <c r="F59" s="4"/>
      <c r="G59" s="4"/>
      <c r="H59" s="4"/>
      <c r="I59" s="4"/>
      <c r="J59" s="5">
        <f>33.43</f>
        <v>33.43</v>
      </c>
      <c r="K59" s="4"/>
      <c r="L59" s="4"/>
      <c r="M59" s="4"/>
      <c r="N59" s="4"/>
      <c r="O59" s="5">
        <f>481.61</f>
        <v>481.61</v>
      </c>
      <c r="P59" s="4"/>
      <c r="Q59" s="5">
        <f>77.74</f>
        <v>77.739999999999995</v>
      </c>
      <c r="R59" s="4"/>
      <c r="S59" s="4"/>
      <c r="T59" s="4"/>
      <c r="U59" s="5">
        <f>285.92</f>
        <v>285.92</v>
      </c>
      <c r="V59" s="4"/>
      <c r="W59" s="5">
        <f>276.7</f>
        <v>276.7</v>
      </c>
      <c r="X59" s="4"/>
      <c r="Y59" s="4"/>
      <c r="Z59" s="5">
        <f t="shared" si="10"/>
        <v>2479.9599999999996</v>
      </c>
    </row>
    <row r="60" spans="1:26" x14ac:dyDescent="0.25">
      <c r="A60" s="3" t="s">
        <v>79</v>
      </c>
      <c r="B60" s="5">
        <f>116.83</f>
        <v>116.83</v>
      </c>
      <c r="C60" s="5">
        <f>889.73</f>
        <v>889.73</v>
      </c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5">
        <f>116.82</f>
        <v>116.82</v>
      </c>
      <c r="P60" s="4"/>
      <c r="Q60" s="4"/>
      <c r="R60" s="4"/>
      <c r="S60" s="4"/>
      <c r="T60" s="4"/>
      <c r="U60" s="5">
        <f>472.26</f>
        <v>472.26</v>
      </c>
      <c r="V60" s="4"/>
      <c r="W60" s="5">
        <f>472.26</f>
        <v>472.26</v>
      </c>
      <c r="X60" s="4"/>
      <c r="Y60" s="4"/>
      <c r="Z60" s="5">
        <f t="shared" si="10"/>
        <v>2067.9</v>
      </c>
    </row>
    <row r="61" spans="1:26" x14ac:dyDescent="0.25">
      <c r="A61" s="3" t="s">
        <v>80</v>
      </c>
      <c r="B61" s="5">
        <f>2910.26</f>
        <v>2910.26</v>
      </c>
      <c r="C61" s="4"/>
      <c r="D61" s="4"/>
      <c r="E61" s="4"/>
      <c r="F61" s="5">
        <f>52.51</f>
        <v>52.51</v>
      </c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5">
        <f t="shared" si="10"/>
        <v>2962.7700000000004</v>
      </c>
    </row>
    <row r="62" spans="1:26" x14ac:dyDescent="0.25">
      <c r="A62" s="3" t="s">
        <v>81</v>
      </c>
      <c r="B62" s="5">
        <f>7931.18</f>
        <v>7931.18</v>
      </c>
      <c r="C62" s="5">
        <f>262</f>
        <v>262</v>
      </c>
      <c r="D62" s="5">
        <f>0</f>
        <v>0</v>
      </c>
      <c r="E62" s="4"/>
      <c r="F62" s="5">
        <f>4500</f>
        <v>4500</v>
      </c>
      <c r="G62" s="4"/>
      <c r="H62" s="4"/>
      <c r="I62" s="4"/>
      <c r="J62" s="5">
        <f>1076</f>
        <v>1076</v>
      </c>
      <c r="K62" s="4"/>
      <c r="L62" s="4"/>
      <c r="M62" s="4"/>
      <c r="N62" s="4"/>
      <c r="O62" s="5">
        <f>10552.13</f>
        <v>10552.13</v>
      </c>
      <c r="P62" s="4"/>
      <c r="Q62" s="4"/>
      <c r="R62" s="4"/>
      <c r="S62" s="5">
        <f>-62</f>
        <v>-62</v>
      </c>
      <c r="T62" s="5">
        <f>1058.01</f>
        <v>1058.01</v>
      </c>
      <c r="U62" s="5">
        <f>8129.41</f>
        <v>8129.41</v>
      </c>
      <c r="V62" s="4"/>
      <c r="W62" s="5">
        <f>1512.42</f>
        <v>1512.42</v>
      </c>
      <c r="X62" s="4"/>
      <c r="Y62" s="4"/>
      <c r="Z62" s="5">
        <f t="shared" si="10"/>
        <v>34959.149999999994</v>
      </c>
    </row>
    <row r="63" spans="1:26" x14ac:dyDescent="0.25">
      <c r="A63" s="3" t="s">
        <v>82</v>
      </c>
      <c r="B63" s="6">
        <f t="shared" ref="B63:Y63" si="12">((((B58)+(B59))+(B60))+(B61))+(B62)</f>
        <v>11813.380000000001</v>
      </c>
      <c r="C63" s="6">
        <f t="shared" si="12"/>
        <v>1621.18</v>
      </c>
      <c r="D63" s="6">
        <f t="shared" si="12"/>
        <v>0</v>
      </c>
      <c r="E63" s="6">
        <f t="shared" si="12"/>
        <v>0</v>
      </c>
      <c r="F63" s="6">
        <f t="shared" si="12"/>
        <v>4552.51</v>
      </c>
      <c r="G63" s="6">
        <f t="shared" si="12"/>
        <v>0</v>
      </c>
      <c r="H63" s="6">
        <f t="shared" si="12"/>
        <v>0</v>
      </c>
      <c r="I63" s="6">
        <f t="shared" si="12"/>
        <v>0</v>
      </c>
      <c r="J63" s="6">
        <f t="shared" si="12"/>
        <v>1109.43</v>
      </c>
      <c r="K63" s="6">
        <f t="shared" si="12"/>
        <v>0</v>
      </c>
      <c r="L63" s="6">
        <f t="shared" si="12"/>
        <v>0</v>
      </c>
      <c r="M63" s="6">
        <f t="shared" si="12"/>
        <v>0</v>
      </c>
      <c r="N63" s="6">
        <f t="shared" si="12"/>
        <v>0</v>
      </c>
      <c r="O63" s="6">
        <f t="shared" si="12"/>
        <v>11150.56</v>
      </c>
      <c r="P63" s="6">
        <f t="shared" si="12"/>
        <v>0</v>
      </c>
      <c r="Q63" s="6">
        <f t="shared" si="12"/>
        <v>77.739999999999995</v>
      </c>
      <c r="R63" s="6">
        <f t="shared" si="12"/>
        <v>0</v>
      </c>
      <c r="S63" s="6">
        <f t="shared" si="12"/>
        <v>-62</v>
      </c>
      <c r="T63" s="6">
        <f t="shared" si="12"/>
        <v>1058.01</v>
      </c>
      <c r="U63" s="6">
        <f t="shared" si="12"/>
        <v>8887.59</v>
      </c>
      <c r="V63" s="6">
        <f t="shared" si="12"/>
        <v>0</v>
      </c>
      <c r="W63" s="6">
        <f t="shared" si="12"/>
        <v>2261.38</v>
      </c>
      <c r="X63" s="6">
        <f t="shared" si="12"/>
        <v>0</v>
      </c>
      <c r="Y63" s="6">
        <f t="shared" si="12"/>
        <v>0</v>
      </c>
      <c r="Z63" s="6">
        <f t="shared" si="10"/>
        <v>42469.779999999992</v>
      </c>
    </row>
    <row r="64" spans="1:26" x14ac:dyDescent="0.25">
      <c r="A64" s="3" t="s">
        <v>83</v>
      </c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5">
        <f t="shared" si="10"/>
        <v>0</v>
      </c>
    </row>
    <row r="65" spans="1:26" x14ac:dyDescent="0.25">
      <c r="A65" s="3" t="s">
        <v>84</v>
      </c>
      <c r="B65" s="4"/>
      <c r="C65" s="4"/>
      <c r="D65" s="4"/>
      <c r="E65" s="4"/>
      <c r="F65" s="5">
        <f>15000</f>
        <v>15000</v>
      </c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5">
        <f>11589.46</f>
        <v>11589.46</v>
      </c>
      <c r="V65" s="4"/>
      <c r="W65" s="5">
        <f>41668.65</f>
        <v>41668.65</v>
      </c>
      <c r="X65" s="4"/>
      <c r="Y65" s="4"/>
      <c r="Z65" s="5">
        <f t="shared" si="10"/>
        <v>68258.11</v>
      </c>
    </row>
    <row r="66" spans="1:26" x14ac:dyDescent="0.25">
      <c r="A66" s="3" t="s">
        <v>85</v>
      </c>
      <c r="B66" s="5">
        <f>599</f>
        <v>599</v>
      </c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5">
        <f>299</f>
        <v>299</v>
      </c>
      <c r="P66" s="4"/>
      <c r="Q66" s="4"/>
      <c r="R66" s="4"/>
      <c r="S66" s="4"/>
      <c r="T66" s="4"/>
      <c r="U66" s="5">
        <f>2100</f>
        <v>2100</v>
      </c>
      <c r="V66" s="4"/>
      <c r="W66" s="4"/>
      <c r="X66" s="4"/>
      <c r="Y66" s="4"/>
      <c r="Z66" s="5">
        <f t="shared" si="10"/>
        <v>2998</v>
      </c>
    </row>
    <row r="67" spans="1:26" x14ac:dyDescent="0.25">
      <c r="A67" s="3" t="s">
        <v>86</v>
      </c>
      <c r="B67" s="5">
        <f>10740.98</f>
        <v>10740.98</v>
      </c>
      <c r="C67" s="4"/>
      <c r="D67" s="4"/>
      <c r="E67" s="4"/>
      <c r="F67" s="5">
        <f>982.6</f>
        <v>982.6</v>
      </c>
      <c r="G67" s="4"/>
      <c r="H67" s="4"/>
      <c r="I67" s="4"/>
      <c r="J67" s="5">
        <f>3191.86</f>
        <v>3191.86</v>
      </c>
      <c r="K67" s="4"/>
      <c r="L67" s="4"/>
      <c r="M67" s="4"/>
      <c r="N67" s="4"/>
      <c r="O67" s="5">
        <f>1118.61</f>
        <v>1118.6099999999999</v>
      </c>
      <c r="P67" s="4"/>
      <c r="Q67" s="5">
        <f>15.54</f>
        <v>15.54</v>
      </c>
      <c r="R67" s="4"/>
      <c r="S67" s="5">
        <f>787.75</f>
        <v>787.75</v>
      </c>
      <c r="T67" s="5">
        <f>29.21</f>
        <v>29.21</v>
      </c>
      <c r="U67" s="5">
        <f>246.77</f>
        <v>246.77</v>
      </c>
      <c r="V67" s="4"/>
      <c r="W67" s="5">
        <f>189.54</f>
        <v>189.54</v>
      </c>
      <c r="X67" s="4"/>
      <c r="Y67" s="4"/>
      <c r="Z67" s="5">
        <f t="shared" si="10"/>
        <v>17302.860000000004</v>
      </c>
    </row>
    <row r="68" spans="1:26" x14ac:dyDescent="0.25">
      <c r="A68" s="3" t="s">
        <v>87</v>
      </c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5">
        <f>8204.06</f>
        <v>8204.06</v>
      </c>
      <c r="P68" s="4"/>
      <c r="Q68" s="4"/>
      <c r="R68" s="4"/>
      <c r="S68" s="4"/>
      <c r="T68" s="4"/>
      <c r="U68" s="4"/>
      <c r="V68" s="4"/>
      <c r="W68" s="4"/>
      <c r="X68" s="4"/>
      <c r="Y68" s="4"/>
      <c r="Z68" s="5">
        <f t="shared" si="10"/>
        <v>8204.06</v>
      </c>
    </row>
    <row r="69" spans="1:26" x14ac:dyDescent="0.25">
      <c r="A69" s="3" t="s">
        <v>88</v>
      </c>
      <c r="B69" s="5">
        <f>1261.62</f>
        <v>1261.6199999999999</v>
      </c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5">
        <f t="shared" si="10"/>
        <v>1261.6199999999999</v>
      </c>
    </row>
    <row r="70" spans="1:26" x14ac:dyDescent="0.25">
      <c r="A70" s="3" t="s">
        <v>89</v>
      </c>
      <c r="B70" s="6">
        <f t="shared" ref="B70:Y70" si="13">(((((B64)+(B65))+(B66))+(B67))+(B68))+(B69)</f>
        <v>12601.599999999999</v>
      </c>
      <c r="C70" s="6">
        <f t="shared" si="13"/>
        <v>0</v>
      </c>
      <c r="D70" s="6">
        <f t="shared" si="13"/>
        <v>0</v>
      </c>
      <c r="E70" s="6">
        <f t="shared" si="13"/>
        <v>0</v>
      </c>
      <c r="F70" s="6">
        <f t="shared" si="13"/>
        <v>15982.6</v>
      </c>
      <c r="G70" s="6">
        <f t="shared" si="13"/>
        <v>0</v>
      </c>
      <c r="H70" s="6">
        <f t="shared" si="13"/>
        <v>0</v>
      </c>
      <c r="I70" s="6">
        <f t="shared" si="13"/>
        <v>0</v>
      </c>
      <c r="J70" s="6">
        <f t="shared" si="13"/>
        <v>3191.86</v>
      </c>
      <c r="K70" s="6">
        <f t="shared" si="13"/>
        <v>0</v>
      </c>
      <c r="L70" s="6">
        <f t="shared" si="13"/>
        <v>0</v>
      </c>
      <c r="M70" s="6">
        <f t="shared" si="13"/>
        <v>0</v>
      </c>
      <c r="N70" s="6">
        <f t="shared" si="13"/>
        <v>0</v>
      </c>
      <c r="O70" s="6">
        <f t="shared" si="13"/>
        <v>9621.67</v>
      </c>
      <c r="P70" s="6">
        <f t="shared" si="13"/>
        <v>0</v>
      </c>
      <c r="Q70" s="6">
        <f t="shared" si="13"/>
        <v>15.54</v>
      </c>
      <c r="R70" s="6">
        <f t="shared" si="13"/>
        <v>0</v>
      </c>
      <c r="S70" s="6">
        <f t="shared" si="13"/>
        <v>787.75</v>
      </c>
      <c r="T70" s="6">
        <f t="shared" si="13"/>
        <v>29.21</v>
      </c>
      <c r="U70" s="6">
        <f t="shared" si="13"/>
        <v>13936.23</v>
      </c>
      <c r="V70" s="6">
        <f t="shared" si="13"/>
        <v>0</v>
      </c>
      <c r="W70" s="6">
        <f t="shared" si="13"/>
        <v>41858.19</v>
      </c>
      <c r="X70" s="6">
        <f t="shared" si="13"/>
        <v>0</v>
      </c>
      <c r="Y70" s="6">
        <f t="shared" si="13"/>
        <v>0</v>
      </c>
      <c r="Z70" s="6">
        <f t="shared" si="10"/>
        <v>98024.65</v>
      </c>
    </row>
    <row r="71" spans="1:26" x14ac:dyDescent="0.25">
      <c r="A71" s="3" t="s">
        <v>90</v>
      </c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5">
        <f t="shared" si="10"/>
        <v>0</v>
      </c>
    </row>
    <row r="72" spans="1:26" x14ac:dyDescent="0.25">
      <c r="A72" s="3" t="s">
        <v>91</v>
      </c>
      <c r="B72" s="5">
        <f>274</f>
        <v>274</v>
      </c>
      <c r="C72" s="4"/>
      <c r="D72" s="4"/>
      <c r="E72" s="4"/>
      <c r="F72" s="4"/>
      <c r="G72" s="5">
        <f>500</f>
        <v>500</v>
      </c>
      <c r="H72" s="4"/>
      <c r="I72" s="4"/>
      <c r="J72" s="4"/>
      <c r="K72" s="4"/>
      <c r="L72" s="4"/>
      <c r="M72" s="4"/>
      <c r="N72" s="4"/>
      <c r="O72" s="5">
        <f>1965</f>
        <v>1965</v>
      </c>
      <c r="P72" s="4"/>
      <c r="Q72" s="4"/>
      <c r="R72" s="4"/>
      <c r="S72" s="4"/>
      <c r="T72" s="4"/>
      <c r="U72" s="4"/>
      <c r="V72" s="4"/>
      <c r="W72" s="5">
        <f>190</f>
        <v>190</v>
      </c>
      <c r="X72" s="4"/>
      <c r="Y72" s="4"/>
      <c r="Z72" s="5">
        <f t="shared" si="10"/>
        <v>2929</v>
      </c>
    </row>
    <row r="73" spans="1:26" x14ac:dyDescent="0.25">
      <c r="A73" s="3" t="s">
        <v>92</v>
      </c>
      <c r="B73" s="4"/>
      <c r="C73" s="5">
        <f>14273.42</f>
        <v>14273.42</v>
      </c>
      <c r="D73" s="4"/>
      <c r="E73" s="5">
        <f>807.35</f>
        <v>807.35</v>
      </c>
      <c r="F73" s="4"/>
      <c r="G73" s="5">
        <f>50</f>
        <v>50</v>
      </c>
      <c r="H73" s="5">
        <f>579.19</f>
        <v>579.19000000000005</v>
      </c>
      <c r="I73" s="5">
        <f>8079.44</f>
        <v>8079.44</v>
      </c>
      <c r="J73" s="5">
        <f>4695.78</f>
        <v>4695.78</v>
      </c>
      <c r="K73" s="5">
        <f>689.23</f>
        <v>689.23</v>
      </c>
      <c r="L73" s="5">
        <f>2186</f>
        <v>2186</v>
      </c>
      <c r="M73" s="5">
        <f>1204.36</f>
        <v>1204.3599999999999</v>
      </c>
      <c r="N73" s="5">
        <f>768.24</f>
        <v>768.24</v>
      </c>
      <c r="O73" s="5">
        <f>1975.08</f>
        <v>1975.08</v>
      </c>
      <c r="P73" s="5">
        <f>7639.63</f>
        <v>7639.63</v>
      </c>
      <c r="Q73" s="5">
        <f>3143.48</f>
        <v>3143.48</v>
      </c>
      <c r="R73" s="5">
        <f>0</f>
        <v>0</v>
      </c>
      <c r="S73" s="5">
        <f>15.19</f>
        <v>15.19</v>
      </c>
      <c r="T73" s="5">
        <f>21.74</f>
        <v>21.74</v>
      </c>
      <c r="U73" s="5">
        <f>11513.22</f>
        <v>11513.22</v>
      </c>
      <c r="V73" s="5">
        <f>5692.67</f>
        <v>5692.67</v>
      </c>
      <c r="W73" s="5">
        <f>15554.2</f>
        <v>15554.2</v>
      </c>
      <c r="X73" s="5">
        <f>680.62</f>
        <v>680.62</v>
      </c>
      <c r="Y73" s="5">
        <f>2395.68</f>
        <v>2395.6799999999998</v>
      </c>
      <c r="Z73" s="5">
        <f t="shared" si="10"/>
        <v>81964.51999999999</v>
      </c>
    </row>
    <row r="74" spans="1:26" x14ac:dyDescent="0.25">
      <c r="A74" s="3" t="s">
        <v>93</v>
      </c>
      <c r="B74" s="6">
        <f t="shared" ref="B74:Y74" si="14">((B71)+(B72))+(B73)</f>
        <v>274</v>
      </c>
      <c r="C74" s="6">
        <f t="shared" si="14"/>
        <v>14273.42</v>
      </c>
      <c r="D74" s="6">
        <f t="shared" si="14"/>
        <v>0</v>
      </c>
      <c r="E74" s="6">
        <f t="shared" si="14"/>
        <v>807.35</v>
      </c>
      <c r="F74" s="6">
        <f t="shared" si="14"/>
        <v>0</v>
      </c>
      <c r="G74" s="6">
        <f t="shared" si="14"/>
        <v>550</v>
      </c>
      <c r="H74" s="6">
        <f t="shared" si="14"/>
        <v>579.19000000000005</v>
      </c>
      <c r="I74" s="6">
        <f t="shared" si="14"/>
        <v>8079.44</v>
      </c>
      <c r="J74" s="6">
        <f t="shared" si="14"/>
        <v>4695.78</v>
      </c>
      <c r="K74" s="6">
        <f t="shared" si="14"/>
        <v>689.23</v>
      </c>
      <c r="L74" s="6">
        <f t="shared" si="14"/>
        <v>2186</v>
      </c>
      <c r="M74" s="6">
        <f t="shared" si="14"/>
        <v>1204.3599999999999</v>
      </c>
      <c r="N74" s="6">
        <f t="shared" si="14"/>
        <v>768.24</v>
      </c>
      <c r="O74" s="6">
        <f t="shared" si="14"/>
        <v>3940.08</v>
      </c>
      <c r="P74" s="6">
        <f t="shared" si="14"/>
        <v>7639.63</v>
      </c>
      <c r="Q74" s="6">
        <f t="shared" si="14"/>
        <v>3143.48</v>
      </c>
      <c r="R74" s="6">
        <f t="shared" si="14"/>
        <v>0</v>
      </c>
      <c r="S74" s="6">
        <f t="shared" si="14"/>
        <v>15.19</v>
      </c>
      <c r="T74" s="6">
        <f t="shared" si="14"/>
        <v>21.74</v>
      </c>
      <c r="U74" s="6">
        <f t="shared" si="14"/>
        <v>11513.22</v>
      </c>
      <c r="V74" s="6">
        <f t="shared" si="14"/>
        <v>5692.67</v>
      </c>
      <c r="W74" s="6">
        <f t="shared" si="14"/>
        <v>15744.2</v>
      </c>
      <c r="X74" s="6">
        <f t="shared" si="14"/>
        <v>680.62</v>
      </c>
      <c r="Y74" s="6">
        <f t="shared" si="14"/>
        <v>2395.6799999999998</v>
      </c>
      <c r="Z74" s="6">
        <f t="shared" si="10"/>
        <v>84893.51999999999</v>
      </c>
    </row>
    <row r="75" spans="1:26" x14ac:dyDescent="0.25">
      <c r="A75" s="3" t="s">
        <v>94</v>
      </c>
      <c r="B75" s="6">
        <f t="shared" ref="B75:Y75" si="15">((((((((B27)+(B39))+(B45))+(B46))+(B53))+(B57))+(B63))+(B70))+(B74)</f>
        <v>245337.2</v>
      </c>
      <c r="C75" s="6">
        <f t="shared" si="15"/>
        <v>157007.66</v>
      </c>
      <c r="D75" s="6">
        <f t="shared" si="15"/>
        <v>0</v>
      </c>
      <c r="E75" s="6">
        <f t="shared" si="15"/>
        <v>10899.17</v>
      </c>
      <c r="F75" s="6">
        <f t="shared" si="15"/>
        <v>93735.11</v>
      </c>
      <c r="G75" s="6">
        <f t="shared" si="15"/>
        <v>550</v>
      </c>
      <c r="H75" s="6">
        <f t="shared" si="15"/>
        <v>6371.1</v>
      </c>
      <c r="I75" s="6">
        <f t="shared" si="15"/>
        <v>88873.87000000001</v>
      </c>
      <c r="J75" s="6">
        <f t="shared" si="15"/>
        <v>40541.46</v>
      </c>
      <c r="K75" s="6">
        <f t="shared" si="15"/>
        <v>6432.8099999999995</v>
      </c>
      <c r="L75" s="6">
        <f t="shared" si="15"/>
        <v>20402.68</v>
      </c>
      <c r="M75" s="6">
        <f t="shared" si="15"/>
        <v>13247.93</v>
      </c>
      <c r="N75" s="6">
        <f t="shared" si="15"/>
        <v>10371.18</v>
      </c>
      <c r="O75" s="6">
        <f t="shared" si="15"/>
        <v>26663.54</v>
      </c>
      <c r="P75" s="6">
        <f t="shared" si="15"/>
        <v>71303.179999999993</v>
      </c>
      <c r="Q75" s="6">
        <f t="shared" si="15"/>
        <v>25596.880000000001</v>
      </c>
      <c r="R75" s="6">
        <f t="shared" si="15"/>
        <v>0</v>
      </c>
      <c r="S75" s="6">
        <f t="shared" si="15"/>
        <v>740.94</v>
      </c>
      <c r="T75" s="6">
        <f t="shared" si="15"/>
        <v>1108.96</v>
      </c>
      <c r="U75" s="6">
        <f t="shared" si="15"/>
        <v>93750.49</v>
      </c>
      <c r="V75" s="6">
        <f t="shared" si="15"/>
        <v>53131.56</v>
      </c>
      <c r="W75" s="6">
        <f t="shared" si="15"/>
        <v>126655.66</v>
      </c>
      <c r="X75" s="6">
        <f t="shared" si="15"/>
        <v>7486.86</v>
      </c>
      <c r="Y75" s="6">
        <f t="shared" si="15"/>
        <v>22359.71</v>
      </c>
      <c r="Z75" s="6">
        <f t="shared" si="10"/>
        <v>1122567.95</v>
      </c>
    </row>
    <row r="76" spans="1:26" x14ac:dyDescent="0.25">
      <c r="A76" s="3" t="s">
        <v>95</v>
      </c>
      <c r="B76" s="6">
        <f t="shared" ref="B76:Y76" si="16">(B22)-(B75)</f>
        <v>189598.28000000003</v>
      </c>
      <c r="C76" s="6">
        <f t="shared" si="16"/>
        <v>-156912.42000000001</v>
      </c>
      <c r="D76" s="6">
        <f t="shared" si="16"/>
        <v>0</v>
      </c>
      <c r="E76" s="6">
        <f t="shared" si="16"/>
        <v>-10899.17</v>
      </c>
      <c r="F76" s="6">
        <f t="shared" si="16"/>
        <v>-92127.28</v>
      </c>
      <c r="G76" s="6">
        <f t="shared" si="16"/>
        <v>-550</v>
      </c>
      <c r="H76" s="6">
        <f t="shared" si="16"/>
        <v>-6371.1</v>
      </c>
      <c r="I76" s="6">
        <f t="shared" si="16"/>
        <v>0</v>
      </c>
      <c r="J76" s="6">
        <f t="shared" si="16"/>
        <v>-40541.46</v>
      </c>
      <c r="K76" s="6">
        <f t="shared" si="16"/>
        <v>-6432.8099999999995</v>
      </c>
      <c r="L76" s="6">
        <f t="shared" si="16"/>
        <v>0</v>
      </c>
      <c r="M76" s="6">
        <f t="shared" si="16"/>
        <v>0</v>
      </c>
      <c r="N76" s="6">
        <f t="shared" si="16"/>
        <v>-10371.18</v>
      </c>
      <c r="O76" s="6">
        <f t="shared" si="16"/>
        <v>0</v>
      </c>
      <c r="P76" s="6">
        <f t="shared" si="16"/>
        <v>0</v>
      </c>
      <c r="Q76" s="6">
        <f t="shared" si="16"/>
        <v>-25596.880000000001</v>
      </c>
      <c r="R76" s="6">
        <f t="shared" si="16"/>
        <v>0</v>
      </c>
      <c r="S76" s="6">
        <f t="shared" si="16"/>
        <v>0</v>
      </c>
      <c r="T76" s="6">
        <f t="shared" si="16"/>
        <v>0</v>
      </c>
      <c r="U76" s="6">
        <f t="shared" si="16"/>
        <v>-93750.49</v>
      </c>
      <c r="V76" s="6">
        <f t="shared" si="16"/>
        <v>-53131.56</v>
      </c>
      <c r="W76" s="6">
        <f t="shared" si="16"/>
        <v>-126655.66</v>
      </c>
      <c r="X76" s="6">
        <f t="shared" si="16"/>
        <v>-7486.86</v>
      </c>
      <c r="Y76" s="6">
        <f t="shared" si="16"/>
        <v>0</v>
      </c>
      <c r="Z76" s="6">
        <f t="shared" si="10"/>
        <v>-441228.58999999997</v>
      </c>
    </row>
    <row r="77" spans="1:26" x14ac:dyDescent="0.25">
      <c r="A77" s="3" t="s">
        <v>96</v>
      </c>
      <c r="B77" s="7">
        <f t="shared" ref="B77:Y77" si="17">(B76)+(0)</f>
        <v>189598.28000000003</v>
      </c>
      <c r="C77" s="7">
        <f t="shared" si="17"/>
        <v>-156912.42000000001</v>
      </c>
      <c r="D77" s="7">
        <f t="shared" si="17"/>
        <v>0</v>
      </c>
      <c r="E77" s="7">
        <f t="shared" si="17"/>
        <v>-10899.17</v>
      </c>
      <c r="F77" s="7">
        <f t="shared" si="17"/>
        <v>-92127.28</v>
      </c>
      <c r="G77" s="7">
        <f t="shared" si="17"/>
        <v>-550</v>
      </c>
      <c r="H77" s="7">
        <f t="shared" si="17"/>
        <v>-6371.1</v>
      </c>
      <c r="I77" s="7">
        <f t="shared" si="17"/>
        <v>0</v>
      </c>
      <c r="J77" s="7">
        <f t="shared" si="17"/>
        <v>-40541.46</v>
      </c>
      <c r="K77" s="7">
        <f t="shared" si="17"/>
        <v>-6432.8099999999995</v>
      </c>
      <c r="L77" s="7">
        <f t="shared" si="17"/>
        <v>0</v>
      </c>
      <c r="M77" s="7">
        <f t="shared" si="17"/>
        <v>0</v>
      </c>
      <c r="N77" s="7">
        <f t="shared" si="17"/>
        <v>-10371.18</v>
      </c>
      <c r="O77" s="7">
        <f t="shared" si="17"/>
        <v>0</v>
      </c>
      <c r="P77" s="7">
        <f t="shared" si="17"/>
        <v>0</v>
      </c>
      <c r="Q77" s="7">
        <f t="shared" si="17"/>
        <v>-25596.880000000001</v>
      </c>
      <c r="R77" s="7">
        <f t="shared" si="17"/>
        <v>0</v>
      </c>
      <c r="S77" s="7">
        <f t="shared" si="17"/>
        <v>0</v>
      </c>
      <c r="T77" s="7">
        <f t="shared" si="17"/>
        <v>0</v>
      </c>
      <c r="U77" s="7">
        <f t="shared" si="17"/>
        <v>-93750.49</v>
      </c>
      <c r="V77" s="7">
        <f t="shared" si="17"/>
        <v>-53131.56</v>
      </c>
      <c r="W77" s="7">
        <f t="shared" si="17"/>
        <v>-126655.66</v>
      </c>
      <c r="X77" s="7">
        <f t="shared" si="17"/>
        <v>-7486.86</v>
      </c>
      <c r="Y77" s="7">
        <f t="shared" si="17"/>
        <v>0</v>
      </c>
      <c r="Z77" s="7">
        <f t="shared" si="10"/>
        <v>-441228.58999999997</v>
      </c>
    </row>
    <row r="78" spans="1:26" x14ac:dyDescent="0.25">
      <c r="A78" s="3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81" spans="1:26" x14ac:dyDescent="0.25">
      <c r="A81" s="8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</row>
  </sheetData>
  <sheetProtection algorithmName="SHA-512" hashValue="LhvKG5XkqziWIedObmQ2oygbw5Hrrf1aH7o/5LdW+xHy5Yl5c5pWvBdq4Hs7uj1fdtl3ix6Ck8sBO6YBZKbp1A==" saltValue="alQxIkzKAj8HamCmp51FJA==" spinCount="100000" sheet="1" objects="1" scenarios="1"/>
  <mergeCells count="4">
    <mergeCell ref="A81:Z81"/>
    <mergeCell ref="A1:Z1"/>
    <mergeCell ref="A2:Z2"/>
    <mergeCell ref="A3:Z3"/>
  </mergeCells>
  <printOptions gridLines="1"/>
  <pageMargins left="0.7" right="0.7" top="0.75" bottom="0.75" header="0.3" footer="0.3"/>
  <pageSetup paperSize="5" scale="5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Profit and Loss by Class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Angie Perkins</cp:lastModifiedBy>
  <cp:lastPrinted>2025-08-08T15:44:38Z</cp:lastPrinted>
  <dcterms:created xsi:type="dcterms:W3CDTF">2025-08-08T15:44:02Z</dcterms:created>
  <dcterms:modified xsi:type="dcterms:W3CDTF">2025-08-08T15:46:33Z</dcterms:modified>
</cp:coreProperties>
</file>