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ie.perkins_nkces\Documents\Board Meetings\2025-26\August 2025\"/>
    </mc:Choice>
  </mc:AlternateContent>
  <xr:revisionPtr revIDLastSave="0" documentId="13_ncr:1_{D1B8BAB1-AB32-4A61-8448-2CFE99EBBC55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Profit and Loss by Class" sheetId="1" r:id="rId1"/>
  </sheets>
  <calcPr calcId="191029"/>
</workbook>
</file>

<file path=xl/calcChain.xml><?xml version="1.0" encoding="utf-8"?>
<calcChain xmlns="http://schemas.openxmlformats.org/spreadsheetml/2006/main">
  <c r="AI94" i="1" l="1"/>
  <c r="AH94" i="1"/>
  <c r="AF94" i="1"/>
  <c r="Z94" i="1"/>
  <c r="X94" i="1"/>
  <c r="V94" i="1"/>
  <c r="R94" i="1"/>
  <c r="P94" i="1"/>
  <c r="N94" i="1"/>
  <c r="K94" i="1"/>
  <c r="D94" i="1"/>
  <c r="C94" i="1"/>
  <c r="AG93" i="1"/>
  <c r="AG94" i="1" s="1"/>
  <c r="AF93" i="1"/>
  <c r="AE93" i="1"/>
  <c r="AE94" i="1" s="1"/>
  <c r="AD93" i="1"/>
  <c r="AC93" i="1"/>
  <c r="AC94" i="1" s="1"/>
  <c r="AB93" i="1"/>
  <c r="AB94" i="1" s="1"/>
  <c r="AA93" i="1"/>
  <c r="AA94" i="1" s="1"/>
  <c r="Z93" i="1"/>
  <c r="Y93" i="1"/>
  <c r="Y94" i="1" s="1"/>
  <c r="X93" i="1"/>
  <c r="W93" i="1"/>
  <c r="W94" i="1" s="1"/>
  <c r="V93" i="1"/>
  <c r="U93" i="1"/>
  <c r="T93" i="1"/>
  <c r="T94" i="1" s="1"/>
  <c r="S93" i="1"/>
  <c r="S94" i="1" s="1"/>
  <c r="R93" i="1"/>
  <c r="Q93" i="1"/>
  <c r="Q94" i="1" s="1"/>
  <c r="P93" i="1"/>
  <c r="O93" i="1"/>
  <c r="N93" i="1"/>
  <c r="M93" i="1"/>
  <c r="M94" i="1" s="1"/>
  <c r="L93" i="1"/>
  <c r="L94" i="1" s="1"/>
  <c r="J93" i="1"/>
  <c r="J94" i="1" s="1"/>
  <c r="I93" i="1"/>
  <c r="H93" i="1"/>
  <c r="H94" i="1" s="1"/>
  <c r="G93" i="1"/>
  <c r="G94" i="1" s="1"/>
  <c r="F93" i="1"/>
  <c r="F94" i="1" s="1"/>
  <c r="E93" i="1"/>
  <c r="E94" i="1" s="1"/>
  <c r="I92" i="1"/>
  <c r="AJ92" i="1" s="1"/>
  <c r="AJ91" i="1"/>
  <c r="F91" i="1"/>
  <c r="AF90" i="1"/>
  <c r="AD90" i="1"/>
  <c r="AD94" i="1" s="1"/>
  <c r="W90" i="1"/>
  <c r="V90" i="1"/>
  <c r="U90" i="1"/>
  <c r="U94" i="1" s="1"/>
  <c r="O90" i="1"/>
  <c r="O94" i="1" s="1"/>
  <c r="K90" i="1"/>
  <c r="I90" i="1"/>
  <c r="I94" i="1" s="1"/>
  <c r="F90" i="1"/>
  <c r="B90" i="1"/>
  <c r="B94" i="1" s="1"/>
  <c r="AJ89" i="1"/>
  <c r="B88" i="1"/>
  <c r="AJ88" i="1" s="1"/>
  <c r="AE87" i="1"/>
  <c r="AB87" i="1"/>
  <c r="Z87" i="1"/>
  <c r="X87" i="1"/>
  <c r="T87" i="1"/>
  <c r="S87" i="1"/>
  <c r="Q87" i="1"/>
  <c r="P87" i="1"/>
  <c r="M87" i="1"/>
  <c r="J87" i="1"/>
  <c r="H87" i="1"/>
  <c r="E87" i="1"/>
  <c r="D87" i="1"/>
  <c r="C87" i="1"/>
  <c r="B86" i="1"/>
  <c r="AJ86" i="1" s="1"/>
  <c r="AF85" i="1"/>
  <c r="AD85" i="1"/>
  <c r="AA85" i="1"/>
  <c r="Y85" i="1"/>
  <c r="X85" i="1"/>
  <c r="V85" i="1"/>
  <c r="U85" i="1"/>
  <c r="T85" i="1"/>
  <c r="O85" i="1"/>
  <c r="L85" i="1"/>
  <c r="K85" i="1"/>
  <c r="B85" i="1"/>
  <c r="AJ85" i="1" s="1"/>
  <c r="AI84" i="1"/>
  <c r="AI87" i="1" s="1"/>
  <c r="AF84" i="1"/>
  <c r="AF87" i="1" s="1"/>
  <c r="AD84" i="1"/>
  <c r="Z84" i="1"/>
  <c r="Y84" i="1"/>
  <c r="X84" i="1"/>
  <c r="W84" i="1"/>
  <c r="V84" i="1"/>
  <c r="U84" i="1"/>
  <c r="R84" i="1"/>
  <c r="R87" i="1" s="1"/>
  <c r="O84" i="1"/>
  <c r="L84" i="1"/>
  <c r="K84" i="1"/>
  <c r="I84" i="1"/>
  <c r="I87" i="1" s="1"/>
  <c r="G84" i="1"/>
  <c r="F84" i="1"/>
  <c r="E84" i="1"/>
  <c r="B84" i="1"/>
  <c r="AJ84" i="1" s="1"/>
  <c r="AF83" i="1"/>
  <c r="AD83" i="1"/>
  <c r="AA83" i="1"/>
  <c r="AA87" i="1" s="1"/>
  <c r="Y83" i="1"/>
  <c r="W83" i="1"/>
  <c r="V83" i="1"/>
  <c r="U83" i="1"/>
  <c r="U87" i="1" s="1"/>
  <c r="O83" i="1"/>
  <c r="L83" i="1"/>
  <c r="K83" i="1"/>
  <c r="G83" i="1"/>
  <c r="G87" i="1" s="1"/>
  <c r="F83" i="1"/>
  <c r="B83" i="1"/>
  <c r="AJ83" i="1" s="1"/>
  <c r="AH82" i="1"/>
  <c r="AH87" i="1" s="1"/>
  <c r="AG82" i="1"/>
  <c r="AG87" i="1" s="1"/>
  <c r="AF82" i="1"/>
  <c r="AD82" i="1"/>
  <c r="AD87" i="1" s="1"/>
  <c r="AC82" i="1"/>
  <c r="AC87" i="1" s="1"/>
  <c r="Y82" i="1"/>
  <c r="Y87" i="1" s="1"/>
  <c r="X82" i="1"/>
  <c r="W82" i="1"/>
  <c r="W87" i="1" s="1"/>
  <c r="V82" i="1"/>
  <c r="V87" i="1" s="1"/>
  <c r="U82" i="1"/>
  <c r="T82" i="1"/>
  <c r="R82" i="1"/>
  <c r="O82" i="1"/>
  <c r="O87" i="1" s="1"/>
  <c r="N82" i="1"/>
  <c r="N87" i="1" s="1"/>
  <c r="L82" i="1"/>
  <c r="L87" i="1" s="1"/>
  <c r="K82" i="1"/>
  <c r="K87" i="1" s="1"/>
  <c r="F82" i="1"/>
  <c r="F87" i="1" s="1"/>
  <c r="E82" i="1"/>
  <c r="B82" i="1"/>
  <c r="AJ82" i="1" s="1"/>
  <c r="AJ81" i="1"/>
  <c r="AI80" i="1"/>
  <c r="AH80" i="1"/>
  <c r="AF80" i="1"/>
  <c r="AE80" i="1"/>
  <c r="AC80" i="1"/>
  <c r="AB80" i="1"/>
  <c r="Z80" i="1"/>
  <c r="X80" i="1"/>
  <c r="S80" i="1"/>
  <c r="R80" i="1"/>
  <c r="Q80" i="1"/>
  <c r="P80" i="1"/>
  <c r="N80" i="1"/>
  <c r="M80" i="1"/>
  <c r="L80" i="1"/>
  <c r="J80" i="1"/>
  <c r="H80" i="1"/>
  <c r="F79" i="1"/>
  <c r="AJ79" i="1" s="1"/>
  <c r="AG78" i="1"/>
  <c r="AG80" i="1" s="1"/>
  <c r="AF78" i="1"/>
  <c r="AD78" i="1"/>
  <c r="AB78" i="1"/>
  <c r="AA78" i="1"/>
  <c r="Z78" i="1"/>
  <c r="Y78" i="1"/>
  <c r="X78" i="1"/>
  <c r="W78" i="1"/>
  <c r="V78" i="1"/>
  <c r="U78" i="1"/>
  <c r="T78" i="1"/>
  <c r="O78" i="1"/>
  <c r="L78" i="1"/>
  <c r="K78" i="1"/>
  <c r="I78" i="1"/>
  <c r="H78" i="1"/>
  <c r="G78" i="1"/>
  <c r="G80" i="1" s="1"/>
  <c r="F78" i="1"/>
  <c r="E78" i="1"/>
  <c r="D78" i="1"/>
  <c r="D80" i="1" s="1"/>
  <c r="C78" i="1"/>
  <c r="C80" i="1" s="1"/>
  <c r="B78" i="1"/>
  <c r="AJ78" i="1" s="1"/>
  <c r="AF77" i="1"/>
  <c r="AA77" i="1"/>
  <c r="AA80" i="1" s="1"/>
  <c r="X77" i="1"/>
  <c r="L77" i="1"/>
  <c r="K77" i="1"/>
  <c r="K80" i="1" s="1"/>
  <c r="I77" i="1"/>
  <c r="I80" i="1" s="1"/>
  <c r="F77" i="1"/>
  <c r="E77" i="1"/>
  <c r="B77" i="1"/>
  <c r="AJ77" i="1" s="1"/>
  <c r="AF76" i="1"/>
  <c r="AD76" i="1"/>
  <c r="Y76" i="1"/>
  <c r="W76" i="1"/>
  <c r="V76" i="1"/>
  <c r="U76" i="1"/>
  <c r="F76" i="1"/>
  <c r="E76" i="1"/>
  <c r="E80" i="1" s="1"/>
  <c r="B76" i="1"/>
  <c r="AJ76" i="1" s="1"/>
  <c r="AF75" i="1"/>
  <c r="AD75" i="1"/>
  <c r="AD80" i="1" s="1"/>
  <c r="Y75" i="1"/>
  <c r="W75" i="1"/>
  <c r="W80" i="1" s="1"/>
  <c r="V75" i="1"/>
  <c r="U75" i="1"/>
  <c r="T75" i="1"/>
  <c r="T80" i="1" s="1"/>
  <c r="O75" i="1"/>
  <c r="F75" i="1"/>
  <c r="E75" i="1"/>
  <c r="B75" i="1"/>
  <c r="AJ75" i="1" s="1"/>
  <c r="AF74" i="1"/>
  <c r="Y74" i="1"/>
  <c r="Y80" i="1" s="1"/>
  <c r="V74" i="1"/>
  <c r="U74" i="1"/>
  <c r="O74" i="1"/>
  <c r="O80" i="1" s="1"/>
  <c r="F74" i="1"/>
  <c r="B74" i="1"/>
  <c r="AJ74" i="1" s="1"/>
  <c r="V73" i="1"/>
  <c r="V80" i="1" s="1"/>
  <c r="U73" i="1"/>
  <c r="U80" i="1" s="1"/>
  <c r="F73" i="1"/>
  <c r="F80" i="1" s="1"/>
  <c r="B73" i="1"/>
  <c r="AJ73" i="1" s="1"/>
  <c r="AJ72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E71" i="1"/>
  <c r="D71" i="1"/>
  <c r="C71" i="1"/>
  <c r="B70" i="1"/>
  <c r="AJ70" i="1" s="1"/>
  <c r="O69" i="1"/>
  <c r="F69" i="1"/>
  <c r="AJ69" i="1" s="1"/>
  <c r="B69" i="1"/>
  <c r="AJ68" i="1"/>
  <c r="F68" i="1"/>
  <c r="F71" i="1" s="1"/>
  <c r="B68" i="1"/>
  <c r="B71" i="1" s="1"/>
  <c r="AJ71" i="1" s="1"/>
  <c r="AJ67" i="1"/>
  <c r="AI66" i="1"/>
  <c r="AH66" i="1"/>
  <c r="AG66" i="1"/>
  <c r="AF66" i="1"/>
  <c r="AE66" i="1"/>
  <c r="AC66" i="1"/>
  <c r="AB66" i="1"/>
  <c r="AA66" i="1"/>
  <c r="Z66" i="1"/>
  <c r="X66" i="1"/>
  <c r="U66" i="1"/>
  <c r="S66" i="1"/>
  <c r="R66" i="1"/>
  <c r="Q66" i="1"/>
  <c r="P66" i="1"/>
  <c r="N66" i="1"/>
  <c r="M66" i="1"/>
  <c r="L66" i="1"/>
  <c r="J66" i="1"/>
  <c r="H66" i="1"/>
  <c r="G66" i="1"/>
  <c r="C66" i="1"/>
  <c r="AD65" i="1"/>
  <c r="F65" i="1"/>
  <c r="B65" i="1"/>
  <c r="AJ65" i="1" s="1"/>
  <c r="AJ64" i="1"/>
  <c r="AF64" i="1"/>
  <c r="B64" i="1"/>
  <c r="AF63" i="1"/>
  <c r="AD63" i="1"/>
  <c r="AD66" i="1" s="1"/>
  <c r="Z63" i="1"/>
  <c r="Y63" i="1"/>
  <c r="Y66" i="1" s="1"/>
  <c r="W63" i="1"/>
  <c r="W66" i="1" s="1"/>
  <c r="V63" i="1"/>
  <c r="U63" i="1"/>
  <c r="T63" i="1"/>
  <c r="T66" i="1" s="1"/>
  <c r="O63" i="1"/>
  <c r="O66" i="1" s="1"/>
  <c r="K63" i="1"/>
  <c r="K66" i="1" s="1"/>
  <c r="I63" i="1"/>
  <c r="I66" i="1" s="1"/>
  <c r="F63" i="1"/>
  <c r="E63" i="1"/>
  <c r="E66" i="1" s="1"/>
  <c r="D63" i="1"/>
  <c r="D66" i="1" s="1"/>
  <c r="B63" i="1"/>
  <c r="F62" i="1"/>
  <c r="B62" i="1"/>
  <c r="AJ62" i="1" s="1"/>
  <c r="AJ61" i="1"/>
  <c r="V61" i="1"/>
  <c r="V66" i="1" s="1"/>
  <c r="AJ60" i="1"/>
  <c r="F60" i="1"/>
  <c r="B60" i="1"/>
  <c r="F59" i="1"/>
  <c r="B59" i="1"/>
  <c r="AJ59" i="1" s="1"/>
  <c r="F58" i="1"/>
  <c r="B58" i="1"/>
  <c r="AJ58" i="1" s="1"/>
  <c r="F57" i="1"/>
  <c r="F66" i="1" s="1"/>
  <c r="B57" i="1"/>
  <c r="AJ57" i="1" s="1"/>
  <c r="AJ56" i="1"/>
  <c r="AF55" i="1"/>
  <c r="AD55" i="1"/>
  <c r="Y55" i="1"/>
  <c r="X55" i="1"/>
  <c r="W55" i="1"/>
  <c r="V55" i="1"/>
  <c r="O55" i="1"/>
  <c r="K55" i="1"/>
  <c r="AJ55" i="1" s="1"/>
  <c r="I55" i="1"/>
  <c r="H55" i="1"/>
  <c r="G55" i="1"/>
  <c r="F55" i="1"/>
  <c r="E55" i="1"/>
  <c r="B55" i="1"/>
  <c r="AI54" i="1"/>
  <c r="AH54" i="1"/>
  <c r="AG54" i="1"/>
  <c r="AE54" i="1"/>
  <c r="AC54" i="1"/>
  <c r="AB54" i="1"/>
  <c r="AA54" i="1"/>
  <c r="Z54" i="1"/>
  <c r="X54" i="1"/>
  <c r="U54" i="1"/>
  <c r="S54" i="1"/>
  <c r="R54" i="1"/>
  <c r="M54" i="1"/>
  <c r="K54" i="1"/>
  <c r="J54" i="1"/>
  <c r="G54" i="1"/>
  <c r="D54" i="1"/>
  <c r="C54" i="1"/>
  <c r="C95" i="1" s="1"/>
  <c r="AF53" i="1"/>
  <c r="AD53" i="1"/>
  <c r="AA53" i="1"/>
  <c r="Y53" i="1"/>
  <c r="W53" i="1"/>
  <c r="V53" i="1"/>
  <c r="U53" i="1"/>
  <c r="T53" i="1"/>
  <c r="O53" i="1"/>
  <c r="O54" i="1" s="1"/>
  <c r="M53" i="1"/>
  <c r="I53" i="1"/>
  <c r="H53" i="1"/>
  <c r="H54" i="1" s="1"/>
  <c r="F53" i="1"/>
  <c r="E53" i="1"/>
  <c r="E54" i="1" s="1"/>
  <c r="B53" i="1"/>
  <c r="AJ53" i="1" s="1"/>
  <c r="F52" i="1"/>
  <c r="B52" i="1"/>
  <c r="AJ52" i="1" s="1"/>
  <c r="B51" i="1"/>
  <c r="AJ51" i="1" s="1"/>
  <c r="AF50" i="1"/>
  <c r="AF54" i="1" s="1"/>
  <c r="AD50" i="1"/>
  <c r="AD54" i="1" s="1"/>
  <c r="Y50" i="1"/>
  <c r="Y54" i="1" s="1"/>
  <c r="W50" i="1"/>
  <c r="W54" i="1" s="1"/>
  <c r="V50" i="1"/>
  <c r="V54" i="1" s="1"/>
  <c r="U50" i="1"/>
  <c r="T50" i="1"/>
  <c r="T54" i="1" s="1"/>
  <c r="Q50" i="1"/>
  <c r="Q54" i="1" s="1"/>
  <c r="P50" i="1"/>
  <c r="P54" i="1" s="1"/>
  <c r="N50" i="1"/>
  <c r="N54" i="1" s="1"/>
  <c r="L50" i="1"/>
  <c r="L54" i="1" s="1"/>
  <c r="K50" i="1"/>
  <c r="I50" i="1"/>
  <c r="I54" i="1" s="1"/>
  <c r="H50" i="1"/>
  <c r="F50" i="1"/>
  <c r="F54" i="1" s="1"/>
  <c r="B50" i="1"/>
  <c r="AJ50" i="1" s="1"/>
  <c r="AJ49" i="1"/>
  <c r="B49" i="1"/>
  <c r="B54" i="1" s="1"/>
  <c r="AH48" i="1"/>
  <c r="AC48" i="1"/>
  <c r="AB48" i="1"/>
  <c r="AA48" i="1"/>
  <c r="X48" i="1"/>
  <c r="V48" i="1"/>
  <c r="N48" i="1"/>
  <c r="K48" i="1"/>
  <c r="D48" i="1"/>
  <c r="C48" i="1"/>
  <c r="AG47" i="1"/>
  <c r="AF47" i="1"/>
  <c r="AE47" i="1"/>
  <c r="AD47" i="1"/>
  <c r="Z47" i="1"/>
  <c r="Y47" i="1"/>
  <c r="W47" i="1"/>
  <c r="V47" i="1"/>
  <c r="U47" i="1"/>
  <c r="R47" i="1"/>
  <c r="P47" i="1"/>
  <c r="O47" i="1"/>
  <c r="L47" i="1"/>
  <c r="H47" i="1"/>
  <c r="G47" i="1"/>
  <c r="E47" i="1"/>
  <c r="AJ47" i="1" s="1"/>
  <c r="AF46" i="1"/>
  <c r="AD46" i="1"/>
  <c r="Y46" i="1"/>
  <c r="W46" i="1"/>
  <c r="R46" i="1"/>
  <c r="Q46" i="1"/>
  <c r="O46" i="1"/>
  <c r="N46" i="1"/>
  <c r="M46" i="1"/>
  <c r="J46" i="1"/>
  <c r="AJ46" i="1" s="1"/>
  <c r="I46" i="1"/>
  <c r="G46" i="1"/>
  <c r="F46" i="1"/>
  <c r="E46" i="1"/>
  <c r="B46" i="1"/>
  <c r="AG45" i="1"/>
  <c r="AF45" i="1"/>
  <c r="AE45" i="1"/>
  <c r="AD45" i="1"/>
  <c r="W45" i="1"/>
  <c r="V45" i="1"/>
  <c r="S45" i="1"/>
  <c r="R45" i="1"/>
  <c r="Q45" i="1"/>
  <c r="P45" i="1"/>
  <c r="AJ45" i="1" s="1"/>
  <c r="O45" i="1"/>
  <c r="N45" i="1"/>
  <c r="M45" i="1"/>
  <c r="J45" i="1"/>
  <c r="I45" i="1"/>
  <c r="F45" i="1"/>
  <c r="B45" i="1"/>
  <c r="AJ44" i="1"/>
  <c r="AG44" i="1"/>
  <c r="AF44" i="1"/>
  <c r="AE44" i="1"/>
  <c r="AD44" i="1"/>
  <c r="W44" i="1"/>
  <c r="V44" i="1"/>
  <c r="U44" i="1"/>
  <c r="S44" i="1"/>
  <c r="R44" i="1"/>
  <c r="Q44" i="1"/>
  <c r="P44" i="1"/>
  <c r="O44" i="1"/>
  <c r="N44" i="1"/>
  <c r="M44" i="1"/>
  <c r="J44" i="1"/>
  <c r="I44" i="1"/>
  <c r="F44" i="1"/>
  <c r="B44" i="1"/>
  <c r="AG43" i="1"/>
  <c r="AF43" i="1"/>
  <c r="AE43" i="1"/>
  <c r="AD43" i="1"/>
  <c r="Z43" i="1"/>
  <c r="Y43" i="1"/>
  <c r="W43" i="1"/>
  <c r="V43" i="1"/>
  <c r="U43" i="1"/>
  <c r="R43" i="1"/>
  <c r="P43" i="1"/>
  <c r="P48" i="1" s="1"/>
  <c r="O43" i="1"/>
  <c r="L43" i="1"/>
  <c r="H43" i="1"/>
  <c r="G43" i="1"/>
  <c r="E43" i="1"/>
  <c r="AJ43" i="1" s="1"/>
  <c r="AF42" i="1"/>
  <c r="AE42" i="1"/>
  <c r="AD42" i="1"/>
  <c r="Y42" i="1"/>
  <c r="V42" i="1"/>
  <c r="U42" i="1"/>
  <c r="Q42" i="1"/>
  <c r="P42" i="1"/>
  <c r="O42" i="1"/>
  <c r="N42" i="1"/>
  <c r="J42" i="1"/>
  <c r="F42" i="1"/>
  <c r="AJ42" i="1" s="1"/>
  <c r="E42" i="1"/>
  <c r="B42" i="1"/>
  <c r="AI41" i="1"/>
  <c r="AG41" i="1"/>
  <c r="AF41" i="1"/>
  <c r="AD41" i="1"/>
  <c r="Z41" i="1"/>
  <c r="Y41" i="1"/>
  <c r="W41" i="1"/>
  <c r="V41" i="1"/>
  <c r="U41" i="1"/>
  <c r="T41" i="1"/>
  <c r="S41" i="1"/>
  <c r="R41" i="1"/>
  <c r="O41" i="1"/>
  <c r="N41" i="1"/>
  <c r="M41" i="1"/>
  <c r="L41" i="1"/>
  <c r="I41" i="1"/>
  <c r="H41" i="1"/>
  <c r="G41" i="1"/>
  <c r="F41" i="1"/>
  <c r="E41" i="1"/>
  <c r="AJ41" i="1" s="1"/>
  <c r="B41" i="1"/>
  <c r="AI40" i="1"/>
  <c r="AI48" i="1" s="1"/>
  <c r="AG40" i="1"/>
  <c r="AF40" i="1"/>
  <c r="AE40" i="1"/>
  <c r="AD40" i="1"/>
  <c r="Z40" i="1"/>
  <c r="Y40" i="1"/>
  <c r="W40" i="1"/>
  <c r="V40" i="1"/>
  <c r="U40" i="1"/>
  <c r="T40" i="1"/>
  <c r="T48" i="1" s="1"/>
  <c r="S40" i="1"/>
  <c r="S48" i="1" s="1"/>
  <c r="R40" i="1"/>
  <c r="Q40" i="1"/>
  <c r="P40" i="1"/>
  <c r="O40" i="1"/>
  <c r="N40" i="1"/>
  <c r="M40" i="1"/>
  <c r="M48" i="1" s="1"/>
  <c r="L40" i="1"/>
  <c r="J40" i="1"/>
  <c r="I40" i="1"/>
  <c r="I48" i="1" s="1"/>
  <c r="H40" i="1"/>
  <c r="H48" i="1" s="1"/>
  <c r="G40" i="1"/>
  <c r="F40" i="1"/>
  <c r="E40" i="1"/>
  <c r="B40" i="1"/>
  <c r="AJ40" i="1" s="1"/>
  <c r="AF39" i="1"/>
  <c r="AE39" i="1"/>
  <c r="AD39" i="1"/>
  <c r="AD48" i="1" s="1"/>
  <c r="Y39" i="1"/>
  <c r="V39" i="1"/>
  <c r="U39" i="1"/>
  <c r="Q39" i="1"/>
  <c r="Q48" i="1" s="1"/>
  <c r="P39" i="1"/>
  <c r="O39" i="1"/>
  <c r="N39" i="1"/>
  <c r="J39" i="1"/>
  <c r="J48" i="1" s="1"/>
  <c r="F39" i="1"/>
  <c r="E39" i="1"/>
  <c r="B39" i="1"/>
  <c r="AJ39" i="1" s="1"/>
  <c r="AJ38" i="1"/>
  <c r="B38" i="1"/>
  <c r="B48" i="1" s="1"/>
  <c r="AG37" i="1"/>
  <c r="AG48" i="1" s="1"/>
  <c r="AF37" i="1"/>
  <c r="AF48" i="1" s="1"/>
  <c r="AE37" i="1"/>
  <c r="AE48" i="1" s="1"/>
  <c r="AD37" i="1"/>
  <c r="Z37" i="1"/>
  <c r="Z48" i="1" s="1"/>
  <c r="Y37" i="1"/>
  <c r="Y48" i="1" s="1"/>
  <c r="W37" i="1"/>
  <c r="W48" i="1" s="1"/>
  <c r="V37" i="1"/>
  <c r="U37" i="1"/>
  <c r="U48" i="1" s="1"/>
  <c r="R37" i="1"/>
  <c r="R48" i="1" s="1"/>
  <c r="P37" i="1"/>
  <c r="O37" i="1"/>
  <c r="O48" i="1" s="1"/>
  <c r="L37" i="1"/>
  <c r="L48" i="1" s="1"/>
  <c r="H37" i="1"/>
  <c r="G37" i="1"/>
  <c r="G48" i="1" s="1"/>
  <c r="E37" i="1"/>
  <c r="E48" i="1" s="1"/>
  <c r="AJ36" i="1"/>
  <c r="AH35" i="1"/>
  <c r="AH95" i="1" s="1"/>
  <c r="AB35" i="1"/>
  <c r="AB95" i="1" s="1"/>
  <c r="AA35" i="1"/>
  <c r="Y35" i="1"/>
  <c r="X35" i="1"/>
  <c r="X95" i="1" s="1"/>
  <c r="T35" i="1"/>
  <c r="Q35" i="1"/>
  <c r="Q95" i="1" s="1"/>
  <c r="N35" i="1"/>
  <c r="N95" i="1" s="1"/>
  <c r="L35" i="1"/>
  <c r="I35" i="1"/>
  <c r="D35" i="1"/>
  <c r="D95" i="1" s="1"/>
  <c r="C35" i="1"/>
  <c r="AF34" i="1"/>
  <c r="AF35" i="1" s="1"/>
  <c r="AF95" i="1" s="1"/>
  <c r="AE34" i="1"/>
  <c r="AE35" i="1" s="1"/>
  <c r="AD34" i="1"/>
  <c r="Y34" i="1"/>
  <c r="V34" i="1"/>
  <c r="V35" i="1" s="1"/>
  <c r="U34" i="1"/>
  <c r="Q34" i="1"/>
  <c r="P34" i="1"/>
  <c r="P35" i="1" s="1"/>
  <c r="P95" i="1" s="1"/>
  <c r="O34" i="1"/>
  <c r="N34" i="1"/>
  <c r="J34" i="1"/>
  <c r="J35" i="1" s="1"/>
  <c r="J95" i="1" s="1"/>
  <c r="F34" i="1"/>
  <c r="E34" i="1"/>
  <c r="AJ34" i="1" s="1"/>
  <c r="B34" i="1"/>
  <c r="AI33" i="1"/>
  <c r="AI35" i="1" s="1"/>
  <c r="AG33" i="1"/>
  <c r="AG35" i="1" s="1"/>
  <c r="AF33" i="1"/>
  <c r="AD33" i="1"/>
  <c r="AD35" i="1" s="1"/>
  <c r="AD95" i="1" s="1"/>
  <c r="AC33" i="1"/>
  <c r="AC35" i="1" s="1"/>
  <c r="AC95" i="1" s="1"/>
  <c r="Z33" i="1"/>
  <c r="Z35" i="1" s="1"/>
  <c r="Z95" i="1" s="1"/>
  <c r="Y33" i="1"/>
  <c r="W33" i="1"/>
  <c r="W35" i="1" s="1"/>
  <c r="V33" i="1"/>
  <c r="U33" i="1"/>
  <c r="U35" i="1" s="1"/>
  <c r="T33" i="1"/>
  <c r="S33" i="1"/>
  <c r="S35" i="1" s="1"/>
  <c r="S95" i="1" s="1"/>
  <c r="R33" i="1"/>
  <c r="R35" i="1" s="1"/>
  <c r="R95" i="1" s="1"/>
  <c r="O33" i="1"/>
  <c r="O35" i="1" s="1"/>
  <c r="O95" i="1" s="1"/>
  <c r="N33" i="1"/>
  <c r="M33" i="1"/>
  <c r="M35" i="1" s="1"/>
  <c r="L33" i="1"/>
  <c r="K33" i="1"/>
  <c r="K35" i="1" s="1"/>
  <c r="K95" i="1" s="1"/>
  <c r="I33" i="1"/>
  <c r="H33" i="1"/>
  <c r="H35" i="1" s="1"/>
  <c r="H95" i="1" s="1"/>
  <c r="G33" i="1"/>
  <c r="G35" i="1" s="1"/>
  <c r="G95" i="1" s="1"/>
  <c r="F33" i="1"/>
  <c r="F35" i="1" s="1"/>
  <c r="E33" i="1"/>
  <c r="E35" i="1" s="1"/>
  <c r="B33" i="1"/>
  <c r="B35" i="1" s="1"/>
  <c r="AJ32" i="1"/>
  <c r="AI29" i="1"/>
  <c r="AI30" i="1" s="1"/>
  <c r="AA29" i="1"/>
  <c r="AA30" i="1" s="1"/>
  <c r="S29" i="1"/>
  <c r="S30" i="1" s="1"/>
  <c r="AI28" i="1"/>
  <c r="AH28" i="1"/>
  <c r="AF28" i="1"/>
  <c r="AD28" i="1"/>
  <c r="AA28" i="1"/>
  <c r="Z28" i="1"/>
  <c r="X28" i="1"/>
  <c r="S28" i="1"/>
  <c r="P28" i="1"/>
  <c r="N28" i="1"/>
  <c r="M28" i="1"/>
  <c r="L28" i="1"/>
  <c r="K28" i="1"/>
  <c r="J28" i="1"/>
  <c r="I28" i="1"/>
  <c r="H28" i="1"/>
  <c r="F28" i="1"/>
  <c r="D28" i="1"/>
  <c r="C28" i="1"/>
  <c r="B28" i="1"/>
  <c r="AG27" i="1"/>
  <c r="AG28" i="1" s="1"/>
  <c r="AF27" i="1"/>
  <c r="AE27" i="1"/>
  <c r="AE28" i="1" s="1"/>
  <c r="AD27" i="1"/>
  <c r="AC27" i="1"/>
  <c r="AC28" i="1" s="1"/>
  <c r="AC29" i="1" s="1"/>
  <c r="AC30" i="1" s="1"/>
  <c r="AC96" i="1" s="1"/>
  <c r="AC97" i="1" s="1"/>
  <c r="AB27" i="1"/>
  <c r="AB28" i="1" s="1"/>
  <c r="AA27" i="1"/>
  <c r="Z27" i="1"/>
  <c r="Y27" i="1"/>
  <c r="Y28" i="1" s="1"/>
  <c r="W27" i="1"/>
  <c r="W28" i="1" s="1"/>
  <c r="V27" i="1"/>
  <c r="V28" i="1" s="1"/>
  <c r="U27" i="1"/>
  <c r="U28" i="1" s="1"/>
  <c r="U29" i="1" s="1"/>
  <c r="U30" i="1" s="1"/>
  <c r="T27" i="1"/>
  <c r="T28" i="1" s="1"/>
  <c r="R27" i="1"/>
  <c r="R28" i="1" s="1"/>
  <c r="O27" i="1"/>
  <c r="O28" i="1" s="1"/>
  <c r="H27" i="1"/>
  <c r="G27" i="1"/>
  <c r="G28" i="1" s="1"/>
  <c r="E27" i="1"/>
  <c r="E28" i="1" s="1"/>
  <c r="E29" i="1" s="1"/>
  <c r="E30" i="1" s="1"/>
  <c r="AJ26" i="1"/>
  <c r="S26" i="1"/>
  <c r="Q26" i="1"/>
  <c r="Q28" i="1" s="1"/>
  <c r="P26" i="1"/>
  <c r="N26" i="1"/>
  <c r="AJ25" i="1"/>
  <c r="AJ24" i="1"/>
  <c r="B24" i="1"/>
  <c r="AJ23" i="1"/>
  <c r="B23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L22" i="1"/>
  <c r="K22" i="1"/>
  <c r="J22" i="1"/>
  <c r="I22" i="1"/>
  <c r="H22" i="1"/>
  <c r="G22" i="1"/>
  <c r="F22" i="1"/>
  <c r="E22" i="1"/>
  <c r="D22" i="1"/>
  <c r="C22" i="1"/>
  <c r="B22" i="1"/>
  <c r="AJ22" i="1" s="1"/>
  <c r="F21" i="1"/>
  <c r="AJ21" i="1" s="1"/>
  <c r="M20" i="1"/>
  <c r="M22" i="1" s="1"/>
  <c r="M29" i="1" s="1"/>
  <c r="M30" i="1" s="1"/>
  <c r="I20" i="1"/>
  <c r="F20" i="1"/>
  <c r="AJ20" i="1" s="1"/>
  <c r="AI19" i="1"/>
  <c r="AH19" i="1"/>
  <c r="AH29" i="1" s="1"/>
  <c r="AH30" i="1" s="1"/>
  <c r="AH96" i="1" s="1"/>
  <c r="AH97" i="1" s="1"/>
  <c r="AG19" i="1"/>
  <c r="AG29" i="1" s="1"/>
  <c r="AG30" i="1" s="1"/>
  <c r="AF19" i="1"/>
  <c r="AF29" i="1" s="1"/>
  <c r="AF30" i="1" s="1"/>
  <c r="AF96" i="1" s="1"/>
  <c r="AF97" i="1" s="1"/>
  <c r="AE19" i="1"/>
  <c r="AE29" i="1" s="1"/>
  <c r="AE30" i="1" s="1"/>
  <c r="AD19" i="1"/>
  <c r="AD29" i="1" s="1"/>
  <c r="AD30" i="1" s="1"/>
  <c r="AC19" i="1"/>
  <c r="AB19" i="1"/>
  <c r="AA19" i="1"/>
  <c r="Z19" i="1"/>
  <c r="Z29" i="1" s="1"/>
  <c r="Z30" i="1" s="1"/>
  <c r="Y19" i="1"/>
  <c r="Y29" i="1" s="1"/>
  <c r="Y30" i="1" s="1"/>
  <c r="W19" i="1"/>
  <c r="W29" i="1" s="1"/>
  <c r="W30" i="1" s="1"/>
  <c r="V19" i="1"/>
  <c r="V29" i="1" s="1"/>
  <c r="V30" i="1" s="1"/>
  <c r="U19" i="1"/>
  <c r="T19" i="1"/>
  <c r="S19" i="1"/>
  <c r="R19" i="1"/>
  <c r="Q19" i="1"/>
  <c r="P19" i="1"/>
  <c r="P29" i="1" s="1"/>
  <c r="P30" i="1" s="1"/>
  <c r="P96" i="1" s="1"/>
  <c r="P97" i="1" s="1"/>
  <c r="O19" i="1"/>
  <c r="O29" i="1" s="1"/>
  <c r="O30" i="1" s="1"/>
  <c r="N19" i="1"/>
  <c r="N29" i="1" s="1"/>
  <c r="N30" i="1" s="1"/>
  <c r="N96" i="1" s="1"/>
  <c r="N97" i="1" s="1"/>
  <c r="M19" i="1"/>
  <c r="L19" i="1"/>
  <c r="L29" i="1" s="1"/>
  <c r="L30" i="1" s="1"/>
  <c r="I19" i="1"/>
  <c r="I29" i="1" s="1"/>
  <c r="I30" i="1" s="1"/>
  <c r="H19" i="1"/>
  <c r="H29" i="1" s="1"/>
  <c r="H30" i="1" s="1"/>
  <c r="G19" i="1"/>
  <c r="G29" i="1" s="1"/>
  <c r="G30" i="1" s="1"/>
  <c r="E19" i="1"/>
  <c r="AJ18" i="1"/>
  <c r="F18" i="1"/>
  <c r="AJ17" i="1"/>
  <c r="K17" i="1"/>
  <c r="F17" i="1"/>
  <c r="C17" i="1"/>
  <c r="C19" i="1" s="1"/>
  <c r="C29" i="1" s="1"/>
  <c r="C30" i="1" s="1"/>
  <c r="B17" i="1"/>
  <c r="B16" i="1"/>
  <c r="AJ16" i="1" s="1"/>
  <c r="B15" i="1"/>
  <c r="AJ15" i="1" s="1"/>
  <c r="B14" i="1"/>
  <c r="AJ14" i="1" s="1"/>
  <c r="L13" i="1"/>
  <c r="K13" i="1"/>
  <c r="F13" i="1"/>
  <c r="AJ13" i="1" s="1"/>
  <c r="B13" i="1"/>
  <c r="AJ12" i="1"/>
  <c r="K12" i="1"/>
  <c r="F12" i="1"/>
  <c r="B12" i="1"/>
  <c r="AG11" i="1"/>
  <c r="X11" i="1"/>
  <c r="X19" i="1" s="1"/>
  <c r="X29" i="1" s="1"/>
  <c r="X30" i="1" s="1"/>
  <c r="X96" i="1" s="1"/>
  <c r="X97" i="1" s="1"/>
  <c r="J11" i="1"/>
  <c r="J19" i="1" s="1"/>
  <c r="J29" i="1" s="1"/>
  <c r="J30" i="1" s="1"/>
  <c r="D11" i="1"/>
  <c r="D19" i="1" s="1"/>
  <c r="D29" i="1" s="1"/>
  <c r="D30" i="1" s="1"/>
  <c r="D96" i="1" s="1"/>
  <c r="D97" i="1" s="1"/>
  <c r="L10" i="1"/>
  <c r="K10" i="1"/>
  <c r="K19" i="1" s="1"/>
  <c r="K29" i="1" s="1"/>
  <c r="K30" i="1" s="1"/>
  <c r="K96" i="1" s="1"/>
  <c r="K97" i="1" s="1"/>
  <c r="F10" i="1"/>
  <c r="F19" i="1" s="1"/>
  <c r="F29" i="1" s="1"/>
  <c r="F30" i="1" s="1"/>
  <c r="B9" i="1"/>
  <c r="AJ9" i="1" s="1"/>
  <c r="B8" i="1"/>
  <c r="B19" i="1" s="1"/>
  <c r="AJ7" i="1"/>
  <c r="S96" i="1" l="1"/>
  <c r="S97" i="1" s="1"/>
  <c r="G96" i="1"/>
  <c r="G97" i="1" s="1"/>
  <c r="Q29" i="1"/>
  <c r="Q30" i="1" s="1"/>
  <c r="Q96" i="1" s="1"/>
  <c r="Q97" i="1" s="1"/>
  <c r="Z96" i="1"/>
  <c r="Z97" i="1" s="1"/>
  <c r="AA95" i="1"/>
  <c r="AA96" i="1" s="1"/>
  <c r="AA97" i="1" s="1"/>
  <c r="AJ94" i="1"/>
  <c r="O96" i="1"/>
  <c r="O97" i="1" s="1"/>
  <c r="AG96" i="1"/>
  <c r="AG97" i="1" s="1"/>
  <c r="T95" i="1"/>
  <c r="H96" i="1"/>
  <c r="H97" i="1" s="1"/>
  <c r="R29" i="1"/>
  <c r="R30" i="1" s="1"/>
  <c r="R96" i="1" s="1"/>
  <c r="R97" i="1" s="1"/>
  <c r="U95" i="1"/>
  <c r="AG95" i="1"/>
  <c r="Y95" i="1"/>
  <c r="Y96" i="1" s="1"/>
  <c r="Y97" i="1" s="1"/>
  <c r="AJ54" i="1"/>
  <c r="U96" i="1"/>
  <c r="U97" i="1" s="1"/>
  <c r="AE95" i="1"/>
  <c r="C96" i="1"/>
  <c r="C97" i="1" s="1"/>
  <c r="J96" i="1"/>
  <c r="J97" i="1" s="1"/>
  <c r="AB29" i="1"/>
  <c r="AB30" i="1" s="1"/>
  <c r="AB96" i="1" s="1"/>
  <c r="AB97" i="1" s="1"/>
  <c r="AI95" i="1"/>
  <c r="AI96" i="1" s="1"/>
  <c r="AI97" i="1" s="1"/>
  <c r="AE96" i="1"/>
  <c r="AE97" i="1" s="1"/>
  <c r="L96" i="1"/>
  <c r="L97" i="1" s="1"/>
  <c r="T29" i="1"/>
  <c r="T30" i="1" s="1"/>
  <c r="AJ28" i="1"/>
  <c r="AJ35" i="1"/>
  <c r="M95" i="1"/>
  <c r="M96" i="1" s="1"/>
  <c r="M97" i="1" s="1"/>
  <c r="W95" i="1"/>
  <c r="W96" i="1" s="1"/>
  <c r="W97" i="1" s="1"/>
  <c r="I95" i="1"/>
  <c r="I96" i="1" s="1"/>
  <c r="I97" i="1" s="1"/>
  <c r="B29" i="1"/>
  <c r="AJ19" i="1"/>
  <c r="AD96" i="1"/>
  <c r="AD97" i="1" s="1"/>
  <c r="E95" i="1"/>
  <c r="E96" i="1" s="1"/>
  <c r="E97" i="1" s="1"/>
  <c r="V95" i="1"/>
  <c r="V96" i="1" s="1"/>
  <c r="V97" i="1" s="1"/>
  <c r="L95" i="1"/>
  <c r="F48" i="1"/>
  <c r="F95" i="1" s="1"/>
  <c r="F96" i="1" s="1"/>
  <c r="F97" i="1" s="1"/>
  <c r="AJ8" i="1"/>
  <c r="AJ63" i="1"/>
  <c r="B66" i="1"/>
  <c r="AJ66" i="1" s="1"/>
  <c r="B80" i="1"/>
  <c r="AJ80" i="1" s="1"/>
  <c r="B87" i="1"/>
  <c r="AJ87" i="1" s="1"/>
  <c r="AJ90" i="1"/>
  <c r="AJ37" i="1"/>
  <c r="AJ27" i="1"/>
  <c r="AJ93" i="1"/>
  <c r="AJ11" i="1"/>
  <c r="AJ33" i="1"/>
  <c r="AJ10" i="1"/>
  <c r="AJ48" i="1" l="1"/>
  <c r="B95" i="1"/>
  <c r="AJ95" i="1" s="1"/>
  <c r="T96" i="1"/>
  <c r="T97" i="1" s="1"/>
  <c r="B30" i="1"/>
  <c r="AJ29" i="1"/>
  <c r="AJ30" i="1" l="1"/>
  <c r="B96" i="1"/>
  <c r="B97" i="1" l="1"/>
  <c r="AJ97" i="1" s="1"/>
  <c r="AJ96" i="1"/>
</calcChain>
</file>

<file path=xl/sharedStrings.xml><?xml version="1.0" encoding="utf-8"?>
<sst xmlns="http://schemas.openxmlformats.org/spreadsheetml/2006/main" count="130" uniqueCount="130">
  <si>
    <t>0010 - Operations</t>
  </si>
  <si>
    <t>0025 - Staff Account</t>
  </si>
  <si>
    <t>0060 - WHS Crusade for Children</t>
  </si>
  <si>
    <t>0065 - CRRSA</t>
  </si>
  <si>
    <t>1100 - RSP</t>
  </si>
  <si>
    <t>1135 - DEI Grant</t>
  </si>
  <si>
    <t>1260- Positive Action</t>
  </si>
  <si>
    <t>1310 - EL Local</t>
  </si>
  <si>
    <t>1415 - NKU Regional Consultant</t>
  </si>
  <si>
    <t>1509 - Professional Development</t>
  </si>
  <si>
    <t>1550 - Special Ed PD</t>
  </si>
  <si>
    <t>1975 - YSA</t>
  </si>
  <si>
    <t>2010 - FRYSC State</t>
  </si>
  <si>
    <t>2800 - Arts in Education</t>
  </si>
  <si>
    <t>2910 - DAIL STATE</t>
  </si>
  <si>
    <t>2943 - DCBS</t>
  </si>
  <si>
    <t>3010 - FRYSC - Fed</t>
  </si>
  <si>
    <t>3220 - PERS Effectiveness Coach</t>
  </si>
  <si>
    <t>3299 - ARP</t>
  </si>
  <si>
    <t>336K - IDEA B 23-24</t>
  </si>
  <si>
    <t>336L - IDEA B 24-25</t>
  </si>
  <si>
    <t>3416- SPF</t>
  </si>
  <si>
    <t>3420 - Interact for Health</t>
  </si>
  <si>
    <t>3425 - Deeper Learning</t>
  </si>
  <si>
    <t>345K - Title III EL 23-24</t>
  </si>
  <si>
    <t>345L - Title III EL 24-25</t>
  </si>
  <si>
    <t>3601 - School Based Interventions</t>
  </si>
  <si>
    <t>3602 - Healthy Schools 24-25</t>
  </si>
  <si>
    <t>3800 - Trauma Informed</t>
  </si>
  <si>
    <t>3910 - DAIL FED</t>
  </si>
  <si>
    <t>3925 - Mental Health</t>
  </si>
  <si>
    <t>3931 - RSP SBMH Counselor</t>
  </si>
  <si>
    <t>4101C - Arts Grant</t>
  </si>
  <si>
    <t>Not Specified</t>
  </si>
  <si>
    <t>TOTAL</t>
  </si>
  <si>
    <t>Income</t>
  </si>
  <si>
    <t xml:space="preserve">   31100 UNRESTRICTED INCOME</t>
  </si>
  <si>
    <t xml:space="preserve">      31111 MEMBERSHIPS</t>
  </si>
  <si>
    <t xml:space="preserve">      31510 INTEREST</t>
  </si>
  <si>
    <t xml:space="preserve">      31636 REGISTRATIONS</t>
  </si>
  <si>
    <t xml:space="preserve">      31800 LOCAL GRANT RECEIPTS</t>
  </si>
  <si>
    <t xml:space="preserve">      31913 SPONSORSHIP</t>
  </si>
  <si>
    <t xml:space="preserve">      31980 REFUNDS &amp; REIMBURSEMENTS</t>
  </si>
  <si>
    <t xml:space="preserve">      31981 KEDC REBATE (KPC) &amp;GRREC (AEPA)</t>
  </si>
  <si>
    <t xml:space="preserve">      31996 INDIRECT COSTS RECEIPTS</t>
  </si>
  <si>
    <t xml:space="preserve">      31997 RENT</t>
  </si>
  <si>
    <t xml:space="preserve">      31999 MISC. REVENUES</t>
  </si>
  <si>
    <t xml:space="preserve">      33111 SEEK FUNDS/ADA</t>
  </si>
  <si>
    <t xml:space="preserve">   Total 31100 UNRESTRICTED INCOME</t>
  </si>
  <si>
    <t xml:space="preserve">   31310 SLOTS/TUITION/BUY-IN</t>
  </si>
  <si>
    <t xml:space="preserve">      31311 NKCES/MENTAL HEALTH THERAPY</t>
  </si>
  <si>
    <t xml:space="preserve">   Total 31310 SLOTS/TUITION/BUY-IN</t>
  </si>
  <si>
    <t xml:space="preserve">   31970 Partner Services</t>
  </si>
  <si>
    <t xml:space="preserve">   31985 SICK LEAVE ESCROW</t>
  </si>
  <si>
    <t xml:space="preserve">   33000 RESTRICTED RECEIPTS</t>
  </si>
  <si>
    <t xml:space="preserve">      33200 STATE  RECEIPTS</t>
  </si>
  <si>
    <t xml:space="preserve">      34500 FEDERAL RECEIPTS</t>
  </si>
  <si>
    <t xml:space="preserve">   Total 33000 RESTRICTED RECEIPTS</t>
  </si>
  <si>
    <t>Total Income</t>
  </si>
  <si>
    <t>Gross Profit</t>
  </si>
  <si>
    <t>Expenses</t>
  </si>
  <si>
    <t xml:space="preserve">   40100 PERSONNEL</t>
  </si>
  <si>
    <t xml:space="preserve">      40110 CERTIFIED PERSONNEL</t>
  </si>
  <si>
    <t xml:space="preserve">      40130 CLASSIFIED PERSONNEL</t>
  </si>
  <si>
    <t xml:space="preserve">   Total 40100 PERSONNEL</t>
  </si>
  <si>
    <t xml:space="preserve">   40200 FRINGE</t>
  </si>
  <si>
    <t xml:space="preserve">      40211 LIFE INSURANCE</t>
  </si>
  <si>
    <t xml:space="preserve">      40214 DENTAL INSURANCE</t>
  </si>
  <si>
    <t xml:space="preserve">      40221 SOC SEC TAX</t>
  </si>
  <si>
    <t xml:space="preserve">      40222 MEDICARE TAX</t>
  </si>
  <si>
    <t xml:space="preserve">      40231 TEACHER RETIREMENT</t>
  </si>
  <si>
    <t xml:space="preserve">      40232 COUNTY RETIREMENT</t>
  </si>
  <si>
    <t xml:space="preserve">      40233 HEALTH INSURANCE</t>
  </si>
  <si>
    <t xml:space="preserve">      40253 UNEMPLOYMENT</t>
  </si>
  <si>
    <t xml:space="preserve">      40260 WORKERS COMPENSATION</t>
  </si>
  <si>
    <t xml:space="preserve">      40291 SICK LEAVE PROGRAM</t>
  </si>
  <si>
    <t xml:space="preserve">      40294 ADMININSTRATIVE COST - INS</t>
  </si>
  <si>
    <t xml:space="preserve">   Total 40200 FRINGE</t>
  </si>
  <si>
    <t xml:space="preserve">   40300 PROFESSIONAL SERVICES</t>
  </si>
  <si>
    <t xml:space="preserve">      40330 OTHER PROFESSIONAL SERVICES</t>
  </si>
  <si>
    <t xml:space="preserve">      40331 AUDIT</t>
  </si>
  <si>
    <t xml:space="preserve">      40333 PAYROLL SERVICES</t>
  </si>
  <si>
    <t xml:space="preserve">      40340 TECHNICAL SERVICES</t>
  </si>
  <si>
    <t xml:space="preserve">   Total 40300 PROFESSIONAL SERVICES</t>
  </si>
  <si>
    <t xml:space="preserve">   40335 CONTRACTED SERVICE</t>
  </si>
  <si>
    <t xml:space="preserve">   40400 REPAIR/MAINTENANCE</t>
  </si>
  <si>
    <t xml:space="preserve">      40411 WATER</t>
  </si>
  <si>
    <t xml:space="preserve">      40420 MOWING</t>
  </si>
  <si>
    <t xml:space="preserve">      40421 SANITATION SERVICE</t>
  </si>
  <si>
    <t xml:space="preserve">      40430 FACILITIES/REPAIR/MAINTENANCE</t>
  </si>
  <si>
    <t xml:space="preserve">      40441 RENT</t>
  </si>
  <si>
    <t xml:space="preserve">      40620 UTILITIES - GAS/ELECTRIC</t>
  </si>
  <si>
    <t xml:space="preserve">      40648 SOFTWARE/SOFTWARE MAINT</t>
  </si>
  <si>
    <t xml:space="preserve">      40733 FURNITURE</t>
  </si>
  <si>
    <t xml:space="preserve">      40734 COMPUTERS</t>
  </si>
  <si>
    <t xml:space="preserve">   Total 40400 REPAIR/MAINTENANCE</t>
  </si>
  <si>
    <t xml:space="preserve">   40500 INSURANCE</t>
  </si>
  <si>
    <t xml:space="preserve">      40520 LIABILITY INSURANCE</t>
  </si>
  <si>
    <t xml:space="preserve">      40522 PROPERTY INSURANCE</t>
  </si>
  <si>
    <t xml:space="preserve">      40529 BONDING INSURANCE</t>
  </si>
  <si>
    <t xml:space="preserve">   Total 40500 INSURANCE</t>
  </si>
  <si>
    <t xml:space="preserve">   40600 OFFICE EXPENSE</t>
  </si>
  <si>
    <t xml:space="preserve">      40440 POSTAGE MACHINE RENTAL</t>
  </si>
  <si>
    <t xml:space="preserve">      40531 POSTAGE</t>
  </si>
  <si>
    <t xml:space="preserve">      40532 TELEPHONE</t>
  </si>
  <si>
    <t xml:space="preserve">      40550 PRINTING</t>
  </si>
  <si>
    <t xml:space="preserve">      40605 FOOD</t>
  </si>
  <si>
    <t xml:space="preserve">      40610 SUPPLIES</t>
  </si>
  <si>
    <t xml:space="preserve">      40615 JANITORIAL SUPPLIES</t>
  </si>
  <si>
    <t xml:space="preserve">   Total 40600 OFFICE EXPENSE</t>
  </si>
  <si>
    <t xml:space="preserve">   40700 PROGRAM EXPENSES</t>
  </si>
  <si>
    <t xml:space="preserve">      40320 EDUCATIONAL SERVICES</t>
  </si>
  <si>
    <t xml:space="preserve">      40339 REGISTRATION FEE</t>
  </si>
  <si>
    <t xml:space="preserve">      40580 TRAVEL</t>
  </si>
  <si>
    <t xml:space="preserve">      40640 BOOKS/PERIODICALS</t>
  </si>
  <si>
    <t xml:space="preserve">      40720 Interest on Loan</t>
  </si>
  <si>
    <t xml:space="preserve">   Total 40700 PROGRAM EXPENSES</t>
  </si>
  <si>
    <t xml:space="preserve">   40721 DEPRECIATION</t>
  </si>
  <si>
    <t xml:space="preserve">   40800 OTHER EXPENSES</t>
  </si>
  <si>
    <t xml:space="preserve">      40810 DUES AND FEES</t>
  </si>
  <si>
    <t xml:space="preserve">      40830 DISTRICT RECORD FEE</t>
  </si>
  <si>
    <t xml:space="preserve">      40899 OTHER MIISCELLANEOUS EXPENSES</t>
  </si>
  <si>
    <t xml:space="preserve">      40933 INDIRECT COSTS</t>
  </si>
  <si>
    <t xml:space="preserve">   Total 40800 OTHER EXPENSES</t>
  </si>
  <si>
    <t>Total Expenses</t>
  </si>
  <si>
    <t>Net Operating Income</t>
  </si>
  <si>
    <t>Net Income</t>
  </si>
  <si>
    <t>Northern Kentucky Cooperative For Educational Services</t>
  </si>
  <si>
    <t>Profit and Loss by Class</t>
  </si>
  <si>
    <t>July 2024 -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</si>
</sst>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01"/>
  <sheetViews>
    <sheetView tabSelected="1" workbookViewId="0">
      <selection activeCell="A101" sqref="A101:AJ101"/>
    </sheetView>
  </sheetViews>
  <sheetFormatPr defaultRowHeight="15" x14ac:dyDescent="0.25"/>
  <cols>
    <col min="1" max="1" width="37.85546875" customWidth="1"/>
    <col min="2" max="2" width="12" customWidth="1"/>
    <col min="3" max="3" width="7.7109375" customWidth="1"/>
    <col min="4" max="4" width="8.5703125" customWidth="1"/>
    <col min="5" max="5" width="9.42578125" customWidth="1"/>
    <col min="6" max="6" width="12" customWidth="1"/>
    <col min="7" max="9" width="9.42578125" customWidth="1"/>
    <col min="10" max="10" width="10.28515625" customWidth="1"/>
    <col min="11" max="11" width="12" customWidth="1"/>
    <col min="12" max="12" width="9.42578125" customWidth="1"/>
    <col min="13" max="13" width="10.28515625" customWidth="1"/>
    <col min="14" max="15" width="12" customWidth="1"/>
    <col min="16" max="19" width="10.28515625" customWidth="1"/>
    <col min="20" max="20" width="9.42578125" customWidth="1"/>
    <col min="21" max="23" width="10.28515625" customWidth="1"/>
    <col min="24" max="24" width="11.140625" customWidth="1"/>
    <col min="25" max="25" width="10.28515625" customWidth="1"/>
    <col min="26" max="28" width="8.5703125" customWidth="1"/>
    <col min="29" max="29" width="9.42578125" customWidth="1"/>
    <col min="30" max="30" width="12" customWidth="1"/>
    <col min="31" max="31" width="10.28515625" customWidth="1"/>
    <col min="32" max="32" width="12" customWidth="1"/>
    <col min="33" max="33" width="10.28515625" customWidth="1"/>
    <col min="34" max="35" width="7.7109375" customWidth="1"/>
    <col min="36" max="36" width="12.85546875" customWidth="1"/>
  </cols>
  <sheetData>
    <row r="1" spans="1:36" ht="18" x14ac:dyDescent="0.25">
      <c r="A1" s="10" t="s">
        <v>127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</row>
    <row r="2" spans="1:36" ht="18" x14ac:dyDescent="0.25">
      <c r="A2" s="10" t="s">
        <v>128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</row>
    <row r="3" spans="1:36" x14ac:dyDescent="0.25">
      <c r="A3" s="11" t="s">
        <v>129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</row>
    <row r="5" spans="1:36" ht="60.75" x14ac:dyDescent="0.25">
      <c r="A5" s="1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  <c r="O5" s="2" t="s">
        <v>13</v>
      </c>
      <c r="P5" s="2" t="s">
        <v>14</v>
      </c>
      <c r="Q5" s="2" t="s">
        <v>15</v>
      </c>
      <c r="R5" s="2" t="s">
        <v>16</v>
      </c>
      <c r="S5" s="2" t="s">
        <v>17</v>
      </c>
      <c r="T5" s="2" t="s">
        <v>18</v>
      </c>
      <c r="U5" s="2" t="s">
        <v>19</v>
      </c>
      <c r="V5" s="2" t="s">
        <v>20</v>
      </c>
      <c r="W5" s="2" t="s">
        <v>21</v>
      </c>
      <c r="X5" s="2" t="s">
        <v>22</v>
      </c>
      <c r="Y5" s="2" t="s">
        <v>23</v>
      </c>
      <c r="Z5" s="2" t="s">
        <v>24</v>
      </c>
      <c r="AA5" s="2" t="s">
        <v>25</v>
      </c>
      <c r="AB5" s="2" t="s">
        <v>26</v>
      </c>
      <c r="AC5" s="2" t="s">
        <v>27</v>
      </c>
      <c r="AD5" s="2" t="s">
        <v>28</v>
      </c>
      <c r="AE5" s="2" t="s">
        <v>29</v>
      </c>
      <c r="AF5" s="2" t="s">
        <v>30</v>
      </c>
      <c r="AG5" s="2" t="s">
        <v>31</v>
      </c>
      <c r="AH5" s="2" t="s">
        <v>32</v>
      </c>
      <c r="AI5" s="2" t="s">
        <v>33</v>
      </c>
      <c r="AJ5" s="2" t="s">
        <v>34</v>
      </c>
    </row>
    <row r="6" spans="1:36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x14ac:dyDescent="0.25">
      <c r="A7" s="3" t="s">
        <v>36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5">
        <f t="shared" ref="AJ7:AJ30" si="0">(((((((((((((((((((((((((((((((((B7)+(C7))+(D7))+(E7))+(F7))+(G7))+(H7))+(I7))+(J7))+(K7))+(L7))+(M7))+(N7))+(O7))+(P7))+(Q7))+(R7))+(S7))+(T7))+(U7))+(V7))+(W7))+(X7))+(Y7))+(Z7))+(AA7))+(AB7))+(AC7))+(AD7))+(AE7))+(AF7))+(AG7))+(AH7))+(AI7)</f>
        <v>0</v>
      </c>
    </row>
    <row r="8" spans="1:36" x14ac:dyDescent="0.25">
      <c r="A8" s="3" t="s">
        <v>37</v>
      </c>
      <c r="B8" s="5">
        <f>283131.02</f>
        <v>283131.02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5">
        <f t="shared" si="0"/>
        <v>283131.02</v>
      </c>
    </row>
    <row r="9" spans="1:36" x14ac:dyDescent="0.25">
      <c r="A9" s="3" t="s">
        <v>38</v>
      </c>
      <c r="B9" s="5">
        <f>205310.76</f>
        <v>205310.76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5">
        <f t="shared" si="0"/>
        <v>205310.76</v>
      </c>
    </row>
    <row r="10" spans="1:36" x14ac:dyDescent="0.25">
      <c r="A10" s="3" t="s">
        <v>39</v>
      </c>
      <c r="B10" s="4"/>
      <c r="C10" s="4"/>
      <c r="D10" s="4"/>
      <c r="E10" s="4"/>
      <c r="F10" s="5">
        <f>95.24</f>
        <v>95.24</v>
      </c>
      <c r="G10" s="4"/>
      <c r="H10" s="4"/>
      <c r="I10" s="4"/>
      <c r="J10" s="4"/>
      <c r="K10" s="5">
        <f>649194.05</f>
        <v>649194.05000000005</v>
      </c>
      <c r="L10" s="5">
        <f>44631.67</f>
        <v>44631.67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5">
        <f t="shared" si="0"/>
        <v>693920.96000000008</v>
      </c>
    </row>
    <row r="11" spans="1:36" x14ac:dyDescent="0.25">
      <c r="A11" s="3" t="s">
        <v>40</v>
      </c>
      <c r="B11" s="4"/>
      <c r="C11" s="4"/>
      <c r="D11" s="5">
        <f>4974.96</f>
        <v>4974.96</v>
      </c>
      <c r="E11" s="4"/>
      <c r="F11" s="4"/>
      <c r="G11" s="4"/>
      <c r="H11" s="4"/>
      <c r="I11" s="4"/>
      <c r="J11" s="5">
        <f>127887.78</f>
        <v>127887.78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5">
        <f>5000</f>
        <v>5000</v>
      </c>
      <c r="Y11" s="4"/>
      <c r="Z11" s="4"/>
      <c r="AA11" s="4"/>
      <c r="AB11" s="4"/>
      <c r="AC11" s="4"/>
      <c r="AD11" s="4"/>
      <c r="AE11" s="4"/>
      <c r="AF11" s="4"/>
      <c r="AG11" s="5">
        <f>14834.22</f>
        <v>14834.22</v>
      </c>
      <c r="AH11" s="4"/>
      <c r="AI11" s="4"/>
      <c r="AJ11" s="5">
        <f t="shared" si="0"/>
        <v>152696.95999999999</v>
      </c>
    </row>
    <row r="12" spans="1:36" x14ac:dyDescent="0.25">
      <c r="A12" s="3" t="s">
        <v>41</v>
      </c>
      <c r="B12" s="5">
        <f>9000</f>
        <v>9000</v>
      </c>
      <c r="C12" s="4"/>
      <c r="D12" s="4"/>
      <c r="E12" s="4"/>
      <c r="F12" s="5">
        <f>1447.83</f>
        <v>1447.83</v>
      </c>
      <c r="G12" s="4"/>
      <c r="H12" s="4"/>
      <c r="I12" s="4"/>
      <c r="J12" s="4"/>
      <c r="K12" s="5">
        <f>6000</f>
        <v>6000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5">
        <f t="shared" si="0"/>
        <v>16447.830000000002</v>
      </c>
    </row>
    <row r="13" spans="1:36" x14ac:dyDescent="0.25">
      <c r="A13" s="3" t="s">
        <v>42</v>
      </c>
      <c r="B13" s="5">
        <f>10125.26</f>
        <v>10125.26</v>
      </c>
      <c r="C13" s="4"/>
      <c r="D13" s="4"/>
      <c r="E13" s="4"/>
      <c r="F13" s="5">
        <f>2760.9</f>
        <v>2760.9</v>
      </c>
      <c r="G13" s="4"/>
      <c r="H13" s="4"/>
      <c r="I13" s="4"/>
      <c r="J13" s="4"/>
      <c r="K13" s="5">
        <f>1875.99</f>
        <v>1875.99</v>
      </c>
      <c r="L13" s="5">
        <f>1657.6</f>
        <v>1657.6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5">
        <f t="shared" si="0"/>
        <v>16419.75</v>
      </c>
    </row>
    <row r="14" spans="1:36" x14ac:dyDescent="0.25">
      <c r="A14" s="3" t="s">
        <v>43</v>
      </c>
      <c r="B14" s="5">
        <f>115421.28</f>
        <v>115421.28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5">
        <f t="shared" si="0"/>
        <v>115421.28</v>
      </c>
    </row>
    <row r="15" spans="1:36" x14ac:dyDescent="0.25">
      <c r="A15" s="3" t="s">
        <v>44</v>
      </c>
      <c r="B15" s="5">
        <f>1494397.23</f>
        <v>1494397.23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5">
        <f t="shared" si="0"/>
        <v>1494397.23</v>
      </c>
    </row>
    <row r="16" spans="1:36" x14ac:dyDescent="0.25">
      <c r="A16" s="3" t="s">
        <v>45</v>
      </c>
      <c r="B16" s="5">
        <f>40000</f>
        <v>40000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5">
        <f t="shared" si="0"/>
        <v>40000</v>
      </c>
    </row>
    <row r="17" spans="1:36" x14ac:dyDescent="0.25">
      <c r="A17" s="3" t="s">
        <v>46</v>
      </c>
      <c r="B17" s="5">
        <f>1412.16</f>
        <v>1412.16</v>
      </c>
      <c r="C17" s="5">
        <f>490.44</f>
        <v>490.44</v>
      </c>
      <c r="D17" s="4"/>
      <c r="E17" s="4"/>
      <c r="F17" s="5">
        <f>1500</f>
        <v>1500</v>
      </c>
      <c r="G17" s="4"/>
      <c r="H17" s="4"/>
      <c r="I17" s="4"/>
      <c r="J17" s="4"/>
      <c r="K17" s="5">
        <f>1113262.4</f>
        <v>1113262.3999999999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5">
        <f t="shared" si="0"/>
        <v>1116665</v>
      </c>
    </row>
    <row r="18" spans="1:36" x14ac:dyDescent="0.25">
      <c r="A18" s="3" t="s">
        <v>47</v>
      </c>
      <c r="B18" s="4"/>
      <c r="C18" s="4"/>
      <c r="D18" s="4"/>
      <c r="E18" s="4"/>
      <c r="F18" s="5">
        <f>238208</f>
        <v>238208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5">
        <f t="shared" si="0"/>
        <v>238208</v>
      </c>
    </row>
    <row r="19" spans="1:36" x14ac:dyDescent="0.25">
      <c r="A19" s="3" t="s">
        <v>48</v>
      </c>
      <c r="B19" s="6">
        <f t="shared" ref="B19:AI19" si="1">(((((((((((B7)+(B8))+(B9))+(B10))+(B11))+(B12))+(B13))+(B14))+(B15))+(B16))+(B17))+(B18)</f>
        <v>2158797.71</v>
      </c>
      <c r="C19" s="6">
        <f t="shared" si="1"/>
        <v>490.44</v>
      </c>
      <c r="D19" s="6">
        <f t="shared" si="1"/>
        <v>4974.96</v>
      </c>
      <c r="E19" s="6">
        <f t="shared" si="1"/>
        <v>0</v>
      </c>
      <c r="F19" s="6">
        <f t="shared" si="1"/>
        <v>244011.97</v>
      </c>
      <c r="G19" s="6">
        <f t="shared" si="1"/>
        <v>0</v>
      </c>
      <c r="H19" s="6">
        <f t="shared" si="1"/>
        <v>0</v>
      </c>
      <c r="I19" s="6">
        <f t="shared" si="1"/>
        <v>0</v>
      </c>
      <c r="J19" s="6">
        <f t="shared" si="1"/>
        <v>127887.78</v>
      </c>
      <c r="K19" s="6">
        <f t="shared" si="1"/>
        <v>1770332.44</v>
      </c>
      <c r="L19" s="6">
        <f t="shared" si="1"/>
        <v>46289.27</v>
      </c>
      <c r="M19" s="6">
        <f t="shared" si="1"/>
        <v>0</v>
      </c>
      <c r="N19" s="6">
        <f t="shared" si="1"/>
        <v>0</v>
      </c>
      <c r="O19" s="6">
        <f t="shared" si="1"/>
        <v>0</v>
      </c>
      <c r="P19" s="6">
        <f t="shared" si="1"/>
        <v>0</v>
      </c>
      <c r="Q19" s="6">
        <f t="shared" si="1"/>
        <v>0</v>
      </c>
      <c r="R19" s="6">
        <f t="shared" si="1"/>
        <v>0</v>
      </c>
      <c r="S19" s="6">
        <f t="shared" si="1"/>
        <v>0</v>
      </c>
      <c r="T19" s="6">
        <f t="shared" si="1"/>
        <v>0</v>
      </c>
      <c r="U19" s="6">
        <f t="shared" si="1"/>
        <v>0</v>
      </c>
      <c r="V19" s="6">
        <f t="shared" si="1"/>
        <v>0</v>
      </c>
      <c r="W19" s="6">
        <f t="shared" si="1"/>
        <v>0</v>
      </c>
      <c r="X19" s="6">
        <f t="shared" si="1"/>
        <v>5000</v>
      </c>
      <c r="Y19" s="6">
        <f t="shared" si="1"/>
        <v>0</v>
      </c>
      <c r="Z19" s="6">
        <f t="shared" si="1"/>
        <v>0</v>
      </c>
      <c r="AA19" s="6">
        <f t="shared" si="1"/>
        <v>0</v>
      </c>
      <c r="AB19" s="6">
        <f t="shared" si="1"/>
        <v>0</v>
      </c>
      <c r="AC19" s="6">
        <f t="shared" si="1"/>
        <v>0</v>
      </c>
      <c r="AD19" s="6">
        <f t="shared" si="1"/>
        <v>0</v>
      </c>
      <c r="AE19" s="6">
        <f t="shared" si="1"/>
        <v>0</v>
      </c>
      <c r="AF19" s="6">
        <f t="shared" si="1"/>
        <v>0</v>
      </c>
      <c r="AG19" s="6">
        <f t="shared" si="1"/>
        <v>14834.22</v>
      </c>
      <c r="AH19" s="6">
        <f t="shared" si="1"/>
        <v>0</v>
      </c>
      <c r="AI19" s="6">
        <f t="shared" si="1"/>
        <v>0</v>
      </c>
      <c r="AJ19" s="6">
        <f t="shared" si="0"/>
        <v>4372618.7899999991</v>
      </c>
    </row>
    <row r="20" spans="1:36" x14ac:dyDescent="0.25">
      <c r="A20" s="3" t="s">
        <v>49</v>
      </c>
      <c r="B20" s="4"/>
      <c r="C20" s="4"/>
      <c r="D20" s="4"/>
      <c r="E20" s="4"/>
      <c r="F20" s="5">
        <f>2081482.99</f>
        <v>2081482.99</v>
      </c>
      <c r="G20" s="4"/>
      <c r="H20" s="4"/>
      <c r="I20" s="5">
        <f>82089.59</f>
        <v>82089.59</v>
      </c>
      <c r="J20" s="4"/>
      <c r="K20" s="4"/>
      <c r="L20" s="4"/>
      <c r="M20" s="5">
        <f>69089.96</f>
        <v>69089.960000000006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5">
        <f t="shared" si="0"/>
        <v>2232662.54</v>
      </c>
    </row>
    <row r="21" spans="1:36" x14ac:dyDescent="0.25">
      <c r="A21" s="3" t="s">
        <v>50</v>
      </c>
      <c r="B21" s="4"/>
      <c r="C21" s="4"/>
      <c r="D21" s="4"/>
      <c r="E21" s="4"/>
      <c r="F21" s="5">
        <f>49461.65</f>
        <v>49461.65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5">
        <f t="shared" si="0"/>
        <v>49461.65</v>
      </c>
    </row>
    <row r="22" spans="1:36" x14ac:dyDescent="0.25">
      <c r="A22" s="3" t="s">
        <v>51</v>
      </c>
      <c r="B22" s="6">
        <f t="shared" ref="B22:AI22" si="2">(B20)+(B21)</f>
        <v>0</v>
      </c>
      <c r="C22" s="6">
        <f t="shared" si="2"/>
        <v>0</v>
      </c>
      <c r="D22" s="6">
        <f t="shared" si="2"/>
        <v>0</v>
      </c>
      <c r="E22" s="6">
        <f t="shared" si="2"/>
        <v>0</v>
      </c>
      <c r="F22" s="6">
        <f t="shared" si="2"/>
        <v>2130944.64</v>
      </c>
      <c r="G22" s="6">
        <f t="shared" si="2"/>
        <v>0</v>
      </c>
      <c r="H22" s="6">
        <f t="shared" si="2"/>
        <v>0</v>
      </c>
      <c r="I22" s="6">
        <f t="shared" si="2"/>
        <v>82089.59</v>
      </c>
      <c r="J22" s="6">
        <f t="shared" si="2"/>
        <v>0</v>
      </c>
      <c r="K22" s="6">
        <f t="shared" si="2"/>
        <v>0</v>
      </c>
      <c r="L22" s="6">
        <f t="shared" si="2"/>
        <v>0</v>
      </c>
      <c r="M22" s="6">
        <f t="shared" si="2"/>
        <v>69089.960000000006</v>
      </c>
      <c r="N22" s="6">
        <f t="shared" si="2"/>
        <v>0</v>
      </c>
      <c r="O22" s="6">
        <f t="shared" si="2"/>
        <v>0</v>
      </c>
      <c r="P22" s="6">
        <f t="shared" si="2"/>
        <v>0</v>
      </c>
      <c r="Q22" s="6">
        <f t="shared" si="2"/>
        <v>0</v>
      </c>
      <c r="R22" s="6">
        <f t="shared" si="2"/>
        <v>0</v>
      </c>
      <c r="S22" s="6">
        <f t="shared" si="2"/>
        <v>0</v>
      </c>
      <c r="T22" s="6">
        <f t="shared" si="2"/>
        <v>0</v>
      </c>
      <c r="U22" s="6">
        <f t="shared" si="2"/>
        <v>0</v>
      </c>
      <c r="V22" s="6">
        <f t="shared" si="2"/>
        <v>0</v>
      </c>
      <c r="W22" s="6">
        <f t="shared" si="2"/>
        <v>0</v>
      </c>
      <c r="X22" s="6">
        <f t="shared" si="2"/>
        <v>0</v>
      </c>
      <c r="Y22" s="6">
        <f t="shared" si="2"/>
        <v>0</v>
      </c>
      <c r="Z22" s="6">
        <f t="shared" si="2"/>
        <v>0</v>
      </c>
      <c r="AA22" s="6">
        <f t="shared" si="2"/>
        <v>0</v>
      </c>
      <c r="AB22" s="6">
        <f t="shared" si="2"/>
        <v>0</v>
      </c>
      <c r="AC22" s="6">
        <f t="shared" si="2"/>
        <v>0</v>
      </c>
      <c r="AD22" s="6">
        <f t="shared" si="2"/>
        <v>0</v>
      </c>
      <c r="AE22" s="6">
        <f t="shared" si="2"/>
        <v>0</v>
      </c>
      <c r="AF22" s="6">
        <f t="shared" si="2"/>
        <v>0</v>
      </c>
      <c r="AG22" s="6">
        <f t="shared" si="2"/>
        <v>0</v>
      </c>
      <c r="AH22" s="6">
        <f t="shared" si="2"/>
        <v>0</v>
      </c>
      <c r="AI22" s="6">
        <f t="shared" si="2"/>
        <v>0</v>
      </c>
      <c r="AJ22" s="6">
        <f t="shared" si="0"/>
        <v>2282124.19</v>
      </c>
    </row>
    <row r="23" spans="1:36" x14ac:dyDescent="0.25">
      <c r="A23" s="3" t="s">
        <v>52</v>
      </c>
      <c r="B23" s="5">
        <f>19404</f>
        <v>19404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5">
        <f t="shared" si="0"/>
        <v>19404</v>
      </c>
    </row>
    <row r="24" spans="1:36" x14ac:dyDescent="0.25">
      <c r="A24" s="3" t="s">
        <v>53</v>
      </c>
      <c r="B24" s="5">
        <f>75159.97</f>
        <v>75159.97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5">
        <f t="shared" si="0"/>
        <v>75159.97</v>
      </c>
    </row>
    <row r="25" spans="1:36" x14ac:dyDescent="0.25">
      <c r="A25" s="3" t="s">
        <v>54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5">
        <f t="shared" si="0"/>
        <v>0</v>
      </c>
    </row>
    <row r="26" spans="1:36" x14ac:dyDescent="0.25">
      <c r="A26" s="3" t="s">
        <v>55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5">
        <f>1299143.96</f>
        <v>1299143.96</v>
      </c>
      <c r="O26" s="4"/>
      <c r="P26" s="5">
        <f>182891.5</f>
        <v>182891.5</v>
      </c>
      <c r="Q26" s="5">
        <f>585324.85</f>
        <v>585324.85</v>
      </c>
      <c r="R26" s="4"/>
      <c r="S26" s="5">
        <f>116232.24</f>
        <v>116232.24</v>
      </c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5">
        <f t="shared" si="0"/>
        <v>2183592.5500000003</v>
      </c>
    </row>
    <row r="27" spans="1:36" x14ac:dyDescent="0.25">
      <c r="A27" s="3" t="s">
        <v>56</v>
      </c>
      <c r="B27" s="4"/>
      <c r="C27" s="4"/>
      <c r="D27" s="4"/>
      <c r="E27" s="5">
        <f>59999.91</f>
        <v>59999.91</v>
      </c>
      <c r="F27" s="4"/>
      <c r="G27" s="5">
        <f>50730.61</f>
        <v>50730.61</v>
      </c>
      <c r="H27" s="5">
        <f>83053.25</f>
        <v>83053.25</v>
      </c>
      <c r="I27" s="4"/>
      <c r="J27" s="4"/>
      <c r="K27" s="4"/>
      <c r="L27" s="4"/>
      <c r="M27" s="4"/>
      <c r="N27" s="4"/>
      <c r="O27" s="5">
        <f>1472757.9</f>
        <v>1472757.9</v>
      </c>
      <c r="P27" s="4"/>
      <c r="Q27" s="4"/>
      <c r="R27" s="5">
        <f>404649.08</f>
        <v>404649.08</v>
      </c>
      <c r="S27" s="4"/>
      <c r="T27" s="5">
        <f>73658.74</f>
        <v>73658.740000000005</v>
      </c>
      <c r="U27" s="5">
        <f>211660.85</f>
        <v>211660.85</v>
      </c>
      <c r="V27" s="5">
        <f>992215.83</f>
        <v>992215.83</v>
      </c>
      <c r="W27" s="5">
        <f>388276.34</f>
        <v>388276.34</v>
      </c>
      <c r="X27" s="4"/>
      <c r="Y27" s="5">
        <f>540814.37</f>
        <v>540814.37</v>
      </c>
      <c r="Z27" s="5">
        <f>9155.04</f>
        <v>9155.0400000000009</v>
      </c>
      <c r="AA27" s="5">
        <f>1682.78</f>
        <v>1682.78</v>
      </c>
      <c r="AB27" s="5">
        <f>4482.87</f>
        <v>4482.87</v>
      </c>
      <c r="AC27" s="5">
        <f>30800</f>
        <v>30800</v>
      </c>
      <c r="AD27" s="5">
        <f>1394378.86</f>
        <v>1394378.86</v>
      </c>
      <c r="AE27" s="5">
        <f>590560.25</f>
        <v>590560.25</v>
      </c>
      <c r="AF27" s="5">
        <f>3313805.06</f>
        <v>3313805.06</v>
      </c>
      <c r="AG27" s="5">
        <f>88400</f>
        <v>88400</v>
      </c>
      <c r="AH27" s="4"/>
      <c r="AI27" s="4"/>
      <c r="AJ27" s="5">
        <f t="shared" si="0"/>
        <v>9711081.7400000002</v>
      </c>
    </row>
    <row r="28" spans="1:36" x14ac:dyDescent="0.25">
      <c r="A28" s="3" t="s">
        <v>57</v>
      </c>
      <c r="B28" s="6">
        <f t="shared" ref="B28:AI28" si="3">((B25)+(B26))+(B27)</f>
        <v>0</v>
      </c>
      <c r="C28" s="6">
        <f t="shared" si="3"/>
        <v>0</v>
      </c>
      <c r="D28" s="6">
        <f t="shared" si="3"/>
        <v>0</v>
      </c>
      <c r="E28" s="6">
        <f t="shared" si="3"/>
        <v>59999.91</v>
      </c>
      <c r="F28" s="6">
        <f t="shared" si="3"/>
        <v>0</v>
      </c>
      <c r="G28" s="6">
        <f t="shared" si="3"/>
        <v>50730.61</v>
      </c>
      <c r="H28" s="6">
        <f t="shared" si="3"/>
        <v>83053.25</v>
      </c>
      <c r="I28" s="6">
        <f t="shared" si="3"/>
        <v>0</v>
      </c>
      <c r="J28" s="6">
        <f t="shared" si="3"/>
        <v>0</v>
      </c>
      <c r="K28" s="6">
        <f t="shared" si="3"/>
        <v>0</v>
      </c>
      <c r="L28" s="6">
        <f t="shared" si="3"/>
        <v>0</v>
      </c>
      <c r="M28" s="6">
        <f t="shared" si="3"/>
        <v>0</v>
      </c>
      <c r="N28" s="6">
        <f t="shared" si="3"/>
        <v>1299143.96</v>
      </c>
      <c r="O28" s="6">
        <f t="shared" si="3"/>
        <v>1472757.9</v>
      </c>
      <c r="P28" s="6">
        <f t="shared" si="3"/>
        <v>182891.5</v>
      </c>
      <c r="Q28" s="6">
        <f t="shared" si="3"/>
        <v>585324.85</v>
      </c>
      <c r="R28" s="6">
        <f t="shared" si="3"/>
        <v>404649.08</v>
      </c>
      <c r="S28" s="6">
        <f t="shared" si="3"/>
        <v>116232.24</v>
      </c>
      <c r="T28" s="6">
        <f t="shared" si="3"/>
        <v>73658.740000000005</v>
      </c>
      <c r="U28" s="6">
        <f t="shared" si="3"/>
        <v>211660.85</v>
      </c>
      <c r="V28" s="6">
        <f t="shared" si="3"/>
        <v>992215.83</v>
      </c>
      <c r="W28" s="6">
        <f t="shared" si="3"/>
        <v>388276.34</v>
      </c>
      <c r="X28" s="6">
        <f t="shared" si="3"/>
        <v>0</v>
      </c>
      <c r="Y28" s="6">
        <f t="shared" si="3"/>
        <v>540814.37</v>
      </c>
      <c r="Z28" s="6">
        <f t="shared" si="3"/>
        <v>9155.0400000000009</v>
      </c>
      <c r="AA28" s="6">
        <f t="shared" si="3"/>
        <v>1682.78</v>
      </c>
      <c r="AB28" s="6">
        <f t="shared" si="3"/>
        <v>4482.87</v>
      </c>
      <c r="AC28" s="6">
        <f t="shared" si="3"/>
        <v>30800</v>
      </c>
      <c r="AD28" s="6">
        <f t="shared" si="3"/>
        <v>1394378.86</v>
      </c>
      <c r="AE28" s="6">
        <f t="shared" si="3"/>
        <v>590560.25</v>
      </c>
      <c r="AF28" s="6">
        <f t="shared" si="3"/>
        <v>3313805.06</v>
      </c>
      <c r="AG28" s="6">
        <f t="shared" si="3"/>
        <v>88400</v>
      </c>
      <c r="AH28" s="6">
        <f t="shared" si="3"/>
        <v>0</v>
      </c>
      <c r="AI28" s="6">
        <f t="shared" si="3"/>
        <v>0</v>
      </c>
      <c r="AJ28" s="6">
        <f t="shared" si="0"/>
        <v>11894674.290000001</v>
      </c>
    </row>
    <row r="29" spans="1:36" x14ac:dyDescent="0.25">
      <c r="A29" s="3" t="s">
        <v>58</v>
      </c>
      <c r="B29" s="6">
        <f t="shared" ref="B29:AI29" si="4">((((B19)+(B22))+(B23))+(B24))+(B28)</f>
        <v>2253361.6800000002</v>
      </c>
      <c r="C29" s="6">
        <f t="shared" si="4"/>
        <v>490.44</v>
      </c>
      <c r="D29" s="6">
        <f t="shared" si="4"/>
        <v>4974.96</v>
      </c>
      <c r="E29" s="6">
        <f t="shared" si="4"/>
        <v>59999.91</v>
      </c>
      <c r="F29" s="6">
        <f t="shared" si="4"/>
        <v>2374956.6100000003</v>
      </c>
      <c r="G29" s="6">
        <f t="shared" si="4"/>
        <v>50730.61</v>
      </c>
      <c r="H29" s="6">
        <f t="shared" si="4"/>
        <v>83053.25</v>
      </c>
      <c r="I29" s="6">
        <f t="shared" si="4"/>
        <v>82089.59</v>
      </c>
      <c r="J29" s="6">
        <f t="shared" si="4"/>
        <v>127887.78</v>
      </c>
      <c r="K29" s="6">
        <f t="shared" si="4"/>
        <v>1770332.44</v>
      </c>
      <c r="L29" s="6">
        <f t="shared" si="4"/>
        <v>46289.27</v>
      </c>
      <c r="M29" s="6">
        <f t="shared" si="4"/>
        <v>69089.960000000006</v>
      </c>
      <c r="N29" s="6">
        <f t="shared" si="4"/>
        <v>1299143.96</v>
      </c>
      <c r="O29" s="6">
        <f t="shared" si="4"/>
        <v>1472757.9</v>
      </c>
      <c r="P29" s="6">
        <f t="shared" si="4"/>
        <v>182891.5</v>
      </c>
      <c r="Q29" s="6">
        <f t="shared" si="4"/>
        <v>585324.85</v>
      </c>
      <c r="R29" s="6">
        <f t="shared" si="4"/>
        <v>404649.08</v>
      </c>
      <c r="S29" s="6">
        <f t="shared" si="4"/>
        <v>116232.24</v>
      </c>
      <c r="T29" s="6">
        <f t="shared" si="4"/>
        <v>73658.740000000005</v>
      </c>
      <c r="U29" s="6">
        <f t="shared" si="4"/>
        <v>211660.85</v>
      </c>
      <c r="V29" s="6">
        <f t="shared" si="4"/>
        <v>992215.83</v>
      </c>
      <c r="W29" s="6">
        <f t="shared" si="4"/>
        <v>388276.34</v>
      </c>
      <c r="X29" s="6">
        <f t="shared" si="4"/>
        <v>5000</v>
      </c>
      <c r="Y29" s="6">
        <f t="shared" si="4"/>
        <v>540814.37</v>
      </c>
      <c r="Z29" s="6">
        <f t="shared" si="4"/>
        <v>9155.0400000000009</v>
      </c>
      <c r="AA29" s="6">
        <f t="shared" si="4"/>
        <v>1682.78</v>
      </c>
      <c r="AB29" s="6">
        <f t="shared" si="4"/>
        <v>4482.87</v>
      </c>
      <c r="AC29" s="6">
        <f t="shared" si="4"/>
        <v>30800</v>
      </c>
      <c r="AD29" s="6">
        <f t="shared" si="4"/>
        <v>1394378.86</v>
      </c>
      <c r="AE29" s="6">
        <f t="shared" si="4"/>
        <v>590560.25</v>
      </c>
      <c r="AF29" s="6">
        <f t="shared" si="4"/>
        <v>3313805.06</v>
      </c>
      <c r="AG29" s="6">
        <f t="shared" si="4"/>
        <v>103234.22</v>
      </c>
      <c r="AH29" s="6">
        <f t="shared" si="4"/>
        <v>0</v>
      </c>
      <c r="AI29" s="6">
        <f t="shared" si="4"/>
        <v>0</v>
      </c>
      <c r="AJ29" s="6">
        <f t="shared" si="0"/>
        <v>18643981.239999995</v>
      </c>
    </row>
    <row r="30" spans="1:36" x14ac:dyDescent="0.25">
      <c r="A30" s="3" t="s">
        <v>59</v>
      </c>
      <c r="B30" s="6">
        <f t="shared" ref="B30:AI30" si="5">(B29)-(0)</f>
        <v>2253361.6800000002</v>
      </c>
      <c r="C30" s="6">
        <f t="shared" si="5"/>
        <v>490.44</v>
      </c>
      <c r="D30" s="6">
        <f t="shared" si="5"/>
        <v>4974.96</v>
      </c>
      <c r="E30" s="6">
        <f t="shared" si="5"/>
        <v>59999.91</v>
      </c>
      <c r="F30" s="6">
        <f t="shared" si="5"/>
        <v>2374956.6100000003</v>
      </c>
      <c r="G30" s="6">
        <f t="shared" si="5"/>
        <v>50730.61</v>
      </c>
      <c r="H30" s="6">
        <f t="shared" si="5"/>
        <v>83053.25</v>
      </c>
      <c r="I30" s="6">
        <f t="shared" si="5"/>
        <v>82089.59</v>
      </c>
      <c r="J30" s="6">
        <f t="shared" si="5"/>
        <v>127887.78</v>
      </c>
      <c r="K30" s="6">
        <f t="shared" si="5"/>
        <v>1770332.44</v>
      </c>
      <c r="L30" s="6">
        <f t="shared" si="5"/>
        <v>46289.27</v>
      </c>
      <c r="M30" s="6">
        <f t="shared" si="5"/>
        <v>69089.960000000006</v>
      </c>
      <c r="N30" s="6">
        <f t="shared" si="5"/>
        <v>1299143.96</v>
      </c>
      <c r="O30" s="6">
        <f t="shared" si="5"/>
        <v>1472757.9</v>
      </c>
      <c r="P30" s="6">
        <f t="shared" si="5"/>
        <v>182891.5</v>
      </c>
      <c r="Q30" s="6">
        <f t="shared" si="5"/>
        <v>585324.85</v>
      </c>
      <c r="R30" s="6">
        <f t="shared" si="5"/>
        <v>404649.08</v>
      </c>
      <c r="S30" s="6">
        <f t="shared" si="5"/>
        <v>116232.24</v>
      </c>
      <c r="T30" s="6">
        <f t="shared" si="5"/>
        <v>73658.740000000005</v>
      </c>
      <c r="U30" s="6">
        <f t="shared" si="5"/>
        <v>211660.85</v>
      </c>
      <c r="V30" s="6">
        <f t="shared" si="5"/>
        <v>992215.83</v>
      </c>
      <c r="W30" s="6">
        <f t="shared" si="5"/>
        <v>388276.34</v>
      </c>
      <c r="X30" s="6">
        <f t="shared" si="5"/>
        <v>5000</v>
      </c>
      <c r="Y30" s="6">
        <f t="shared" si="5"/>
        <v>540814.37</v>
      </c>
      <c r="Z30" s="6">
        <f t="shared" si="5"/>
        <v>9155.0400000000009</v>
      </c>
      <c r="AA30" s="6">
        <f t="shared" si="5"/>
        <v>1682.78</v>
      </c>
      <c r="AB30" s="6">
        <f t="shared" si="5"/>
        <v>4482.87</v>
      </c>
      <c r="AC30" s="6">
        <f t="shared" si="5"/>
        <v>30800</v>
      </c>
      <c r="AD30" s="6">
        <f t="shared" si="5"/>
        <v>1394378.86</v>
      </c>
      <c r="AE30" s="6">
        <f t="shared" si="5"/>
        <v>590560.25</v>
      </c>
      <c r="AF30" s="6">
        <f t="shared" si="5"/>
        <v>3313805.06</v>
      </c>
      <c r="AG30" s="6">
        <f t="shared" si="5"/>
        <v>103234.22</v>
      </c>
      <c r="AH30" s="6">
        <f t="shared" si="5"/>
        <v>0</v>
      </c>
      <c r="AI30" s="6">
        <f t="shared" si="5"/>
        <v>0</v>
      </c>
      <c r="AJ30" s="6">
        <f t="shared" si="0"/>
        <v>18643981.239999995</v>
      </c>
    </row>
    <row r="31" spans="1:36" x14ac:dyDescent="0.25">
      <c r="A31" s="3" t="s">
        <v>60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1:36" x14ac:dyDescent="0.25">
      <c r="A32" s="3" t="s">
        <v>61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5">
        <f t="shared" ref="AJ32:AJ63" si="6">(((((((((((((((((((((((((((((((((B32)+(C32))+(D32))+(E32))+(F32))+(G32))+(H32))+(I32))+(J32))+(K32))+(L32))+(M32))+(N32))+(O32))+(P32))+(Q32))+(R32))+(S32))+(T32))+(U32))+(V32))+(W32))+(X32))+(Y32))+(Z32))+(AA32))+(AB32))+(AC32))+(AD32))+(AE32))+(AF32))+(AG32))+(AH32))+(AI32)</f>
        <v>0</v>
      </c>
    </row>
    <row r="33" spans="1:36" x14ac:dyDescent="0.25">
      <c r="A33" s="3" t="s">
        <v>62</v>
      </c>
      <c r="B33" s="5">
        <f>411140.21</f>
        <v>411140.21</v>
      </c>
      <c r="C33" s="4"/>
      <c r="D33" s="4"/>
      <c r="E33" s="5">
        <f>22785.59</f>
        <v>22785.59</v>
      </c>
      <c r="F33" s="5">
        <f>1043387.67</f>
        <v>1043387.67</v>
      </c>
      <c r="G33" s="5">
        <f>17996.36</f>
        <v>17996.36</v>
      </c>
      <c r="H33" s="5">
        <f>31463.37</f>
        <v>31463.37</v>
      </c>
      <c r="I33" s="5">
        <f>56796.72</f>
        <v>56796.72</v>
      </c>
      <c r="J33" s="4"/>
      <c r="K33" s="5">
        <f>0</f>
        <v>0</v>
      </c>
      <c r="L33" s="5">
        <f>-1971.79</f>
        <v>-1971.79</v>
      </c>
      <c r="M33" s="5">
        <f>62310</f>
        <v>62310</v>
      </c>
      <c r="N33" s="5">
        <f>902395.97</f>
        <v>902395.97</v>
      </c>
      <c r="O33" s="5">
        <f>103438.08</f>
        <v>103438.08</v>
      </c>
      <c r="P33" s="4"/>
      <c r="Q33" s="4"/>
      <c r="R33" s="5">
        <f>94416.52</f>
        <v>94416.52</v>
      </c>
      <c r="S33" s="5">
        <f>102188.88</f>
        <v>102188.88</v>
      </c>
      <c r="T33" s="5">
        <f>11656.86</f>
        <v>11656.86</v>
      </c>
      <c r="U33" s="5">
        <f>75370.92</f>
        <v>75370.92</v>
      </c>
      <c r="V33" s="5">
        <f>443152.51</f>
        <v>443152.51</v>
      </c>
      <c r="W33" s="5">
        <f>196711.49</f>
        <v>196711.49</v>
      </c>
      <c r="X33" s="4"/>
      <c r="Y33" s="5">
        <f>128141.2</f>
        <v>128141.2</v>
      </c>
      <c r="Z33" s="5">
        <f>1456.32</f>
        <v>1456.32</v>
      </c>
      <c r="AA33" s="4"/>
      <c r="AB33" s="4"/>
      <c r="AC33" s="5">
        <f>10000</f>
        <v>10000</v>
      </c>
      <c r="AD33" s="5">
        <f>369679.46</f>
        <v>369679.46</v>
      </c>
      <c r="AE33" s="4"/>
      <c r="AF33" s="5">
        <f>492055.85</f>
        <v>492055.85</v>
      </c>
      <c r="AG33" s="5">
        <f>58720.8</f>
        <v>58720.800000000003</v>
      </c>
      <c r="AH33" s="4"/>
      <c r="AI33" s="5">
        <f>0</f>
        <v>0</v>
      </c>
      <c r="AJ33" s="5">
        <f t="shared" si="6"/>
        <v>4633292.99</v>
      </c>
    </row>
    <row r="34" spans="1:36" x14ac:dyDescent="0.25">
      <c r="A34" s="3" t="s">
        <v>63</v>
      </c>
      <c r="B34" s="5">
        <f>331078.19</f>
        <v>331078.19</v>
      </c>
      <c r="C34" s="4"/>
      <c r="D34" s="4"/>
      <c r="E34" s="5">
        <f>9737.84</f>
        <v>9737.84</v>
      </c>
      <c r="F34" s="5">
        <f>325540.55</f>
        <v>325540.55</v>
      </c>
      <c r="G34" s="4"/>
      <c r="H34" s="4"/>
      <c r="I34" s="4"/>
      <c r="J34" s="5">
        <f>91132.32</f>
        <v>91132.32</v>
      </c>
      <c r="K34" s="4"/>
      <c r="L34" s="4"/>
      <c r="M34" s="4"/>
      <c r="N34" s="5">
        <f>46350</f>
        <v>46350</v>
      </c>
      <c r="O34" s="5">
        <f>24819.48</f>
        <v>24819.48</v>
      </c>
      <c r="P34" s="5">
        <f>124671.45</f>
        <v>124671.45</v>
      </c>
      <c r="Q34" s="5">
        <f>401843.18</f>
        <v>401843.18</v>
      </c>
      <c r="R34" s="4"/>
      <c r="S34" s="4"/>
      <c r="T34" s="4"/>
      <c r="U34" s="5">
        <f>11186.24</f>
        <v>11186.24</v>
      </c>
      <c r="V34" s="5">
        <f>55407.2</f>
        <v>55407.199999999997</v>
      </c>
      <c r="W34" s="4"/>
      <c r="X34" s="4"/>
      <c r="Y34" s="5">
        <f>11298.75</f>
        <v>11298.75</v>
      </c>
      <c r="Z34" s="4"/>
      <c r="AA34" s="4"/>
      <c r="AB34" s="4"/>
      <c r="AC34" s="4"/>
      <c r="AD34" s="5">
        <f>48689.2</f>
        <v>48689.2</v>
      </c>
      <c r="AE34" s="5">
        <f>377526.38</f>
        <v>377526.38</v>
      </c>
      <c r="AF34" s="5">
        <f>58963.13</f>
        <v>58963.13</v>
      </c>
      <c r="AG34" s="4"/>
      <c r="AH34" s="4"/>
      <c r="AI34" s="4"/>
      <c r="AJ34" s="5">
        <f t="shared" si="6"/>
        <v>1918243.9099999997</v>
      </c>
    </row>
    <row r="35" spans="1:36" x14ac:dyDescent="0.25">
      <c r="A35" s="3" t="s">
        <v>64</v>
      </c>
      <c r="B35" s="6">
        <f t="shared" ref="B35:AI35" si="7">((B32)+(B33))+(B34)</f>
        <v>742218.4</v>
      </c>
      <c r="C35" s="6">
        <f t="shared" si="7"/>
        <v>0</v>
      </c>
      <c r="D35" s="6">
        <f t="shared" si="7"/>
        <v>0</v>
      </c>
      <c r="E35" s="6">
        <f t="shared" si="7"/>
        <v>32523.43</v>
      </c>
      <c r="F35" s="6">
        <f t="shared" si="7"/>
        <v>1368928.22</v>
      </c>
      <c r="G35" s="6">
        <f t="shared" si="7"/>
        <v>17996.36</v>
      </c>
      <c r="H35" s="6">
        <f t="shared" si="7"/>
        <v>31463.37</v>
      </c>
      <c r="I35" s="6">
        <f t="shared" si="7"/>
        <v>56796.72</v>
      </c>
      <c r="J35" s="6">
        <f t="shared" si="7"/>
        <v>91132.32</v>
      </c>
      <c r="K35" s="6">
        <f t="shared" si="7"/>
        <v>0</v>
      </c>
      <c r="L35" s="6">
        <f t="shared" si="7"/>
        <v>-1971.79</v>
      </c>
      <c r="M35" s="6">
        <f t="shared" si="7"/>
        <v>62310</v>
      </c>
      <c r="N35" s="6">
        <f t="shared" si="7"/>
        <v>948745.97</v>
      </c>
      <c r="O35" s="6">
        <f t="shared" si="7"/>
        <v>128257.56</v>
      </c>
      <c r="P35" s="6">
        <f t="shared" si="7"/>
        <v>124671.45</v>
      </c>
      <c r="Q35" s="6">
        <f t="shared" si="7"/>
        <v>401843.18</v>
      </c>
      <c r="R35" s="6">
        <f t="shared" si="7"/>
        <v>94416.52</v>
      </c>
      <c r="S35" s="6">
        <f t="shared" si="7"/>
        <v>102188.88</v>
      </c>
      <c r="T35" s="6">
        <f t="shared" si="7"/>
        <v>11656.86</v>
      </c>
      <c r="U35" s="6">
        <f t="shared" si="7"/>
        <v>86557.16</v>
      </c>
      <c r="V35" s="6">
        <f t="shared" si="7"/>
        <v>498559.71</v>
      </c>
      <c r="W35" s="6">
        <f t="shared" si="7"/>
        <v>196711.49</v>
      </c>
      <c r="X35" s="6">
        <f t="shared" si="7"/>
        <v>0</v>
      </c>
      <c r="Y35" s="6">
        <f t="shared" si="7"/>
        <v>139439.95000000001</v>
      </c>
      <c r="Z35" s="6">
        <f t="shared" si="7"/>
        <v>1456.32</v>
      </c>
      <c r="AA35" s="6">
        <f t="shared" si="7"/>
        <v>0</v>
      </c>
      <c r="AB35" s="6">
        <f t="shared" si="7"/>
        <v>0</v>
      </c>
      <c r="AC35" s="6">
        <f t="shared" si="7"/>
        <v>10000</v>
      </c>
      <c r="AD35" s="6">
        <f t="shared" si="7"/>
        <v>418368.66000000003</v>
      </c>
      <c r="AE35" s="6">
        <f t="shared" si="7"/>
        <v>377526.38</v>
      </c>
      <c r="AF35" s="6">
        <f t="shared" si="7"/>
        <v>551018.98</v>
      </c>
      <c r="AG35" s="6">
        <f t="shared" si="7"/>
        <v>58720.800000000003</v>
      </c>
      <c r="AH35" s="6">
        <f t="shared" si="7"/>
        <v>0</v>
      </c>
      <c r="AI35" s="6">
        <f t="shared" si="7"/>
        <v>0</v>
      </c>
      <c r="AJ35" s="6">
        <f t="shared" si="6"/>
        <v>6551536.9000000013</v>
      </c>
    </row>
    <row r="36" spans="1:36" x14ac:dyDescent="0.25">
      <c r="A36" s="3" t="s">
        <v>65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5">
        <f t="shared" si="6"/>
        <v>0</v>
      </c>
    </row>
    <row r="37" spans="1:36" x14ac:dyDescent="0.25">
      <c r="A37" s="3" t="s">
        <v>66</v>
      </c>
      <c r="B37" s="4"/>
      <c r="C37" s="4"/>
      <c r="D37" s="4"/>
      <c r="E37" s="5">
        <f>4.95</f>
        <v>4.95</v>
      </c>
      <c r="F37" s="4"/>
      <c r="G37" s="5">
        <f>2.09</f>
        <v>2.09</v>
      </c>
      <c r="H37" s="5">
        <f>3.84</f>
        <v>3.84</v>
      </c>
      <c r="I37" s="4"/>
      <c r="J37" s="4"/>
      <c r="K37" s="4"/>
      <c r="L37" s="5">
        <f>-0.27</f>
        <v>-0.27</v>
      </c>
      <c r="M37" s="4"/>
      <c r="N37" s="4"/>
      <c r="O37" s="5">
        <f>18.95</f>
        <v>18.95</v>
      </c>
      <c r="P37" s="5">
        <f>0</f>
        <v>0</v>
      </c>
      <c r="Q37" s="4"/>
      <c r="R37" s="5">
        <f>13.75</f>
        <v>13.75</v>
      </c>
      <c r="S37" s="4"/>
      <c r="T37" s="4"/>
      <c r="U37" s="5">
        <f>11.32</f>
        <v>11.32</v>
      </c>
      <c r="V37" s="5">
        <f>64.29</f>
        <v>64.290000000000006</v>
      </c>
      <c r="W37" s="5">
        <f>24.76</f>
        <v>24.76</v>
      </c>
      <c r="X37" s="4"/>
      <c r="Y37" s="5">
        <f>14.13</f>
        <v>14.13</v>
      </c>
      <c r="Z37" s="5">
        <f>0.3</f>
        <v>0.3</v>
      </c>
      <c r="AA37" s="4"/>
      <c r="AB37" s="4"/>
      <c r="AC37" s="4"/>
      <c r="AD37" s="5">
        <f>66.86</f>
        <v>66.86</v>
      </c>
      <c r="AE37" s="5">
        <f>48.48</f>
        <v>48.48</v>
      </c>
      <c r="AF37" s="5">
        <f>78.64</f>
        <v>78.64</v>
      </c>
      <c r="AG37" s="5">
        <f>10</f>
        <v>10</v>
      </c>
      <c r="AH37" s="4"/>
      <c r="AI37" s="4"/>
      <c r="AJ37" s="5">
        <f t="shared" si="6"/>
        <v>362.09000000000003</v>
      </c>
    </row>
    <row r="38" spans="1:36" x14ac:dyDescent="0.25">
      <c r="A38" s="3" t="s">
        <v>67</v>
      </c>
      <c r="B38" s="5">
        <f>4240</f>
        <v>4240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5">
        <f t="shared" si="6"/>
        <v>4240</v>
      </c>
    </row>
    <row r="39" spans="1:36" x14ac:dyDescent="0.25">
      <c r="A39" s="3" t="s">
        <v>68</v>
      </c>
      <c r="B39" s="5">
        <f>19735.47</f>
        <v>19735.47</v>
      </c>
      <c r="C39" s="4"/>
      <c r="D39" s="4"/>
      <c r="E39" s="5">
        <f>515.13</f>
        <v>515.13</v>
      </c>
      <c r="F39" s="5">
        <f>19229</f>
        <v>19229</v>
      </c>
      <c r="G39" s="4"/>
      <c r="H39" s="4"/>
      <c r="I39" s="4"/>
      <c r="J39" s="5">
        <f>5398.1</f>
        <v>5398.1</v>
      </c>
      <c r="K39" s="4"/>
      <c r="L39" s="4"/>
      <c r="M39" s="4"/>
      <c r="N39" s="5">
        <f>2755.3</f>
        <v>2755.3</v>
      </c>
      <c r="O39" s="5">
        <f>1486.08</f>
        <v>1486.08</v>
      </c>
      <c r="P39" s="5">
        <f>7519.31</f>
        <v>7519.31</v>
      </c>
      <c r="Q39" s="5">
        <f>23614.47</f>
        <v>23614.47</v>
      </c>
      <c r="R39" s="4"/>
      <c r="S39" s="4"/>
      <c r="T39" s="4"/>
      <c r="U39" s="5">
        <f>679.25</f>
        <v>679.25</v>
      </c>
      <c r="V39" s="5">
        <f>3363.77</f>
        <v>3363.77</v>
      </c>
      <c r="W39" s="4"/>
      <c r="X39" s="4"/>
      <c r="Y39" s="5">
        <f>657.55</f>
        <v>657.55</v>
      </c>
      <c r="Z39" s="4"/>
      <c r="AA39" s="4"/>
      <c r="AB39" s="4"/>
      <c r="AC39" s="4"/>
      <c r="AD39" s="5">
        <f>2564.82</f>
        <v>2564.8200000000002</v>
      </c>
      <c r="AE39" s="5">
        <f>22812.91</f>
        <v>22812.91</v>
      </c>
      <c r="AF39" s="5">
        <f>3532.86</f>
        <v>3532.86</v>
      </c>
      <c r="AG39" s="4"/>
      <c r="AH39" s="4"/>
      <c r="AI39" s="4"/>
      <c r="AJ39" s="5">
        <f t="shared" si="6"/>
        <v>113864.02000000003</v>
      </c>
    </row>
    <row r="40" spans="1:36" x14ac:dyDescent="0.25">
      <c r="A40" s="3" t="s">
        <v>69</v>
      </c>
      <c r="B40" s="5">
        <f>10924.18</f>
        <v>10924.18</v>
      </c>
      <c r="C40" s="4"/>
      <c r="D40" s="4"/>
      <c r="E40" s="5">
        <f>435.26</f>
        <v>435.26</v>
      </c>
      <c r="F40" s="5">
        <f>18937.43</f>
        <v>18937.43</v>
      </c>
      <c r="G40" s="5">
        <f>260.05</f>
        <v>260.05</v>
      </c>
      <c r="H40" s="5">
        <f>364.5</f>
        <v>364.5</v>
      </c>
      <c r="I40" s="5">
        <f>723.88</f>
        <v>723.88</v>
      </c>
      <c r="J40" s="5">
        <f>1262.42</f>
        <v>1262.42</v>
      </c>
      <c r="K40" s="4"/>
      <c r="L40" s="5">
        <f>-26.87</f>
        <v>-26.87</v>
      </c>
      <c r="M40" s="5">
        <f>889.32</f>
        <v>889.32</v>
      </c>
      <c r="N40" s="5">
        <f>13150.48</f>
        <v>13150.48</v>
      </c>
      <c r="O40" s="5">
        <f>1748.61</f>
        <v>1748.61</v>
      </c>
      <c r="P40" s="5">
        <f>1758.54</f>
        <v>1758.54</v>
      </c>
      <c r="Q40" s="5">
        <f>5522.74</f>
        <v>5522.74</v>
      </c>
      <c r="R40" s="5">
        <f>1327.4</f>
        <v>1327.4</v>
      </c>
      <c r="S40" s="5">
        <f>1435.8</f>
        <v>1435.8</v>
      </c>
      <c r="T40" s="5">
        <f>169.02</f>
        <v>169.02</v>
      </c>
      <c r="U40" s="5">
        <f>1205.38</f>
        <v>1205.3800000000001</v>
      </c>
      <c r="V40" s="5">
        <f>6947.19</f>
        <v>6947.19</v>
      </c>
      <c r="W40" s="5">
        <f>2726.71</f>
        <v>2726.71</v>
      </c>
      <c r="X40" s="4"/>
      <c r="Y40" s="5">
        <f>1961.83</f>
        <v>1961.83</v>
      </c>
      <c r="Z40" s="5">
        <f>18.76</f>
        <v>18.760000000000002</v>
      </c>
      <c r="AA40" s="4"/>
      <c r="AB40" s="4"/>
      <c r="AC40" s="4"/>
      <c r="AD40" s="5">
        <f>5740.96</f>
        <v>5740.96</v>
      </c>
      <c r="AE40" s="5">
        <f>5335.3</f>
        <v>5335.3</v>
      </c>
      <c r="AF40" s="5">
        <f>7723.79</f>
        <v>7723.79</v>
      </c>
      <c r="AG40" s="5">
        <f>836.52</f>
        <v>836.52</v>
      </c>
      <c r="AH40" s="4"/>
      <c r="AI40" s="5">
        <f>0</f>
        <v>0</v>
      </c>
      <c r="AJ40" s="5">
        <f t="shared" si="6"/>
        <v>91379.199999999997</v>
      </c>
    </row>
    <row r="41" spans="1:36" x14ac:dyDescent="0.25">
      <c r="A41" s="3" t="s">
        <v>70</v>
      </c>
      <c r="B41" s="5">
        <f>16648.88</f>
        <v>16648.88</v>
      </c>
      <c r="C41" s="4"/>
      <c r="D41" s="4"/>
      <c r="E41" s="5">
        <f>3705.93</f>
        <v>3705.93</v>
      </c>
      <c r="F41" s="5">
        <f>31676.31</f>
        <v>31676.31</v>
      </c>
      <c r="G41" s="5">
        <f>3033.26</f>
        <v>3033.26</v>
      </c>
      <c r="H41" s="5">
        <f>4247.94</f>
        <v>4247.9399999999996</v>
      </c>
      <c r="I41" s="5">
        <f>1878.56</f>
        <v>1878.56</v>
      </c>
      <c r="J41" s="4"/>
      <c r="K41" s="4"/>
      <c r="L41" s="5">
        <f>-317.56</f>
        <v>-317.56</v>
      </c>
      <c r="M41" s="5">
        <f>1869.36</f>
        <v>1869.36</v>
      </c>
      <c r="N41" s="5">
        <f>28319.39</f>
        <v>28319.39</v>
      </c>
      <c r="O41" s="5">
        <f>16392.24</f>
        <v>16392.240000000002</v>
      </c>
      <c r="P41" s="4"/>
      <c r="Q41" s="4"/>
      <c r="R41" s="5">
        <f>12731.18</f>
        <v>12731.18</v>
      </c>
      <c r="S41" s="5">
        <f>3065.76</f>
        <v>3065.76</v>
      </c>
      <c r="T41" s="5">
        <f>1602.84</f>
        <v>1602.84</v>
      </c>
      <c r="U41" s="5">
        <f>12138.48</f>
        <v>12138.48</v>
      </c>
      <c r="V41" s="5">
        <f>70546.17</f>
        <v>70546.17</v>
      </c>
      <c r="W41" s="5">
        <f>30984.73</f>
        <v>30984.73</v>
      </c>
      <c r="X41" s="4"/>
      <c r="Y41" s="5">
        <f>20598.04</f>
        <v>20598.04</v>
      </c>
      <c r="Z41" s="5">
        <f>74.52</f>
        <v>74.52</v>
      </c>
      <c r="AA41" s="4"/>
      <c r="AB41" s="4"/>
      <c r="AC41" s="4"/>
      <c r="AD41" s="5">
        <f>60603.37</f>
        <v>60603.37</v>
      </c>
      <c r="AE41" s="4"/>
      <c r="AF41" s="5">
        <f>72919.36</f>
        <v>72919.360000000001</v>
      </c>
      <c r="AG41" s="5">
        <f>8074.08</f>
        <v>8074.08</v>
      </c>
      <c r="AH41" s="4"/>
      <c r="AI41" s="5">
        <f>0</f>
        <v>0</v>
      </c>
      <c r="AJ41" s="5">
        <f t="shared" si="6"/>
        <v>400792.84</v>
      </c>
    </row>
    <row r="42" spans="1:36" x14ac:dyDescent="0.25">
      <c r="A42" s="3" t="s">
        <v>71</v>
      </c>
      <c r="B42" s="5">
        <f>65275.18</f>
        <v>65275.18</v>
      </c>
      <c r="C42" s="4"/>
      <c r="D42" s="4"/>
      <c r="E42" s="5">
        <f>1919.32</f>
        <v>1919.32</v>
      </c>
      <c r="F42" s="5">
        <f>64164.28</f>
        <v>64164.28</v>
      </c>
      <c r="G42" s="4"/>
      <c r="H42" s="4"/>
      <c r="I42" s="4"/>
      <c r="J42" s="5">
        <f>17962.09</f>
        <v>17962.09</v>
      </c>
      <c r="K42" s="4"/>
      <c r="L42" s="4"/>
      <c r="M42" s="4"/>
      <c r="N42" s="5">
        <f>9135.6</f>
        <v>9135.6</v>
      </c>
      <c r="O42" s="5">
        <f>4891.93</f>
        <v>4891.93</v>
      </c>
      <c r="P42" s="5">
        <f>23887.92</f>
        <v>23887.919999999998</v>
      </c>
      <c r="Q42" s="5">
        <f>79202.91</f>
        <v>79202.91</v>
      </c>
      <c r="R42" s="4"/>
      <c r="S42" s="4"/>
      <c r="T42" s="4"/>
      <c r="U42" s="5">
        <f>1443.72</f>
        <v>1443.72</v>
      </c>
      <c r="V42" s="5">
        <f>7115.33</f>
        <v>7115.33</v>
      </c>
      <c r="W42" s="4"/>
      <c r="X42" s="4"/>
      <c r="Y42" s="5">
        <f>2226.99</f>
        <v>2226.9899999999998</v>
      </c>
      <c r="Z42" s="4"/>
      <c r="AA42" s="4"/>
      <c r="AB42" s="4"/>
      <c r="AC42" s="4"/>
      <c r="AD42" s="5">
        <f>9596.6</f>
        <v>9596.6</v>
      </c>
      <c r="AE42" s="5">
        <f>70359.62</f>
        <v>70359.62</v>
      </c>
      <c r="AF42" s="5">
        <f>11602.35</f>
        <v>11602.35</v>
      </c>
      <c r="AG42" s="4"/>
      <c r="AH42" s="4"/>
      <c r="AI42" s="4"/>
      <c r="AJ42" s="5">
        <f t="shared" si="6"/>
        <v>368783.83999999991</v>
      </c>
    </row>
    <row r="43" spans="1:36" x14ac:dyDescent="0.25">
      <c r="A43" s="3" t="s">
        <v>72</v>
      </c>
      <c r="B43" s="4"/>
      <c r="C43" s="4"/>
      <c r="D43" s="4"/>
      <c r="E43" s="5">
        <f>6181.33</f>
        <v>6181.33</v>
      </c>
      <c r="F43" s="4"/>
      <c r="G43" s="5">
        <f>1650.03</f>
        <v>1650.03</v>
      </c>
      <c r="H43" s="5">
        <f>1349.7</f>
        <v>1349.7</v>
      </c>
      <c r="I43" s="4"/>
      <c r="J43" s="4"/>
      <c r="K43" s="4"/>
      <c r="L43" s="5">
        <f>-302.37</f>
        <v>-302.37</v>
      </c>
      <c r="M43" s="4"/>
      <c r="N43" s="4"/>
      <c r="O43" s="5">
        <f>25589.33</f>
        <v>25589.33</v>
      </c>
      <c r="P43" s="5">
        <f>3853.1</f>
        <v>3853.1</v>
      </c>
      <c r="Q43" s="4"/>
      <c r="R43" s="5">
        <f>16131.28</f>
        <v>16131.28</v>
      </c>
      <c r="S43" s="4"/>
      <c r="T43" s="4"/>
      <c r="U43" s="5">
        <f>12805.22</f>
        <v>12805.22</v>
      </c>
      <c r="V43" s="5">
        <f>72568.18</f>
        <v>72568.179999999993</v>
      </c>
      <c r="W43" s="5">
        <f>19988.05</f>
        <v>19988.05</v>
      </c>
      <c r="X43" s="4"/>
      <c r="Y43" s="5">
        <f>13002.82</f>
        <v>13002.82</v>
      </c>
      <c r="Z43" s="5">
        <f>503.76</f>
        <v>503.76</v>
      </c>
      <c r="AA43" s="4"/>
      <c r="AB43" s="4"/>
      <c r="AC43" s="4"/>
      <c r="AD43" s="5">
        <f>76591.98</f>
        <v>76591.98</v>
      </c>
      <c r="AE43" s="5">
        <f>47175.96</f>
        <v>47175.96</v>
      </c>
      <c r="AF43" s="5">
        <f>54387.93</f>
        <v>54387.93</v>
      </c>
      <c r="AG43" s="5">
        <f>8773</f>
        <v>8773</v>
      </c>
      <c r="AH43" s="4"/>
      <c r="AI43" s="4"/>
      <c r="AJ43" s="5">
        <f t="shared" si="6"/>
        <v>360249.3</v>
      </c>
    </row>
    <row r="44" spans="1:36" x14ac:dyDescent="0.25">
      <c r="A44" s="3" t="s">
        <v>73</v>
      </c>
      <c r="B44" s="5">
        <f>-3344.48</f>
        <v>-3344.48</v>
      </c>
      <c r="C44" s="4"/>
      <c r="D44" s="4"/>
      <c r="E44" s="4"/>
      <c r="F44" s="5">
        <f>2317.56</f>
        <v>2317.56</v>
      </c>
      <c r="G44" s="4"/>
      <c r="H44" s="4"/>
      <c r="I44" s="5">
        <f>60</f>
        <v>60</v>
      </c>
      <c r="J44" s="5">
        <f>60</f>
        <v>60</v>
      </c>
      <c r="K44" s="4"/>
      <c r="L44" s="4"/>
      <c r="M44" s="5">
        <f>60</f>
        <v>60</v>
      </c>
      <c r="N44" s="5">
        <f>960</f>
        <v>960</v>
      </c>
      <c r="O44" s="5">
        <f>60</f>
        <v>60</v>
      </c>
      <c r="P44" s="5">
        <f>301.79</f>
        <v>301.79000000000002</v>
      </c>
      <c r="Q44" s="5">
        <f>566.68</f>
        <v>566.67999999999995</v>
      </c>
      <c r="R44" s="5">
        <f>120</f>
        <v>120</v>
      </c>
      <c r="S44" s="5">
        <f>60</f>
        <v>60</v>
      </c>
      <c r="T44" s="4"/>
      <c r="U44" s="5">
        <f>4.39</f>
        <v>4.3899999999999997</v>
      </c>
      <c r="V44" s="5">
        <f>600</f>
        <v>600</v>
      </c>
      <c r="W44" s="5">
        <f>120</f>
        <v>120</v>
      </c>
      <c r="X44" s="4"/>
      <c r="Y44" s="4"/>
      <c r="Z44" s="4"/>
      <c r="AA44" s="4"/>
      <c r="AB44" s="4"/>
      <c r="AC44" s="4"/>
      <c r="AD44" s="5">
        <f>360</f>
        <v>360</v>
      </c>
      <c r="AE44" s="5">
        <f>418</f>
        <v>418</v>
      </c>
      <c r="AF44" s="5">
        <f>429.07</f>
        <v>429.07</v>
      </c>
      <c r="AG44" s="5">
        <f>120</f>
        <v>120</v>
      </c>
      <c r="AH44" s="4"/>
      <c r="AI44" s="4"/>
      <c r="AJ44" s="5">
        <f t="shared" si="6"/>
        <v>3273.01</v>
      </c>
    </row>
    <row r="45" spans="1:36" x14ac:dyDescent="0.25">
      <c r="A45" s="3" t="s">
        <v>74</v>
      </c>
      <c r="B45" s="5">
        <f>6756.29</f>
        <v>6756.29</v>
      </c>
      <c r="C45" s="4"/>
      <c r="D45" s="4"/>
      <c r="E45" s="4"/>
      <c r="F45" s="5">
        <f>12496</f>
        <v>12496</v>
      </c>
      <c r="G45" s="4"/>
      <c r="H45" s="4"/>
      <c r="I45" s="5">
        <f>497</f>
        <v>497</v>
      </c>
      <c r="J45" s="5">
        <f>777</f>
        <v>777</v>
      </c>
      <c r="K45" s="4"/>
      <c r="L45" s="4"/>
      <c r="M45" s="5">
        <f>531</f>
        <v>531</v>
      </c>
      <c r="N45" s="5">
        <f>7973</f>
        <v>7973</v>
      </c>
      <c r="O45" s="5">
        <f>1094</f>
        <v>1094</v>
      </c>
      <c r="P45" s="5">
        <f>457.3</f>
        <v>457.3</v>
      </c>
      <c r="Q45" s="5">
        <f>3641</f>
        <v>3641</v>
      </c>
      <c r="R45" s="5">
        <f>878</f>
        <v>878</v>
      </c>
      <c r="S45" s="5">
        <f>872</f>
        <v>872</v>
      </c>
      <c r="T45" s="4"/>
      <c r="U45" s="4"/>
      <c r="V45" s="5">
        <f>5090</f>
        <v>5090</v>
      </c>
      <c r="W45" s="5">
        <f>1678</f>
        <v>1678</v>
      </c>
      <c r="X45" s="4"/>
      <c r="Y45" s="4"/>
      <c r="Z45" s="4"/>
      <c r="AA45" s="4"/>
      <c r="AB45" s="4"/>
      <c r="AC45" s="4"/>
      <c r="AD45" s="5">
        <f>3582</f>
        <v>3582</v>
      </c>
      <c r="AE45" s="5">
        <f>4115.7</f>
        <v>4115.7</v>
      </c>
      <c r="AF45" s="5">
        <f>4799</f>
        <v>4799</v>
      </c>
      <c r="AG45" s="5">
        <f>501</f>
        <v>501</v>
      </c>
      <c r="AH45" s="4"/>
      <c r="AI45" s="4"/>
      <c r="AJ45" s="5">
        <f t="shared" si="6"/>
        <v>55738.289999999994</v>
      </c>
    </row>
    <row r="46" spans="1:36" x14ac:dyDescent="0.25">
      <c r="A46" s="3" t="s">
        <v>75</v>
      </c>
      <c r="B46" s="5">
        <f>70882.81</f>
        <v>70882.81</v>
      </c>
      <c r="C46" s="4"/>
      <c r="D46" s="4"/>
      <c r="E46" s="5">
        <f>650.47</f>
        <v>650.47</v>
      </c>
      <c r="F46" s="5">
        <f>13688.78</f>
        <v>13688.78</v>
      </c>
      <c r="G46" s="5">
        <f>359.92</f>
        <v>359.92</v>
      </c>
      <c r="H46" s="4"/>
      <c r="I46" s="5">
        <f>1135.96</f>
        <v>1135.96</v>
      </c>
      <c r="J46" s="5">
        <f>1822.68</f>
        <v>1822.68</v>
      </c>
      <c r="K46" s="4"/>
      <c r="L46" s="4"/>
      <c r="M46" s="5">
        <f>623.16</f>
        <v>623.16</v>
      </c>
      <c r="N46" s="5">
        <f>18974.92</f>
        <v>18974.919999999998</v>
      </c>
      <c r="O46" s="5">
        <f>2565.13</f>
        <v>2565.13</v>
      </c>
      <c r="P46" s="4"/>
      <c r="Q46" s="5">
        <f>8036.85</f>
        <v>8036.85</v>
      </c>
      <c r="R46" s="5">
        <f>1888.37</f>
        <v>1888.37</v>
      </c>
      <c r="S46" s="4"/>
      <c r="T46" s="4"/>
      <c r="U46" s="4"/>
      <c r="V46" s="4"/>
      <c r="W46" s="5">
        <f>3934.18</f>
        <v>3934.18</v>
      </c>
      <c r="X46" s="4"/>
      <c r="Y46" s="5">
        <f>2097.01</f>
        <v>2097.0100000000002</v>
      </c>
      <c r="Z46" s="4"/>
      <c r="AA46" s="4"/>
      <c r="AB46" s="4"/>
      <c r="AC46" s="4"/>
      <c r="AD46" s="5">
        <f>8362.19</f>
        <v>8362.19</v>
      </c>
      <c r="AE46" s="4"/>
      <c r="AF46" s="5">
        <f>11020.35</f>
        <v>11020.35</v>
      </c>
      <c r="AG46" s="4"/>
      <c r="AH46" s="4"/>
      <c r="AI46" s="4"/>
      <c r="AJ46" s="5">
        <f t="shared" si="6"/>
        <v>146042.78</v>
      </c>
    </row>
    <row r="47" spans="1:36" x14ac:dyDescent="0.25">
      <c r="A47" s="3" t="s">
        <v>76</v>
      </c>
      <c r="B47" s="4"/>
      <c r="C47" s="4"/>
      <c r="D47" s="4"/>
      <c r="E47" s="5">
        <f>39.6</f>
        <v>39.6</v>
      </c>
      <c r="F47" s="4"/>
      <c r="G47" s="5">
        <f>16.72</f>
        <v>16.72</v>
      </c>
      <c r="H47" s="5">
        <f>30.72</f>
        <v>30.72</v>
      </c>
      <c r="I47" s="4"/>
      <c r="J47" s="4"/>
      <c r="K47" s="4"/>
      <c r="L47" s="5">
        <f>-2.16</f>
        <v>-2.16</v>
      </c>
      <c r="M47" s="4"/>
      <c r="N47" s="4"/>
      <c r="O47" s="5">
        <f>151.6</f>
        <v>151.6</v>
      </c>
      <c r="P47" s="5">
        <f>0</f>
        <v>0</v>
      </c>
      <c r="Q47" s="4"/>
      <c r="R47" s="5">
        <f>110</f>
        <v>110</v>
      </c>
      <c r="S47" s="4"/>
      <c r="T47" s="4"/>
      <c r="U47" s="5">
        <f>90.56</f>
        <v>90.56</v>
      </c>
      <c r="V47" s="5">
        <f>514.32</f>
        <v>514.32000000000005</v>
      </c>
      <c r="W47" s="5">
        <f>198.08</f>
        <v>198.08</v>
      </c>
      <c r="X47" s="4"/>
      <c r="Y47" s="5">
        <f>113.04</f>
        <v>113.04</v>
      </c>
      <c r="Z47" s="5">
        <f>2.4</f>
        <v>2.4</v>
      </c>
      <c r="AA47" s="4"/>
      <c r="AB47" s="4"/>
      <c r="AC47" s="4"/>
      <c r="AD47" s="5">
        <f>534.8</f>
        <v>534.79999999999995</v>
      </c>
      <c r="AE47" s="5">
        <f>387.84</f>
        <v>387.84</v>
      </c>
      <c r="AF47" s="5">
        <f>629.04</f>
        <v>629.04</v>
      </c>
      <c r="AG47" s="5">
        <f>80</f>
        <v>80</v>
      </c>
      <c r="AH47" s="4"/>
      <c r="AI47" s="4"/>
      <c r="AJ47" s="5">
        <f t="shared" si="6"/>
        <v>2896.56</v>
      </c>
    </row>
    <row r="48" spans="1:36" x14ac:dyDescent="0.25">
      <c r="A48" s="3" t="s">
        <v>77</v>
      </c>
      <c r="B48" s="6">
        <f t="shared" ref="B48:AI48" si="8">(((((((((((B36)+(B37))+(B38))+(B39))+(B40))+(B41))+(B42))+(B43))+(B44))+(B45))+(B46))+(B47)</f>
        <v>191118.33</v>
      </c>
      <c r="C48" s="6">
        <f t="shared" si="8"/>
        <v>0</v>
      </c>
      <c r="D48" s="6">
        <f t="shared" si="8"/>
        <v>0</v>
      </c>
      <c r="E48" s="6">
        <f t="shared" si="8"/>
        <v>13451.989999999998</v>
      </c>
      <c r="F48" s="6">
        <f t="shared" si="8"/>
        <v>162509.36000000002</v>
      </c>
      <c r="G48" s="6">
        <f t="shared" si="8"/>
        <v>5322.0700000000006</v>
      </c>
      <c r="H48" s="6">
        <f t="shared" si="8"/>
        <v>5996.7</v>
      </c>
      <c r="I48" s="6">
        <f t="shared" si="8"/>
        <v>4295.3999999999996</v>
      </c>
      <c r="J48" s="6">
        <f t="shared" si="8"/>
        <v>27282.29</v>
      </c>
      <c r="K48" s="6">
        <f t="shared" si="8"/>
        <v>0</v>
      </c>
      <c r="L48" s="6">
        <f t="shared" si="8"/>
        <v>-649.2299999999999</v>
      </c>
      <c r="M48" s="6">
        <f t="shared" si="8"/>
        <v>3972.8399999999997</v>
      </c>
      <c r="N48" s="6">
        <f t="shared" si="8"/>
        <v>81268.69</v>
      </c>
      <c r="O48" s="6">
        <f t="shared" si="8"/>
        <v>53997.869999999995</v>
      </c>
      <c r="P48" s="6">
        <f t="shared" si="8"/>
        <v>37777.96</v>
      </c>
      <c r="Q48" s="6">
        <f t="shared" si="8"/>
        <v>120584.65</v>
      </c>
      <c r="R48" s="6">
        <f t="shared" si="8"/>
        <v>33199.980000000003</v>
      </c>
      <c r="S48" s="6">
        <f t="shared" si="8"/>
        <v>5433.56</v>
      </c>
      <c r="T48" s="6">
        <f t="shared" si="8"/>
        <v>1771.86</v>
      </c>
      <c r="U48" s="6">
        <f t="shared" si="8"/>
        <v>28378.32</v>
      </c>
      <c r="V48" s="6">
        <f t="shared" si="8"/>
        <v>166809.25</v>
      </c>
      <c r="W48" s="6">
        <f t="shared" si="8"/>
        <v>59654.51</v>
      </c>
      <c r="X48" s="6">
        <f t="shared" si="8"/>
        <v>0</v>
      </c>
      <c r="Y48" s="6">
        <f t="shared" si="8"/>
        <v>40671.410000000003</v>
      </c>
      <c r="Z48" s="6">
        <f t="shared" si="8"/>
        <v>599.74</v>
      </c>
      <c r="AA48" s="6">
        <f t="shared" si="8"/>
        <v>0</v>
      </c>
      <c r="AB48" s="6">
        <f t="shared" si="8"/>
        <v>0</v>
      </c>
      <c r="AC48" s="6">
        <f t="shared" si="8"/>
        <v>0</v>
      </c>
      <c r="AD48" s="6">
        <f t="shared" si="8"/>
        <v>168003.58000000002</v>
      </c>
      <c r="AE48" s="6">
        <f t="shared" si="8"/>
        <v>150653.81</v>
      </c>
      <c r="AF48" s="6">
        <f t="shared" si="8"/>
        <v>167122.39000000001</v>
      </c>
      <c r="AG48" s="6">
        <f t="shared" si="8"/>
        <v>18394.599999999999</v>
      </c>
      <c r="AH48" s="6">
        <f t="shared" si="8"/>
        <v>0</v>
      </c>
      <c r="AI48" s="6">
        <f t="shared" si="8"/>
        <v>0</v>
      </c>
      <c r="AJ48" s="6">
        <f t="shared" si="6"/>
        <v>1547621.9300000002</v>
      </c>
    </row>
    <row r="49" spans="1:36" x14ac:dyDescent="0.25">
      <c r="A49" s="3" t="s">
        <v>78</v>
      </c>
      <c r="B49" s="5">
        <f>95</f>
        <v>95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5">
        <f t="shared" si="6"/>
        <v>95</v>
      </c>
    </row>
    <row r="50" spans="1:36" x14ac:dyDescent="0.25">
      <c r="A50" s="3" t="s">
        <v>79</v>
      </c>
      <c r="B50" s="5">
        <f>26233.2</f>
        <v>26233.200000000001</v>
      </c>
      <c r="C50" s="4"/>
      <c r="D50" s="4"/>
      <c r="E50" s="4"/>
      <c r="F50" s="5">
        <f>132129.55</f>
        <v>132129.54999999999</v>
      </c>
      <c r="G50" s="4"/>
      <c r="H50" s="5">
        <f>3297.84</f>
        <v>3297.84</v>
      </c>
      <c r="I50" s="5">
        <f>107.2</f>
        <v>107.2</v>
      </c>
      <c r="J50" s="4"/>
      <c r="K50" s="5">
        <f>2510</f>
        <v>2510</v>
      </c>
      <c r="L50" s="5">
        <f>300</f>
        <v>300</v>
      </c>
      <c r="M50" s="4"/>
      <c r="N50" s="5">
        <f>73.25</f>
        <v>73.25</v>
      </c>
      <c r="O50" s="4"/>
      <c r="P50" s="5">
        <f>54</f>
        <v>54</v>
      </c>
      <c r="Q50" s="5">
        <f>190.5</f>
        <v>190.5</v>
      </c>
      <c r="R50" s="4"/>
      <c r="S50" s="4"/>
      <c r="T50" s="5">
        <f>800</f>
        <v>800</v>
      </c>
      <c r="U50" s="5">
        <f>712.2</f>
        <v>712.2</v>
      </c>
      <c r="V50" s="5">
        <f>5841</f>
        <v>5841</v>
      </c>
      <c r="W50" s="5">
        <f>25000</f>
        <v>25000</v>
      </c>
      <c r="X50" s="4"/>
      <c r="Y50" s="5">
        <f>0</f>
        <v>0</v>
      </c>
      <c r="Z50" s="4"/>
      <c r="AA50" s="4"/>
      <c r="AB50" s="4"/>
      <c r="AC50" s="4"/>
      <c r="AD50" s="5">
        <f>159.9</f>
        <v>159.9</v>
      </c>
      <c r="AE50" s="4"/>
      <c r="AF50" s="5">
        <f>9800</f>
        <v>9800</v>
      </c>
      <c r="AG50" s="4"/>
      <c r="AH50" s="4"/>
      <c r="AI50" s="4"/>
      <c r="AJ50" s="5">
        <f t="shared" si="6"/>
        <v>207208.64</v>
      </c>
    </row>
    <row r="51" spans="1:36" x14ac:dyDescent="0.25">
      <c r="A51" s="3" t="s">
        <v>80</v>
      </c>
      <c r="B51" s="5">
        <f>29100</f>
        <v>29100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5">
        <f t="shared" si="6"/>
        <v>29100</v>
      </c>
    </row>
    <row r="52" spans="1:36" x14ac:dyDescent="0.25">
      <c r="A52" s="3" t="s">
        <v>81</v>
      </c>
      <c r="B52" s="5">
        <f>11757.03</f>
        <v>11757.03</v>
      </c>
      <c r="C52" s="4"/>
      <c r="D52" s="4"/>
      <c r="E52" s="4"/>
      <c r="F52" s="5">
        <f>8979.22</f>
        <v>8979.2199999999993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5">
        <f t="shared" si="6"/>
        <v>20736.25</v>
      </c>
    </row>
    <row r="53" spans="1:36" x14ac:dyDescent="0.25">
      <c r="A53" s="3" t="s">
        <v>82</v>
      </c>
      <c r="B53" s="5">
        <f>21972.53</f>
        <v>21972.53</v>
      </c>
      <c r="C53" s="4"/>
      <c r="D53" s="4"/>
      <c r="E53" s="5">
        <f>78.28</f>
        <v>78.28</v>
      </c>
      <c r="F53" s="5">
        <f>12938.1</f>
        <v>12938.1</v>
      </c>
      <c r="G53" s="4"/>
      <c r="H53" s="5">
        <f>57.87</f>
        <v>57.87</v>
      </c>
      <c r="I53" s="5">
        <f>230.22</f>
        <v>230.22</v>
      </c>
      <c r="J53" s="4"/>
      <c r="K53" s="4"/>
      <c r="L53" s="4"/>
      <c r="M53" s="5">
        <f>299.22</f>
        <v>299.22000000000003</v>
      </c>
      <c r="N53" s="4"/>
      <c r="O53" s="5">
        <f>395.39</f>
        <v>395.39</v>
      </c>
      <c r="P53" s="4"/>
      <c r="Q53" s="4"/>
      <c r="R53" s="4"/>
      <c r="S53" s="4"/>
      <c r="T53" s="5">
        <f>38.3</f>
        <v>38.299999999999997</v>
      </c>
      <c r="U53" s="5">
        <f>1519.56</f>
        <v>1519.56</v>
      </c>
      <c r="V53" s="5">
        <f>8413.75</f>
        <v>8413.75</v>
      </c>
      <c r="W53" s="5">
        <f>598.44</f>
        <v>598.44000000000005</v>
      </c>
      <c r="X53" s="4"/>
      <c r="Y53" s="5">
        <f>211.91</f>
        <v>211.91</v>
      </c>
      <c r="Z53" s="4"/>
      <c r="AA53" s="5">
        <f>300</f>
        <v>300</v>
      </c>
      <c r="AB53" s="4"/>
      <c r="AC53" s="4"/>
      <c r="AD53" s="5">
        <f>1088.74</f>
        <v>1088.74</v>
      </c>
      <c r="AE53" s="4"/>
      <c r="AF53" s="5">
        <f>1641.28</f>
        <v>1641.28</v>
      </c>
      <c r="AG53" s="4"/>
      <c r="AH53" s="4"/>
      <c r="AI53" s="4"/>
      <c r="AJ53" s="5">
        <f t="shared" si="6"/>
        <v>49783.590000000004</v>
      </c>
    </row>
    <row r="54" spans="1:36" x14ac:dyDescent="0.25">
      <c r="A54" s="3" t="s">
        <v>83</v>
      </c>
      <c r="B54" s="6">
        <f t="shared" ref="B54:AI54" si="9">((((B49)+(B50))+(B51))+(B52))+(B53)</f>
        <v>89157.759999999995</v>
      </c>
      <c r="C54" s="6">
        <f t="shared" si="9"/>
        <v>0</v>
      </c>
      <c r="D54" s="6">
        <f t="shared" si="9"/>
        <v>0</v>
      </c>
      <c r="E54" s="6">
        <f t="shared" si="9"/>
        <v>78.28</v>
      </c>
      <c r="F54" s="6">
        <f t="shared" si="9"/>
        <v>154046.87</v>
      </c>
      <c r="G54" s="6">
        <f t="shared" si="9"/>
        <v>0</v>
      </c>
      <c r="H54" s="6">
        <f t="shared" si="9"/>
        <v>3355.71</v>
      </c>
      <c r="I54" s="6">
        <f t="shared" si="9"/>
        <v>337.42</v>
      </c>
      <c r="J54" s="6">
        <f t="shared" si="9"/>
        <v>0</v>
      </c>
      <c r="K54" s="6">
        <f t="shared" si="9"/>
        <v>2510</v>
      </c>
      <c r="L54" s="6">
        <f t="shared" si="9"/>
        <v>300</v>
      </c>
      <c r="M54" s="6">
        <f t="shared" si="9"/>
        <v>299.22000000000003</v>
      </c>
      <c r="N54" s="6">
        <f t="shared" si="9"/>
        <v>73.25</v>
      </c>
      <c r="O54" s="6">
        <f t="shared" si="9"/>
        <v>395.39</v>
      </c>
      <c r="P54" s="6">
        <f t="shared" si="9"/>
        <v>54</v>
      </c>
      <c r="Q54" s="6">
        <f t="shared" si="9"/>
        <v>190.5</v>
      </c>
      <c r="R54" s="6">
        <f t="shared" si="9"/>
        <v>0</v>
      </c>
      <c r="S54" s="6">
        <f t="shared" si="9"/>
        <v>0</v>
      </c>
      <c r="T54" s="6">
        <f t="shared" si="9"/>
        <v>838.3</v>
      </c>
      <c r="U54" s="6">
        <f t="shared" si="9"/>
        <v>2231.7600000000002</v>
      </c>
      <c r="V54" s="6">
        <f t="shared" si="9"/>
        <v>14254.75</v>
      </c>
      <c r="W54" s="6">
        <f t="shared" si="9"/>
        <v>25598.44</v>
      </c>
      <c r="X54" s="6">
        <f t="shared" si="9"/>
        <v>0</v>
      </c>
      <c r="Y54" s="6">
        <f t="shared" si="9"/>
        <v>211.91</v>
      </c>
      <c r="Z54" s="6">
        <f t="shared" si="9"/>
        <v>0</v>
      </c>
      <c r="AA54" s="6">
        <f t="shared" si="9"/>
        <v>300</v>
      </c>
      <c r="AB54" s="6">
        <f t="shared" si="9"/>
        <v>0</v>
      </c>
      <c r="AC54" s="6">
        <f t="shared" si="9"/>
        <v>0</v>
      </c>
      <c r="AD54" s="6">
        <f t="shared" si="9"/>
        <v>1248.6400000000001</v>
      </c>
      <c r="AE54" s="6">
        <f t="shared" si="9"/>
        <v>0</v>
      </c>
      <c r="AF54" s="6">
        <f t="shared" si="9"/>
        <v>11441.28</v>
      </c>
      <c r="AG54" s="6">
        <f t="shared" si="9"/>
        <v>0</v>
      </c>
      <c r="AH54" s="6">
        <f t="shared" si="9"/>
        <v>0</v>
      </c>
      <c r="AI54" s="6">
        <f t="shared" si="9"/>
        <v>0</v>
      </c>
      <c r="AJ54" s="6">
        <f t="shared" si="6"/>
        <v>306923.48</v>
      </c>
    </row>
    <row r="55" spans="1:36" x14ac:dyDescent="0.25">
      <c r="A55" s="3" t="s">
        <v>84</v>
      </c>
      <c r="B55" s="5">
        <f>164336.22</f>
        <v>164336.22</v>
      </c>
      <c r="C55" s="4"/>
      <c r="D55" s="4"/>
      <c r="E55" s="5">
        <f>4700</f>
        <v>4700</v>
      </c>
      <c r="F55" s="5">
        <f>2795.96</f>
        <v>2795.96</v>
      </c>
      <c r="G55" s="5">
        <f>1800</f>
        <v>1800</v>
      </c>
      <c r="H55" s="5">
        <f>43067.44</f>
        <v>43067.44</v>
      </c>
      <c r="I55" s="5">
        <f>8000</f>
        <v>8000</v>
      </c>
      <c r="J55" s="4"/>
      <c r="K55" s="5">
        <f>109881</f>
        <v>109881</v>
      </c>
      <c r="L55" s="4"/>
      <c r="M55" s="4"/>
      <c r="N55" s="4"/>
      <c r="O55" s="5">
        <f>100087.42</f>
        <v>100087.42</v>
      </c>
      <c r="P55" s="4"/>
      <c r="Q55" s="4"/>
      <c r="R55" s="4"/>
      <c r="S55" s="4"/>
      <c r="T55" s="4"/>
      <c r="U55" s="4"/>
      <c r="V55" s="5">
        <f>1000</f>
        <v>1000</v>
      </c>
      <c r="W55" s="5">
        <f>500</f>
        <v>500</v>
      </c>
      <c r="X55" s="5">
        <f>4385</f>
        <v>4385</v>
      </c>
      <c r="Y55" s="5">
        <f>216235.21</f>
        <v>216235.21</v>
      </c>
      <c r="Z55" s="4"/>
      <c r="AA55" s="4"/>
      <c r="AB55" s="4"/>
      <c r="AC55" s="4"/>
      <c r="AD55" s="5">
        <f>50288.87</f>
        <v>50288.87</v>
      </c>
      <c r="AE55" s="4"/>
      <c r="AF55" s="5">
        <f>6998.87</f>
        <v>6998.87</v>
      </c>
      <c r="AG55" s="4"/>
      <c r="AH55" s="4"/>
      <c r="AI55" s="4"/>
      <c r="AJ55" s="5">
        <f t="shared" si="6"/>
        <v>714075.99</v>
      </c>
    </row>
    <row r="56" spans="1:36" x14ac:dyDescent="0.25">
      <c r="A56" s="3" t="s">
        <v>85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5">
        <f t="shared" si="6"/>
        <v>0</v>
      </c>
    </row>
    <row r="57" spans="1:36" x14ac:dyDescent="0.25">
      <c r="A57" s="3" t="s">
        <v>86</v>
      </c>
      <c r="B57" s="5">
        <f>569.03</f>
        <v>569.03</v>
      </c>
      <c r="C57" s="4"/>
      <c r="D57" s="4"/>
      <c r="E57" s="4"/>
      <c r="F57" s="5">
        <f>1155.29</f>
        <v>1155.29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5">
        <f t="shared" si="6"/>
        <v>1724.32</v>
      </c>
    </row>
    <row r="58" spans="1:36" x14ac:dyDescent="0.25">
      <c r="A58" s="3" t="s">
        <v>87</v>
      </c>
      <c r="B58" s="5">
        <f>2206.05</f>
        <v>2206.0500000000002</v>
      </c>
      <c r="C58" s="4"/>
      <c r="D58" s="4"/>
      <c r="E58" s="4"/>
      <c r="F58" s="5">
        <f>4478.95</f>
        <v>4478.95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5">
        <f t="shared" si="6"/>
        <v>6685</v>
      </c>
    </row>
    <row r="59" spans="1:36" x14ac:dyDescent="0.25">
      <c r="A59" s="3" t="s">
        <v>88</v>
      </c>
      <c r="B59" s="5">
        <f>2413.44</f>
        <v>2413.44</v>
      </c>
      <c r="C59" s="4"/>
      <c r="D59" s="4"/>
      <c r="E59" s="4"/>
      <c r="F59" s="5">
        <f>4727.42</f>
        <v>4727.42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5">
        <f t="shared" si="6"/>
        <v>7140.8600000000006</v>
      </c>
    </row>
    <row r="60" spans="1:36" x14ac:dyDescent="0.25">
      <c r="A60" s="3" t="s">
        <v>89</v>
      </c>
      <c r="B60" s="5">
        <f>46539.42</f>
        <v>46539.42</v>
      </c>
      <c r="C60" s="4"/>
      <c r="D60" s="4"/>
      <c r="E60" s="4"/>
      <c r="F60" s="5">
        <f>40327.23</f>
        <v>40327.230000000003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5">
        <f t="shared" si="6"/>
        <v>86866.65</v>
      </c>
    </row>
    <row r="61" spans="1:36" x14ac:dyDescent="0.25">
      <c r="A61" s="3" t="s">
        <v>90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5">
        <f>40000</f>
        <v>40000</v>
      </c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5">
        <f t="shared" si="6"/>
        <v>40000</v>
      </c>
    </row>
    <row r="62" spans="1:36" x14ac:dyDescent="0.25">
      <c r="A62" s="3" t="s">
        <v>91</v>
      </c>
      <c r="B62" s="5">
        <f>15650.9</f>
        <v>15650.9</v>
      </c>
      <c r="C62" s="4"/>
      <c r="D62" s="4"/>
      <c r="E62" s="4"/>
      <c r="F62" s="5">
        <f>31776.16</f>
        <v>31776.16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5">
        <f t="shared" si="6"/>
        <v>47427.06</v>
      </c>
    </row>
    <row r="63" spans="1:36" x14ac:dyDescent="0.25">
      <c r="A63" s="3" t="s">
        <v>92</v>
      </c>
      <c r="B63" s="5">
        <f>10998.14</f>
        <v>10998.14</v>
      </c>
      <c r="C63" s="4"/>
      <c r="D63" s="5">
        <f>590</f>
        <v>590</v>
      </c>
      <c r="E63" s="5">
        <f>55.44</f>
        <v>55.44</v>
      </c>
      <c r="F63" s="5">
        <f>42336.01</f>
        <v>42336.01</v>
      </c>
      <c r="G63" s="4"/>
      <c r="H63" s="4"/>
      <c r="I63" s="5">
        <f>240.24</f>
        <v>240.24</v>
      </c>
      <c r="J63" s="4"/>
      <c r="K63" s="5">
        <f>18200</f>
        <v>18200</v>
      </c>
      <c r="L63" s="4"/>
      <c r="M63" s="4"/>
      <c r="N63" s="4"/>
      <c r="O63" s="5">
        <f>314.16</f>
        <v>314.16000000000003</v>
      </c>
      <c r="P63" s="4"/>
      <c r="Q63" s="4"/>
      <c r="R63" s="4"/>
      <c r="S63" s="4"/>
      <c r="T63" s="5">
        <f>55.44</f>
        <v>55.44</v>
      </c>
      <c r="U63" s="5">
        <f>314.16</f>
        <v>314.16000000000003</v>
      </c>
      <c r="V63" s="5">
        <f>4734.02</f>
        <v>4734.0200000000004</v>
      </c>
      <c r="W63" s="5">
        <f>443.52</f>
        <v>443.52</v>
      </c>
      <c r="X63" s="4"/>
      <c r="Y63" s="5">
        <f>221.76</f>
        <v>221.76</v>
      </c>
      <c r="Z63" s="5">
        <f>2200</f>
        <v>2200</v>
      </c>
      <c r="AA63" s="4"/>
      <c r="AB63" s="4"/>
      <c r="AC63" s="4"/>
      <c r="AD63" s="5">
        <f>2350.08</f>
        <v>2350.08</v>
      </c>
      <c r="AE63" s="4"/>
      <c r="AF63" s="5">
        <f>1170.84</f>
        <v>1170.8399999999999</v>
      </c>
      <c r="AG63" s="4"/>
      <c r="AH63" s="4"/>
      <c r="AI63" s="4"/>
      <c r="AJ63" s="5">
        <f t="shared" si="6"/>
        <v>84223.810000000012</v>
      </c>
    </row>
    <row r="64" spans="1:36" x14ac:dyDescent="0.25">
      <c r="A64" s="3" t="s">
        <v>93</v>
      </c>
      <c r="B64" s="5">
        <f>1004.01</f>
        <v>1004.01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5">
        <f>10098.36</f>
        <v>10098.36</v>
      </c>
      <c r="AG64" s="4"/>
      <c r="AH64" s="4"/>
      <c r="AI64" s="4"/>
      <c r="AJ64" s="5">
        <f t="shared" ref="AJ64:AJ95" si="10">(((((((((((((((((((((((((((((((((B64)+(C64))+(D64))+(E64))+(F64))+(G64))+(H64))+(I64))+(J64))+(K64))+(L64))+(M64))+(N64))+(O64))+(P64))+(Q64))+(R64))+(S64))+(T64))+(U64))+(V64))+(W64))+(X64))+(Y64))+(Z64))+(AA64))+(AB64))+(AC64))+(AD64))+(AE64))+(AF64))+(AG64))+(AH64))+(AI64)</f>
        <v>11102.37</v>
      </c>
    </row>
    <row r="65" spans="1:36" x14ac:dyDescent="0.25">
      <c r="A65" s="3" t="s">
        <v>94</v>
      </c>
      <c r="B65" s="5">
        <f>2572.35</f>
        <v>2572.35</v>
      </c>
      <c r="C65" s="4"/>
      <c r="D65" s="4"/>
      <c r="E65" s="4"/>
      <c r="F65" s="5">
        <f>30706.66</f>
        <v>30706.66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5">
        <f>599.98</f>
        <v>599.98</v>
      </c>
      <c r="AE65" s="4"/>
      <c r="AF65" s="4"/>
      <c r="AG65" s="4"/>
      <c r="AH65" s="4"/>
      <c r="AI65" s="4"/>
      <c r="AJ65" s="5">
        <f t="shared" si="10"/>
        <v>33878.990000000005</v>
      </c>
    </row>
    <row r="66" spans="1:36" x14ac:dyDescent="0.25">
      <c r="A66" s="3" t="s">
        <v>95</v>
      </c>
      <c r="B66" s="6">
        <f t="shared" ref="B66:AI66" si="11">(((((((((B56)+(B57))+(B58))+(B59))+(B60))+(B61))+(B62))+(B63))+(B64))+(B65)</f>
        <v>81953.34</v>
      </c>
      <c r="C66" s="6">
        <f t="shared" si="11"/>
        <v>0</v>
      </c>
      <c r="D66" s="6">
        <f t="shared" si="11"/>
        <v>590</v>
      </c>
      <c r="E66" s="6">
        <f t="shared" si="11"/>
        <v>55.44</v>
      </c>
      <c r="F66" s="6">
        <f t="shared" si="11"/>
        <v>155507.72</v>
      </c>
      <c r="G66" s="6">
        <f t="shared" si="11"/>
        <v>0</v>
      </c>
      <c r="H66" s="6">
        <f t="shared" si="11"/>
        <v>0</v>
      </c>
      <c r="I66" s="6">
        <f t="shared" si="11"/>
        <v>240.24</v>
      </c>
      <c r="J66" s="6">
        <f t="shared" si="11"/>
        <v>0</v>
      </c>
      <c r="K66" s="6">
        <f t="shared" si="11"/>
        <v>18200</v>
      </c>
      <c r="L66" s="6">
        <f t="shared" si="11"/>
        <v>0</v>
      </c>
      <c r="M66" s="6">
        <f t="shared" si="11"/>
        <v>0</v>
      </c>
      <c r="N66" s="6">
        <f t="shared" si="11"/>
        <v>0</v>
      </c>
      <c r="O66" s="6">
        <f t="shared" si="11"/>
        <v>314.16000000000003</v>
      </c>
      <c r="P66" s="6">
        <f t="shared" si="11"/>
        <v>0</v>
      </c>
      <c r="Q66" s="6">
        <f t="shared" si="11"/>
        <v>0</v>
      </c>
      <c r="R66" s="6">
        <f t="shared" si="11"/>
        <v>0</v>
      </c>
      <c r="S66" s="6">
        <f t="shared" si="11"/>
        <v>0</v>
      </c>
      <c r="T66" s="6">
        <f t="shared" si="11"/>
        <v>55.44</v>
      </c>
      <c r="U66" s="6">
        <f t="shared" si="11"/>
        <v>314.16000000000003</v>
      </c>
      <c r="V66" s="6">
        <f t="shared" si="11"/>
        <v>44734.020000000004</v>
      </c>
      <c r="W66" s="6">
        <f t="shared" si="11"/>
        <v>443.52</v>
      </c>
      <c r="X66" s="6">
        <f t="shared" si="11"/>
        <v>0</v>
      </c>
      <c r="Y66" s="6">
        <f t="shared" si="11"/>
        <v>221.76</v>
      </c>
      <c r="Z66" s="6">
        <f t="shared" si="11"/>
        <v>2200</v>
      </c>
      <c r="AA66" s="6">
        <f t="shared" si="11"/>
        <v>0</v>
      </c>
      <c r="AB66" s="6">
        <f t="shared" si="11"/>
        <v>0</v>
      </c>
      <c r="AC66" s="6">
        <f t="shared" si="11"/>
        <v>0</v>
      </c>
      <c r="AD66" s="6">
        <f t="shared" si="11"/>
        <v>2950.06</v>
      </c>
      <c r="AE66" s="6">
        <f t="shared" si="11"/>
        <v>0</v>
      </c>
      <c r="AF66" s="6">
        <f t="shared" si="11"/>
        <v>11269.2</v>
      </c>
      <c r="AG66" s="6">
        <f t="shared" si="11"/>
        <v>0</v>
      </c>
      <c r="AH66" s="6">
        <f t="shared" si="11"/>
        <v>0</v>
      </c>
      <c r="AI66" s="6">
        <f t="shared" si="11"/>
        <v>0</v>
      </c>
      <c r="AJ66" s="6">
        <f t="shared" si="10"/>
        <v>319049.06000000006</v>
      </c>
    </row>
    <row r="67" spans="1:36" x14ac:dyDescent="0.25">
      <c r="A67" s="3" t="s">
        <v>96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5">
        <f t="shared" si="10"/>
        <v>0</v>
      </c>
    </row>
    <row r="68" spans="1:36" x14ac:dyDescent="0.25">
      <c r="A68" s="3" t="s">
        <v>97</v>
      </c>
      <c r="B68" s="5">
        <f>39123.58</f>
        <v>39123.58</v>
      </c>
      <c r="C68" s="4"/>
      <c r="D68" s="4"/>
      <c r="E68" s="4"/>
      <c r="F68" s="5">
        <f>32702</f>
        <v>32702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5">
        <f t="shared" si="10"/>
        <v>71825.58</v>
      </c>
    </row>
    <row r="69" spans="1:36" x14ac:dyDescent="0.25">
      <c r="A69" s="3" t="s">
        <v>98</v>
      </c>
      <c r="B69" s="5">
        <f>23939.5</f>
        <v>23939.5</v>
      </c>
      <c r="C69" s="4"/>
      <c r="D69" s="4"/>
      <c r="E69" s="4"/>
      <c r="F69" s="5">
        <f>18374.5</f>
        <v>18374.5</v>
      </c>
      <c r="G69" s="4"/>
      <c r="H69" s="4"/>
      <c r="I69" s="4"/>
      <c r="J69" s="4"/>
      <c r="K69" s="4"/>
      <c r="L69" s="4"/>
      <c r="M69" s="4"/>
      <c r="N69" s="4"/>
      <c r="O69" s="5">
        <f>185</f>
        <v>185</v>
      </c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5">
        <f t="shared" si="10"/>
        <v>42499</v>
      </c>
    </row>
    <row r="70" spans="1:36" x14ac:dyDescent="0.25">
      <c r="A70" s="3" t="s">
        <v>99</v>
      </c>
      <c r="B70" s="5">
        <f>5140.9</f>
        <v>5140.8999999999996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5">
        <f t="shared" si="10"/>
        <v>5140.8999999999996</v>
      </c>
    </row>
    <row r="71" spans="1:36" x14ac:dyDescent="0.25">
      <c r="A71" s="3" t="s">
        <v>100</v>
      </c>
      <c r="B71" s="6">
        <f t="shared" ref="B71:AI71" si="12">(((B67)+(B68))+(B69))+(B70)</f>
        <v>68203.98</v>
      </c>
      <c r="C71" s="6">
        <f t="shared" si="12"/>
        <v>0</v>
      </c>
      <c r="D71" s="6">
        <f t="shared" si="12"/>
        <v>0</v>
      </c>
      <c r="E71" s="6">
        <f t="shared" si="12"/>
        <v>0</v>
      </c>
      <c r="F71" s="6">
        <f t="shared" si="12"/>
        <v>51076.5</v>
      </c>
      <c r="G71" s="6">
        <f t="shared" si="12"/>
        <v>0</v>
      </c>
      <c r="H71" s="6">
        <f t="shared" si="12"/>
        <v>0</v>
      </c>
      <c r="I71" s="6">
        <f t="shared" si="12"/>
        <v>0</v>
      </c>
      <c r="J71" s="6">
        <f t="shared" si="12"/>
        <v>0</v>
      </c>
      <c r="K71" s="6">
        <f t="shared" si="12"/>
        <v>0</v>
      </c>
      <c r="L71" s="6">
        <f t="shared" si="12"/>
        <v>0</v>
      </c>
      <c r="M71" s="6">
        <f t="shared" si="12"/>
        <v>0</v>
      </c>
      <c r="N71" s="6">
        <f t="shared" si="12"/>
        <v>0</v>
      </c>
      <c r="O71" s="6">
        <f t="shared" si="12"/>
        <v>185</v>
      </c>
      <c r="P71" s="6">
        <f t="shared" si="12"/>
        <v>0</v>
      </c>
      <c r="Q71" s="6">
        <f t="shared" si="12"/>
        <v>0</v>
      </c>
      <c r="R71" s="6">
        <f t="shared" si="12"/>
        <v>0</v>
      </c>
      <c r="S71" s="6">
        <f t="shared" si="12"/>
        <v>0</v>
      </c>
      <c r="T71" s="6">
        <f t="shared" si="12"/>
        <v>0</v>
      </c>
      <c r="U71" s="6">
        <f t="shared" si="12"/>
        <v>0</v>
      </c>
      <c r="V71" s="6">
        <f t="shared" si="12"/>
        <v>0</v>
      </c>
      <c r="W71" s="6">
        <f t="shared" si="12"/>
        <v>0</v>
      </c>
      <c r="X71" s="6">
        <f t="shared" si="12"/>
        <v>0</v>
      </c>
      <c r="Y71" s="6">
        <f t="shared" si="12"/>
        <v>0</v>
      </c>
      <c r="Z71" s="6">
        <f t="shared" si="12"/>
        <v>0</v>
      </c>
      <c r="AA71" s="6">
        <f t="shared" si="12"/>
        <v>0</v>
      </c>
      <c r="AB71" s="6">
        <f t="shared" si="12"/>
        <v>0</v>
      </c>
      <c r="AC71" s="6">
        <f t="shared" si="12"/>
        <v>0</v>
      </c>
      <c r="AD71" s="6">
        <f t="shared" si="12"/>
        <v>0</v>
      </c>
      <c r="AE71" s="6">
        <f t="shared" si="12"/>
        <v>0</v>
      </c>
      <c r="AF71" s="6">
        <f t="shared" si="12"/>
        <v>0</v>
      </c>
      <c r="AG71" s="6">
        <f t="shared" si="12"/>
        <v>0</v>
      </c>
      <c r="AH71" s="6">
        <f t="shared" si="12"/>
        <v>0</v>
      </c>
      <c r="AI71" s="6">
        <f t="shared" si="12"/>
        <v>0</v>
      </c>
      <c r="AJ71" s="6">
        <f t="shared" si="10"/>
        <v>119465.48</v>
      </c>
    </row>
    <row r="72" spans="1:36" x14ac:dyDescent="0.25">
      <c r="A72" s="3" t="s">
        <v>101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5">
        <f t="shared" si="10"/>
        <v>0</v>
      </c>
    </row>
    <row r="73" spans="1:36" x14ac:dyDescent="0.25">
      <c r="A73" s="3" t="s">
        <v>102</v>
      </c>
      <c r="B73" s="5">
        <f>514.06</f>
        <v>514.05999999999995</v>
      </c>
      <c r="C73" s="4"/>
      <c r="D73" s="4"/>
      <c r="E73" s="4"/>
      <c r="F73" s="5">
        <f>359.84</f>
        <v>359.84</v>
      </c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5">
        <f>47.58</f>
        <v>47.58</v>
      </c>
      <c r="V73" s="5">
        <f>106.62</f>
        <v>106.62</v>
      </c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5">
        <f t="shared" si="10"/>
        <v>1028.0999999999999</v>
      </c>
    </row>
    <row r="74" spans="1:36" x14ac:dyDescent="0.25">
      <c r="A74" s="3" t="s">
        <v>103</v>
      </c>
      <c r="B74" s="5">
        <f>966.76</f>
        <v>966.76</v>
      </c>
      <c r="C74" s="4"/>
      <c r="D74" s="4"/>
      <c r="E74" s="4"/>
      <c r="F74" s="5">
        <f>433.63</f>
        <v>433.63</v>
      </c>
      <c r="G74" s="4"/>
      <c r="H74" s="4"/>
      <c r="I74" s="4"/>
      <c r="J74" s="4"/>
      <c r="K74" s="4"/>
      <c r="L74" s="4"/>
      <c r="M74" s="4"/>
      <c r="N74" s="4"/>
      <c r="O74" s="5">
        <f>83.15</f>
        <v>83.15</v>
      </c>
      <c r="P74" s="4"/>
      <c r="Q74" s="4"/>
      <c r="R74" s="4"/>
      <c r="S74" s="4"/>
      <c r="T74" s="4"/>
      <c r="U74" s="5">
        <f>60</f>
        <v>60</v>
      </c>
      <c r="V74" s="5">
        <f>319.64</f>
        <v>319.64</v>
      </c>
      <c r="W74" s="4"/>
      <c r="X74" s="4"/>
      <c r="Y74" s="5">
        <f>71</f>
        <v>71</v>
      </c>
      <c r="Z74" s="4"/>
      <c r="AA74" s="4"/>
      <c r="AB74" s="4"/>
      <c r="AC74" s="4"/>
      <c r="AD74" s="4"/>
      <c r="AE74" s="4"/>
      <c r="AF74" s="5">
        <f>285.5</f>
        <v>285.5</v>
      </c>
      <c r="AG74" s="4"/>
      <c r="AH74" s="4"/>
      <c r="AI74" s="4"/>
      <c r="AJ74" s="5">
        <f t="shared" si="10"/>
        <v>2219.6799999999998</v>
      </c>
    </row>
    <row r="75" spans="1:36" x14ac:dyDescent="0.25">
      <c r="A75" s="3" t="s">
        <v>104</v>
      </c>
      <c r="B75" s="5">
        <f>8818.82</f>
        <v>8818.82</v>
      </c>
      <c r="C75" s="4"/>
      <c r="D75" s="4"/>
      <c r="E75" s="5">
        <f>4.74</f>
        <v>4.74</v>
      </c>
      <c r="F75" s="5">
        <f>5717.29</f>
        <v>5717.29</v>
      </c>
      <c r="G75" s="4"/>
      <c r="H75" s="4"/>
      <c r="I75" s="4"/>
      <c r="J75" s="4"/>
      <c r="K75" s="4"/>
      <c r="L75" s="4"/>
      <c r="M75" s="4"/>
      <c r="N75" s="4"/>
      <c r="O75" s="5">
        <f>407.38</f>
        <v>407.38</v>
      </c>
      <c r="P75" s="4"/>
      <c r="Q75" s="4"/>
      <c r="R75" s="4"/>
      <c r="S75" s="4"/>
      <c r="T75" s="5">
        <f>32.88</f>
        <v>32.880000000000003</v>
      </c>
      <c r="U75" s="5">
        <f>658.71</f>
        <v>658.71</v>
      </c>
      <c r="V75" s="5">
        <f>5332.5</f>
        <v>5332.5</v>
      </c>
      <c r="W75" s="5">
        <f>1277.11</f>
        <v>1277.1099999999999</v>
      </c>
      <c r="X75" s="4"/>
      <c r="Y75" s="5">
        <f>594.03</f>
        <v>594.03</v>
      </c>
      <c r="Z75" s="4"/>
      <c r="AA75" s="4"/>
      <c r="AB75" s="4"/>
      <c r="AC75" s="4"/>
      <c r="AD75" s="5">
        <f>3657.87</f>
        <v>3657.87</v>
      </c>
      <c r="AE75" s="4"/>
      <c r="AF75" s="5">
        <f>3957.43</f>
        <v>3957.43</v>
      </c>
      <c r="AG75" s="4"/>
      <c r="AH75" s="4"/>
      <c r="AI75" s="4"/>
      <c r="AJ75" s="5">
        <f t="shared" si="10"/>
        <v>30458.759999999995</v>
      </c>
    </row>
    <row r="76" spans="1:36" x14ac:dyDescent="0.25">
      <c r="A76" s="3" t="s">
        <v>105</v>
      </c>
      <c r="B76" s="5">
        <f>603.19</f>
        <v>603.19000000000005</v>
      </c>
      <c r="C76" s="4"/>
      <c r="D76" s="4"/>
      <c r="E76" s="5">
        <f>0</f>
        <v>0</v>
      </c>
      <c r="F76" s="5">
        <f>2828.05</f>
        <v>2828.05</v>
      </c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5">
        <f>13794.8</f>
        <v>13794.8</v>
      </c>
      <c r="V76" s="5">
        <f>603.2</f>
        <v>603.20000000000005</v>
      </c>
      <c r="W76" s="5">
        <f>1055</f>
        <v>1055</v>
      </c>
      <c r="X76" s="4"/>
      <c r="Y76" s="5">
        <f>0</f>
        <v>0</v>
      </c>
      <c r="Z76" s="4"/>
      <c r="AA76" s="4"/>
      <c r="AB76" s="4"/>
      <c r="AC76" s="4"/>
      <c r="AD76" s="5">
        <f>1591.6</f>
        <v>1591.6</v>
      </c>
      <c r="AE76" s="4"/>
      <c r="AF76" s="5">
        <f>2532.6</f>
        <v>2532.6</v>
      </c>
      <c r="AG76" s="4"/>
      <c r="AH76" s="4"/>
      <c r="AI76" s="4"/>
      <c r="AJ76" s="5">
        <f t="shared" si="10"/>
        <v>23008.44</v>
      </c>
    </row>
    <row r="77" spans="1:36" x14ac:dyDescent="0.25">
      <c r="A77" s="3" t="s">
        <v>106</v>
      </c>
      <c r="B77" s="5">
        <f>40043.45</f>
        <v>40043.449999999997</v>
      </c>
      <c r="C77" s="4"/>
      <c r="D77" s="4"/>
      <c r="E77" s="5">
        <f>0</f>
        <v>0</v>
      </c>
      <c r="F77" s="5">
        <f>1486.59</f>
        <v>1486.59</v>
      </c>
      <c r="G77" s="4"/>
      <c r="H77" s="4"/>
      <c r="I77" s="5">
        <f>307.54</f>
        <v>307.54000000000002</v>
      </c>
      <c r="J77" s="4"/>
      <c r="K77" s="5">
        <f>10441.36</f>
        <v>10441.36</v>
      </c>
      <c r="L77" s="5">
        <f>8243.68</f>
        <v>8243.68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5">
        <f>8549.55</f>
        <v>8549.5499999999993</v>
      </c>
      <c r="Y77" s="4"/>
      <c r="Z77" s="4"/>
      <c r="AA77" s="5">
        <f>267</f>
        <v>267</v>
      </c>
      <c r="AB77" s="4"/>
      <c r="AC77" s="4"/>
      <c r="AD77" s="4"/>
      <c r="AE77" s="4"/>
      <c r="AF77" s="5">
        <f>90.33</f>
        <v>90.33</v>
      </c>
      <c r="AG77" s="4"/>
      <c r="AH77" s="4"/>
      <c r="AI77" s="4"/>
      <c r="AJ77" s="5">
        <f t="shared" si="10"/>
        <v>69429.5</v>
      </c>
    </row>
    <row r="78" spans="1:36" x14ac:dyDescent="0.25">
      <c r="A78" s="3" t="s">
        <v>107</v>
      </c>
      <c r="B78" s="5">
        <f>84946.24</f>
        <v>84946.240000000005</v>
      </c>
      <c r="C78" s="5">
        <f>384.92</f>
        <v>384.92</v>
      </c>
      <c r="D78" s="5">
        <f>4384.96</f>
        <v>4384.96</v>
      </c>
      <c r="E78" s="5">
        <f>0</f>
        <v>0</v>
      </c>
      <c r="F78" s="5">
        <f>17879.09</f>
        <v>17879.09</v>
      </c>
      <c r="G78" s="5">
        <f>390.8</f>
        <v>390.8</v>
      </c>
      <c r="H78" s="5">
        <f>2646.89</f>
        <v>2646.89</v>
      </c>
      <c r="I78" s="5">
        <f>2116.14</f>
        <v>2116.14</v>
      </c>
      <c r="J78" s="4"/>
      <c r="K78" s="5">
        <f>6878.06</f>
        <v>6878.06</v>
      </c>
      <c r="L78" s="5">
        <f>6303.7</f>
        <v>6303.7</v>
      </c>
      <c r="M78" s="4"/>
      <c r="N78" s="4"/>
      <c r="O78" s="5">
        <f>109212.97</f>
        <v>109212.97</v>
      </c>
      <c r="P78" s="4"/>
      <c r="Q78" s="4"/>
      <c r="R78" s="4"/>
      <c r="S78" s="4"/>
      <c r="T78" s="5">
        <f>1399.85</f>
        <v>1399.85</v>
      </c>
      <c r="U78" s="5">
        <f>8713.65</f>
        <v>8713.65</v>
      </c>
      <c r="V78" s="5">
        <f>37764.63</f>
        <v>37764.629999999997</v>
      </c>
      <c r="W78" s="5">
        <f>35374.49</f>
        <v>35374.49</v>
      </c>
      <c r="X78" s="5">
        <f>6278.81</f>
        <v>6278.81</v>
      </c>
      <c r="Y78" s="5">
        <f>621.48</f>
        <v>621.48</v>
      </c>
      <c r="Z78" s="5">
        <f>3140.49</f>
        <v>3140.49</v>
      </c>
      <c r="AA78" s="5">
        <f>289.63</f>
        <v>289.63</v>
      </c>
      <c r="AB78" s="5">
        <f>4075.34</f>
        <v>4075.34</v>
      </c>
      <c r="AC78" s="4"/>
      <c r="AD78" s="5">
        <f>248162.08</f>
        <v>248162.08</v>
      </c>
      <c r="AE78" s="4"/>
      <c r="AF78" s="5">
        <f>235343.42</f>
        <v>235343.42</v>
      </c>
      <c r="AG78" s="5">
        <f>2429.36</f>
        <v>2429.36</v>
      </c>
      <c r="AH78" s="4"/>
      <c r="AI78" s="4"/>
      <c r="AJ78" s="5">
        <f t="shared" si="10"/>
        <v>818737</v>
      </c>
    </row>
    <row r="79" spans="1:36" x14ac:dyDescent="0.25">
      <c r="A79" s="3" t="s">
        <v>108</v>
      </c>
      <c r="B79" s="4"/>
      <c r="C79" s="4"/>
      <c r="D79" s="4"/>
      <c r="E79" s="4"/>
      <c r="F79" s="5">
        <f>787.16</f>
        <v>787.16</v>
      </c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5">
        <f t="shared" si="10"/>
        <v>787.16</v>
      </c>
    </row>
    <row r="80" spans="1:36" x14ac:dyDescent="0.25">
      <c r="A80" s="3" t="s">
        <v>109</v>
      </c>
      <c r="B80" s="6">
        <f t="shared" ref="B80:AI80" si="13">(((((((B72)+(B73))+(B74))+(B75))+(B76))+(B77))+(B78))+(B79)</f>
        <v>135892.52000000002</v>
      </c>
      <c r="C80" s="6">
        <f t="shared" si="13"/>
        <v>384.92</v>
      </c>
      <c r="D80" s="6">
        <f t="shared" si="13"/>
        <v>4384.96</v>
      </c>
      <c r="E80" s="6">
        <f t="shared" si="13"/>
        <v>4.74</v>
      </c>
      <c r="F80" s="6">
        <f t="shared" si="13"/>
        <v>29491.65</v>
      </c>
      <c r="G80" s="6">
        <f t="shared" si="13"/>
        <v>390.8</v>
      </c>
      <c r="H80" s="6">
        <f t="shared" si="13"/>
        <v>2646.89</v>
      </c>
      <c r="I80" s="6">
        <f t="shared" si="13"/>
        <v>2423.6799999999998</v>
      </c>
      <c r="J80" s="6">
        <f t="shared" si="13"/>
        <v>0</v>
      </c>
      <c r="K80" s="6">
        <f t="shared" si="13"/>
        <v>17319.420000000002</v>
      </c>
      <c r="L80" s="6">
        <f t="shared" si="13"/>
        <v>14547.380000000001</v>
      </c>
      <c r="M80" s="6">
        <f t="shared" si="13"/>
        <v>0</v>
      </c>
      <c r="N80" s="6">
        <f t="shared" si="13"/>
        <v>0</v>
      </c>
      <c r="O80" s="6">
        <f t="shared" si="13"/>
        <v>109703.5</v>
      </c>
      <c r="P80" s="6">
        <f t="shared" si="13"/>
        <v>0</v>
      </c>
      <c r="Q80" s="6">
        <f t="shared" si="13"/>
        <v>0</v>
      </c>
      <c r="R80" s="6">
        <f t="shared" si="13"/>
        <v>0</v>
      </c>
      <c r="S80" s="6">
        <f t="shared" si="13"/>
        <v>0</v>
      </c>
      <c r="T80" s="6">
        <f t="shared" si="13"/>
        <v>1432.73</v>
      </c>
      <c r="U80" s="6">
        <f t="shared" si="13"/>
        <v>23274.739999999998</v>
      </c>
      <c r="V80" s="6">
        <f t="shared" si="13"/>
        <v>44126.59</v>
      </c>
      <c r="W80" s="6">
        <f t="shared" si="13"/>
        <v>37706.6</v>
      </c>
      <c r="X80" s="6">
        <f t="shared" si="13"/>
        <v>14828.36</v>
      </c>
      <c r="Y80" s="6">
        <f t="shared" si="13"/>
        <v>1286.51</v>
      </c>
      <c r="Z80" s="6">
        <f t="shared" si="13"/>
        <v>3140.49</v>
      </c>
      <c r="AA80" s="6">
        <f t="shared" si="13"/>
        <v>556.63</v>
      </c>
      <c r="AB80" s="6">
        <f t="shared" si="13"/>
        <v>4075.34</v>
      </c>
      <c r="AC80" s="6">
        <f t="shared" si="13"/>
        <v>0</v>
      </c>
      <c r="AD80" s="6">
        <f t="shared" si="13"/>
        <v>253411.55</v>
      </c>
      <c r="AE80" s="6">
        <f t="shared" si="13"/>
        <v>0</v>
      </c>
      <c r="AF80" s="6">
        <f t="shared" si="13"/>
        <v>242209.28000000003</v>
      </c>
      <c r="AG80" s="6">
        <f t="shared" si="13"/>
        <v>2429.36</v>
      </c>
      <c r="AH80" s="6">
        <f t="shared" si="13"/>
        <v>0</v>
      </c>
      <c r="AI80" s="6">
        <f t="shared" si="13"/>
        <v>0</v>
      </c>
      <c r="AJ80" s="6">
        <f t="shared" si="10"/>
        <v>945668.64</v>
      </c>
    </row>
    <row r="81" spans="1:36" x14ac:dyDescent="0.25">
      <c r="A81" s="3" t="s">
        <v>110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5">
        <f t="shared" si="10"/>
        <v>0</v>
      </c>
    </row>
    <row r="82" spans="1:36" x14ac:dyDescent="0.25">
      <c r="A82" s="3" t="s">
        <v>111</v>
      </c>
      <c r="B82" s="5">
        <f>2078.7</f>
        <v>2078.6999999999998</v>
      </c>
      <c r="C82" s="4"/>
      <c r="D82" s="4"/>
      <c r="E82" s="5">
        <f>2494.44</f>
        <v>2494.44</v>
      </c>
      <c r="F82" s="5">
        <f>14834.22</f>
        <v>14834.22</v>
      </c>
      <c r="G82" s="4"/>
      <c r="H82" s="4"/>
      <c r="I82" s="4"/>
      <c r="J82" s="4"/>
      <c r="K82" s="5">
        <f>500</f>
        <v>500</v>
      </c>
      <c r="L82" s="5">
        <f>17579</f>
        <v>17579</v>
      </c>
      <c r="M82" s="4"/>
      <c r="N82" s="5">
        <f>150849.78</f>
        <v>150849.78</v>
      </c>
      <c r="O82" s="5">
        <f>882850</f>
        <v>882850</v>
      </c>
      <c r="P82" s="4"/>
      <c r="Q82" s="4"/>
      <c r="R82" s="5">
        <f>250</f>
        <v>250</v>
      </c>
      <c r="S82" s="4"/>
      <c r="T82" s="5">
        <f>46818</f>
        <v>46818</v>
      </c>
      <c r="U82" s="5">
        <f>18024.14</f>
        <v>18024.14</v>
      </c>
      <c r="V82" s="5">
        <f>51998.18</f>
        <v>51998.18</v>
      </c>
      <c r="W82" s="5">
        <f>1000</f>
        <v>1000</v>
      </c>
      <c r="X82" s="5">
        <f>700</f>
        <v>700</v>
      </c>
      <c r="Y82" s="5">
        <f>4988.88</f>
        <v>4988.88</v>
      </c>
      <c r="Z82" s="4"/>
      <c r="AA82" s="4"/>
      <c r="AB82" s="4"/>
      <c r="AC82" s="5">
        <f>18000</f>
        <v>18000</v>
      </c>
      <c r="AD82" s="5">
        <f>271508.69</f>
        <v>271508.69</v>
      </c>
      <c r="AE82" s="4"/>
      <c r="AF82" s="5">
        <f>1843660.31</f>
        <v>1843660.31</v>
      </c>
      <c r="AG82" s="5">
        <f>14817</f>
        <v>14817</v>
      </c>
      <c r="AH82" s="5">
        <f>0</f>
        <v>0</v>
      </c>
      <c r="AI82" s="4"/>
      <c r="AJ82" s="5">
        <f t="shared" si="10"/>
        <v>3342951.34</v>
      </c>
    </row>
    <row r="83" spans="1:36" x14ac:dyDescent="0.25">
      <c r="A83" s="3" t="s">
        <v>112</v>
      </c>
      <c r="B83" s="5">
        <f>14773.81</f>
        <v>14773.81</v>
      </c>
      <c r="C83" s="4"/>
      <c r="D83" s="4"/>
      <c r="E83" s="4"/>
      <c r="F83" s="5">
        <f>4783</f>
        <v>4783</v>
      </c>
      <c r="G83" s="5">
        <f>12689</f>
        <v>12689</v>
      </c>
      <c r="H83" s="4"/>
      <c r="I83" s="4"/>
      <c r="J83" s="4"/>
      <c r="K83" s="5">
        <f>9796.9</f>
        <v>9796.9</v>
      </c>
      <c r="L83" s="5">
        <f>2770.25</f>
        <v>2770.25</v>
      </c>
      <c r="M83" s="4"/>
      <c r="N83" s="4"/>
      <c r="O83" s="5">
        <f>5410</f>
        <v>5410</v>
      </c>
      <c r="P83" s="4"/>
      <c r="Q83" s="4"/>
      <c r="R83" s="4"/>
      <c r="S83" s="4"/>
      <c r="T83" s="4"/>
      <c r="U83" s="5">
        <f>2728</f>
        <v>2728</v>
      </c>
      <c r="V83" s="5">
        <f>17039</f>
        <v>17039</v>
      </c>
      <c r="W83" s="5">
        <f>6836</f>
        <v>6836</v>
      </c>
      <c r="X83" s="4"/>
      <c r="Y83" s="5">
        <f>1368</f>
        <v>1368</v>
      </c>
      <c r="Z83" s="4"/>
      <c r="AA83" s="5">
        <f>365</f>
        <v>365</v>
      </c>
      <c r="AB83" s="4"/>
      <c r="AC83" s="4"/>
      <c r="AD83" s="5">
        <f>15267.76</f>
        <v>15267.76</v>
      </c>
      <c r="AE83" s="4"/>
      <c r="AF83" s="5">
        <f>16105</f>
        <v>16105</v>
      </c>
      <c r="AG83" s="4"/>
      <c r="AH83" s="4"/>
      <c r="AI83" s="4"/>
      <c r="AJ83" s="5">
        <f t="shared" si="10"/>
        <v>109931.71999999999</v>
      </c>
    </row>
    <row r="84" spans="1:36" x14ac:dyDescent="0.25">
      <c r="A84" s="3" t="s">
        <v>113</v>
      </c>
      <c r="B84" s="5">
        <f>101045.79</f>
        <v>101045.79</v>
      </c>
      <c r="C84" s="4"/>
      <c r="D84" s="4"/>
      <c r="E84" s="5">
        <f>2193.68</f>
        <v>2193.6799999999998</v>
      </c>
      <c r="F84" s="5">
        <f>2451.36</f>
        <v>2451.36</v>
      </c>
      <c r="G84" s="5">
        <f>7959.44</f>
        <v>7959.44</v>
      </c>
      <c r="H84" s="4"/>
      <c r="I84" s="5">
        <f>1752.95</f>
        <v>1752.95</v>
      </c>
      <c r="J84" s="4"/>
      <c r="K84" s="5">
        <f>41711.86</f>
        <v>41711.86</v>
      </c>
      <c r="L84" s="5">
        <f>6295.47</f>
        <v>6295.47</v>
      </c>
      <c r="M84" s="4"/>
      <c r="N84" s="4"/>
      <c r="O84" s="5">
        <f>17784.35</f>
        <v>17784.349999999999</v>
      </c>
      <c r="P84" s="4"/>
      <c r="Q84" s="4"/>
      <c r="R84" s="5">
        <f>240046.36</f>
        <v>240046.36</v>
      </c>
      <c r="S84" s="4"/>
      <c r="T84" s="4"/>
      <c r="U84" s="5">
        <f>4612.15</f>
        <v>4612.1499999999996</v>
      </c>
      <c r="V84" s="5">
        <f>27330.5</f>
        <v>27330.5</v>
      </c>
      <c r="W84" s="5">
        <f>11697.03</f>
        <v>11697.03</v>
      </c>
      <c r="X84" s="5">
        <f>3024.91</f>
        <v>3024.91</v>
      </c>
      <c r="Y84" s="5">
        <f>80557.44</f>
        <v>80557.440000000002</v>
      </c>
      <c r="Z84" s="5">
        <f>1595.01</f>
        <v>1595.01</v>
      </c>
      <c r="AA84" s="4"/>
      <c r="AB84" s="4"/>
      <c r="AC84" s="4"/>
      <c r="AD84" s="5">
        <f>39851.82</f>
        <v>39851.82</v>
      </c>
      <c r="AE84" s="4"/>
      <c r="AF84" s="5">
        <f>42910.83</f>
        <v>42910.83</v>
      </c>
      <c r="AG84" s="4"/>
      <c r="AH84" s="4"/>
      <c r="AI84" s="5">
        <f>0</f>
        <v>0</v>
      </c>
      <c r="AJ84" s="5">
        <f t="shared" si="10"/>
        <v>632820.94999999995</v>
      </c>
    </row>
    <row r="85" spans="1:36" x14ac:dyDescent="0.25">
      <c r="A85" s="3" t="s">
        <v>114</v>
      </c>
      <c r="B85" s="5">
        <f>3789.38</f>
        <v>3789.38</v>
      </c>
      <c r="C85" s="4"/>
      <c r="D85" s="4"/>
      <c r="E85" s="4"/>
      <c r="F85" s="4"/>
      <c r="G85" s="4"/>
      <c r="H85" s="4"/>
      <c r="I85" s="4"/>
      <c r="J85" s="4"/>
      <c r="K85" s="5">
        <f>2542.13</f>
        <v>2542.13</v>
      </c>
      <c r="L85" s="5">
        <f>-1208.34</f>
        <v>-1208.3399999999999</v>
      </c>
      <c r="M85" s="4"/>
      <c r="N85" s="4"/>
      <c r="O85" s="5">
        <f>2916.5</f>
        <v>2916.5</v>
      </c>
      <c r="P85" s="4"/>
      <c r="Q85" s="4"/>
      <c r="R85" s="4"/>
      <c r="S85" s="4"/>
      <c r="T85" s="5">
        <f>5651.84</f>
        <v>5651.84</v>
      </c>
      <c r="U85" s="5">
        <f>27059.54</f>
        <v>27059.54</v>
      </c>
      <c r="V85" s="5">
        <f>48293.45</f>
        <v>48293.45</v>
      </c>
      <c r="W85" s="4"/>
      <c r="X85" s="5">
        <f>735</f>
        <v>735</v>
      </c>
      <c r="Y85" s="5">
        <f>6651.78</f>
        <v>6651.78</v>
      </c>
      <c r="Z85" s="4"/>
      <c r="AA85" s="5">
        <f>430.39</f>
        <v>430.39</v>
      </c>
      <c r="AB85" s="4"/>
      <c r="AC85" s="4"/>
      <c r="AD85" s="5">
        <f>2520.09</f>
        <v>2520.09</v>
      </c>
      <c r="AE85" s="4"/>
      <c r="AF85" s="5">
        <f>10112.74</f>
        <v>10112.74</v>
      </c>
      <c r="AG85" s="4"/>
      <c r="AH85" s="4"/>
      <c r="AI85" s="4"/>
      <c r="AJ85" s="5">
        <f t="shared" si="10"/>
        <v>109494.5</v>
      </c>
    </row>
    <row r="86" spans="1:36" x14ac:dyDescent="0.25">
      <c r="A86" s="3" t="s">
        <v>115</v>
      </c>
      <c r="B86" s="5">
        <f>16177.55</f>
        <v>16177.55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5">
        <f t="shared" si="10"/>
        <v>16177.55</v>
      </c>
    </row>
    <row r="87" spans="1:36" x14ac:dyDescent="0.25">
      <c r="A87" s="3" t="s">
        <v>116</v>
      </c>
      <c r="B87" s="6">
        <f t="shared" ref="B87:AI87" si="14">(((((B81)+(B82))+(B83))+(B84))+(B85))+(B86)</f>
        <v>137865.22999999998</v>
      </c>
      <c r="C87" s="6">
        <f t="shared" si="14"/>
        <v>0</v>
      </c>
      <c r="D87" s="6">
        <f t="shared" si="14"/>
        <v>0</v>
      </c>
      <c r="E87" s="6">
        <f t="shared" si="14"/>
        <v>4688.12</v>
      </c>
      <c r="F87" s="6">
        <f t="shared" si="14"/>
        <v>22068.58</v>
      </c>
      <c r="G87" s="6">
        <f t="shared" si="14"/>
        <v>20648.439999999999</v>
      </c>
      <c r="H87" s="6">
        <f t="shared" si="14"/>
        <v>0</v>
      </c>
      <c r="I87" s="6">
        <f t="shared" si="14"/>
        <v>1752.95</v>
      </c>
      <c r="J87" s="6">
        <f t="shared" si="14"/>
        <v>0</v>
      </c>
      <c r="K87" s="6">
        <f t="shared" si="14"/>
        <v>54550.89</v>
      </c>
      <c r="L87" s="6">
        <f t="shared" si="14"/>
        <v>25436.38</v>
      </c>
      <c r="M87" s="6">
        <f t="shared" si="14"/>
        <v>0</v>
      </c>
      <c r="N87" s="6">
        <f t="shared" si="14"/>
        <v>150849.78</v>
      </c>
      <c r="O87" s="6">
        <f t="shared" si="14"/>
        <v>908960.85</v>
      </c>
      <c r="P87" s="6">
        <f t="shared" si="14"/>
        <v>0</v>
      </c>
      <c r="Q87" s="6">
        <f t="shared" si="14"/>
        <v>0</v>
      </c>
      <c r="R87" s="6">
        <f t="shared" si="14"/>
        <v>240296.36</v>
      </c>
      <c r="S87" s="6">
        <f t="shared" si="14"/>
        <v>0</v>
      </c>
      <c r="T87" s="6">
        <f t="shared" si="14"/>
        <v>52469.84</v>
      </c>
      <c r="U87" s="6">
        <f t="shared" si="14"/>
        <v>52423.83</v>
      </c>
      <c r="V87" s="6">
        <f t="shared" si="14"/>
        <v>144661.13</v>
      </c>
      <c r="W87" s="6">
        <f t="shared" si="14"/>
        <v>19533.03</v>
      </c>
      <c r="X87" s="6">
        <f t="shared" si="14"/>
        <v>4459.91</v>
      </c>
      <c r="Y87" s="6">
        <f t="shared" si="14"/>
        <v>93566.1</v>
      </c>
      <c r="Z87" s="6">
        <f t="shared" si="14"/>
        <v>1595.01</v>
      </c>
      <c r="AA87" s="6">
        <f t="shared" si="14"/>
        <v>795.39</v>
      </c>
      <c r="AB87" s="6">
        <f t="shared" si="14"/>
        <v>0</v>
      </c>
      <c r="AC87" s="6">
        <f t="shared" si="14"/>
        <v>18000</v>
      </c>
      <c r="AD87" s="6">
        <f t="shared" si="14"/>
        <v>329148.36000000004</v>
      </c>
      <c r="AE87" s="6">
        <f t="shared" si="14"/>
        <v>0</v>
      </c>
      <c r="AF87" s="6">
        <f t="shared" si="14"/>
        <v>1912788.8800000001</v>
      </c>
      <c r="AG87" s="6">
        <f t="shared" si="14"/>
        <v>14817</v>
      </c>
      <c r="AH87" s="6">
        <f t="shared" si="14"/>
        <v>0</v>
      </c>
      <c r="AI87" s="6">
        <f t="shared" si="14"/>
        <v>0</v>
      </c>
      <c r="AJ87" s="6">
        <f t="shared" si="10"/>
        <v>4211376.0600000005</v>
      </c>
    </row>
    <row r="88" spans="1:36" x14ac:dyDescent="0.25">
      <c r="A88" s="3" t="s">
        <v>117</v>
      </c>
      <c r="B88" s="5">
        <f>135976.16</f>
        <v>135976.16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5">
        <f t="shared" si="10"/>
        <v>135976.16</v>
      </c>
    </row>
    <row r="89" spans="1:36" x14ac:dyDescent="0.25">
      <c r="A89" s="3" t="s">
        <v>118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5">
        <f t="shared" si="10"/>
        <v>0</v>
      </c>
    </row>
    <row r="90" spans="1:36" x14ac:dyDescent="0.25">
      <c r="A90" s="3" t="s">
        <v>119</v>
      </c>
      <c r="B90" s="5">
        <f>6594.36</f>
        <v>6594.36</v>
      </c>
      <c r="C90" s="4"/>
      <c r="D90" s="4"/>
      <c r="E90" s="4"/>
      <c r="F90" s="5">
        <f>354.32</f>
        <v>354.32</v>
      </c>
      <c r="G90" s="4"/>
      <c r="H90" s="4"/>
      <c r="I90" s="5">
        <f>88.58</f>
        <v>88.58</v>
      </c>
      <c r="J90" s="4"/>
      <c r="K90" s="5">
        <f>118</f>
        <v>118</v>
      </c>
      <c r="L90" s="4"/>
      <c r="M90" s="4"/>
      <c r="N90" s="4"/>
      <c r="O90" s="5">
        <f>324.58</f>
        <v>324.58</v>
      </c>
      <c r="P90" s="4"/>
      <c r="Q90" s="4"/>
      <c r="R90" s="4"/>
      <c r="S90" s="4"/>
      <c r="T90" s="4"/>
      <c r="U90" s="5">
        <f>2751.08</f>
        <v>2751.08</v>
      </c>
      <c r="V90" s="5">
        <f>5195.83</f>
        <v>5195.83</v>
      </c>
      <c r="W90" s="5">
        <f>413.16</f>
        <v>413.16</v>
      </c>
      <c r="X90" s="4"/>
      <c r="Y90" s="4"/>
      <c r="Z90" s="4"/>
      <c r="AA90" s="4"/>
      <c r="AB90" s="4"/>
      <c r="AC90" s="4"/>
      <c r="AD90" s="5">
        <f>973.74</f>
        <v>973.74</v>
      </c>
      <c r="AE90" s="4"/>
      <c r="AF90" s="5">
        <f>2894.48</f>
        <v>2894.48</v>
      </c>
      <c r="AG90" s="4"/>
      <c r="AH90" s="4"/>
      <c r="AI90" s="4"/>
      <c r="AJ90" s="5">
        <f t="shared" si="10"/>
        <v>19708.129999999997</v>
      </c>
    </row>
    <row r="91" spans="1:36" x14ac:dyDescent="0.25">
      <c r="A91" s="3" t="s">
        <v>120</v>
      </c>
      <c r="B91" s="4"/>
      <c r="C91" s="4"/>
      <c r="D91" s="4"/>
      <c r="E91" s="4"/>
      <c r="F91" s="5">
        <f>37500</f>
        <v>37500</v>
      </c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5">
        <f t="shared" si="10"/>
        <v>37500</v>
      </c>
    </row>
    <row r="92" spans="1:36" x14ac:dyDescent="0.25">
      <c r="A92" s="3" t="s">
        <v>121</v>
      </c>
      <c r="B92" s="4"/>
      <c r="C92" s="4"/>
      <c r="D92" s="4"/>
      <c r="E92" s="4"/>
      <c r="F92" s="4"/>
      <c r="G92" s="4"/>
      <c r="H92" s="4"/>
      <c r="I92" s="5">
        <f>945.58</f>
        <v>945.58</v>
      </c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5">
        <f t="shared" si="10"/>
        <v>945.58</v>
      </c>
    </row>
    <row r="93" spans="1:36" x14ac:dyDescent="0.25">
      <c r="A93" s="3" t="s">
        <v>122</v>
      </c>
      <c r="B93" s="4"/>
      <c r="C93" s="4"/>
      <c r="D93" s="4"/>
      <c r="E93" s="5">
        <f>4497.91</f>
        <v>4497.91</v>
      </c>
      <c r="F93" s="5">
        <f>197625.53</f>
        <v>197625.53</v>
      </c>
      <c r="G93" s="5">
        <f>4572.94</f>
        <v>4572.9399999999996</v>
      </c>
      <c r="H93" s="5">
        <f>-3476.86</f>
        <v>-3476.86</v>
      </c>
      <c r="I93" s="5">
        <f>7209.02</f>
        <v>7209.02</v>
      </c>
      <c r="J93" s="5">
        <f>9473.17</f>
        <v>9473.17</v>
      </c>
      <c r="K93" s="4"/>
      <c r="L93" s="5">
        <f>3930.36</f>
        <v>3930.36</v>
      </c>
      <c r="M93" s="5">
        <f>6656.33</f>
        <v>6656.33</v>
      </c>
      <c r="N93" s="5">
        <f>118206.27</f>
        <v>118206.27</v>
      </c>
      <c r="O93" s="5">
        <f>170531.57</f>
        <v>170531.57</v>
      </c>
      <c r="P93" s="5">
        <f>20388.09</f>
        <v>20388.09</v>
      </c>
      <c r="Q93" s="5">
        <f>62706.52</f>
        <v>62706.52</v>
      </c>
      <c r="R93" s="5">
        <f>36736.22</f>
        <v>36736.22</v>
      </c>
      <c r="S93" s="5">
        <f>8609.8</f>
        <v>8609.7999999999993</v>
      </c>
      <c r="T93" s="5">
        <f>5433.71</f>
        <v>5433.71</v>
      </c>
      <c r="U93" s="5">
        <f>15729.8</f>
        <v>15729.8</v>
      </c>
      <c r="V93" s="5">
        <f>72874.55</f>
        <v>72874.55</v>
      </c>
      <c r="W93" s="5">
        <f>47715.59</f>
        <v>47715.59</v>
      </c>
      <c r="X93" s="5">
        <f>3093.8</f>
        <v>3093.8</v>
      </c>
      <c r="Y93" s="5">
        <f>49181.52</f>
        <v>49181.52</v>
      </c>
      <c r="Z93" s="5">
        <f>163.48</f>
        <v>163.47999999999999</v>
      </c>
      <c r="AA93" s="5">
        <f>30.76</f>
        <v>30.76</v>
      </c>
      <c r="AB93" s="5">
        <f>407.53</f>
        <v>407.53</v>
      </c>
      <c r="AC93" s="5">
        <f>2800</f>
        <v>2800</v>
      </c>
      <c r="AD93" s="5">
        <f>169985.4</f>
        <v>169985.4</v>
      </c>
      <c r="AE93" s="5">
        <f>62380.06</f>
        <v>62380.06</v>
      </c>
      <c r="AF93" s="5">
        <f>408061.7</f>
        <v>408061.7</v>
      </c>
      <c r="AG93" s="5">
        <f>8872.46</f>
        <v>8872.4599999999991</v>
      </c>
      <c r="AH93" s="4"/>
      <c r="AI93" s="4"/>
      <c r="AJ93" s="5">
        <f t="shared" si="10"/>
        <v>1494397.23</v>
      </c>
    </row>
    <row r="94" spans="1:36" x14ac:dyDescent="0.25">
      <c r="A94" s="3" t="s">
        <v>123</v>
      </c>
      <c r="B94" s="6">
        <f t="shared" ref="B94:AI94" si="15">((((B89)+(B90))+(B91))+(B92))+(B93)</f>
        <v>6594.36</v>
      </c>
      <c r="C94" s="6">
        <f t="shared" si="15"/>
        <v>0</v>
      </c>
      <c r="D94" s="6">
        <f t="shared" si="15"/>
        <v>0</v>
      </c>
      <c r="E94" s="6">
        <f t="shared" si="15"/>
        <v>4497.91</v>
      </c>
      <c r="F94" s="6">
        <f t="shared" si="15"/>
        <v>235479.85</v>
      </c>
      <c r="G94" s="6">
        <f t="shared" si="15"/>
        <v>4572.9399999999996</v>
      </c>
      <c r="H94" s="6">
        <f t="shared" si="15"/>
        <v>-3476.86</v>
      </c>
      <c r="I94" s="6">
        <f t="shared" si="15"/>
        <v>8243.18</v>
      </c>
      <c r="J94" s="6">
        <f t="shared" si="15"/>
        <v>9473.17</v>
      </c>
      <c r="K94" s="6">
        <f t="shared" si="15"/>
        <v>118</v>
      </c>
      <c r="L94" s="6">
        <f t="shared" si="15"/>
        <v>3930.36</v>
      </c>
      <c r="M94" s="6">
        <f t="shared" si="15"/>
        <v>6656.33</v>
      </c>
      <c r="N94" s="6">
        <f t="shared" si="15"/>
        <v>118206.27</v>
      </c>
      <c r="O94" s="6">
        <f t="shared" si="15"/>
        <v>170856.15</v>
      </c>
      <c r="P94" s="6">
        <f t="shared" si="15"/>
        <v>20388.09</v>
      </c>
      <c r="Q94" s="6">
        <f t="shared" si="15"/>
        <v>62706.52</v>
      </c>
      <c r="R94" s="6">
        <f t="shared" si="15"/>
        <v>36736.22</v>
      </c>
      <c r="S94" s="6">
        <f t="shared" si="15"/>
        <v>8609.7999999999993</v>
      </c>
      <c r="T94" s="6">
        <f t="shared" si="15"/>
        <v>5433.71</v>
      </c>
      <c r="U94" s="6">
        <f t="shared" si="15"/>
        <v>18480.879999999997</v>
      </c>
      <c r="V94" s="6">
        <f t="shared" si="15"/>
        <v>78070.38</v>
      </c>
      <c r="W94" s="6">
        <f t="shared" si="15"/>
        <v>48128.75</v>
      </c>
      <c r="X94" s="6">
        <f t="shared" si="15"/>
        <v>3093.8</v>
      </c>
      <c r="Y94" s="6">
        <f t="shared" si="15"/>
        <v>49181.52</v>
      </c>
      <c r="Z94" s="6">
        <f t="shared" si="15"/>
        <v>163.47999999999999</v>
      </c>
      <c r="AA94" s="6">
        <f t="shared" si="15"/>
        <v>30.76</v>
      </c>
      <c r="AB94" s="6">
        <f t="shared" si="15"/>
        <v>407.53</v>
      </c>
      <c r="AC94" s="6">
        <f t="shared" si="15"/>
        <v>2800</v>
      </c>
      <c r="AD94" s="6">
        <f t="shared" si="15"/>
        <v>170959.13999999998</v>
      </c>
      <c r="AE94" s="6">
        <f t="shared" si="15"/>
        <v>62380.06</v>
      </c>
      <c r="AF94" s="6">
        <f t="shared" si="15"/>
        <v>410956.18</v>
      </c>
      <c r="AG94" s="6">
        <f t="shared" si="15"/>
        <v>8872.4599999999991</v>
      </c>
      <c r="AH94" s="6">
        <f t="shared" si="15"/>
        <v>0</v>
      </c>
      <c r="AI94" s="6">
        <f t="shared" si="15"/>
        <v>0</v>
      </c>
      <c r="AJ94" s="6">
        <f t="shared" si="10"/>
        <v>1552550.94</v>
      </c>
    </row>
    <row r="95" spans="1:36" x14ac:dyDescent="0.25">
      <c r="A95" s="3" t="s">
        <v>124</v>
      </c>
      <c r="B95" s="6">
        <f t="shared" ref="B95:AI95" si="16">(((((((((B35)+(B48))+(B54))+(B55))+(B66))+(B71))+(B80))+(B87))+(B88))+(B94)</f>
        <v>1753316.3</v>
      </c>
      <c r="C95" s="6">
        <f t="shared" si="16"/>
        <v>384.92</v>
      </c>
      <c r="D95" s="6">
        <f t="shared" si="16"/>
        <v>4974.96</v>
      </c>
      <c r="E95" s="6">
        <f t="shared" si="16"/>
        <v>59999.91</v>
      </c>
      <c r="F95" s="6">
        <f t="shared" si="16"/>
        <v>2181904.71</v>
      </c>
      <c r="G95" s="6">
        <f t="shared" si="16"/>
        <v>50730.61</v>
      </c>
      <c r="H95" s="6">
        <f t="shared" si="16"/>
        <v>83053.25</v>
      </c>
      <c r="I95" s="6">
        <f t="shared" si="16"/>
        <v>82089.59</v>
      </c>
      <c r="J95" s="6">
        <f t="shared" si="16"/>
        <v>127887.78000000001</v>
      </c>
      <c r="K95" s="6">
        <f t="shared" si="16"/>
        <v>202579.31</v>
      </c>
      <c r="L95" s="6">
        <f t="shared" si="16"/>
        <v>41593.100000000006</v>
      </c>
      <c r="M95" s="6">
        <f t="shared" si="16"/>
        <v>73238.39</v>
      </c>
      <c r="N95" s="6">
        <f t="shared" si="16"/>
        <v>1299143.96</v>
      </c>
      <c r="O95" s="6">
        <f t="shared" si="16"/>
        <v>1472757.9</v>
      </c>
      <c r="P95" s="6">
        <f t="shared" si="16"/>
        <v>182891.5</v>
      </c>
      <c r="Q95" s="6">
        <f t="shared" si="16"/>
        <v>585324.85</v>
      </c>
      <c r="R95" s="6">
        <f t="shared" si="16"/>
        <v>404649.07999999996</v>
      </c>
      <c r="S95" s="6">
        <f t="shared" si="16"/>
        <v>116232.24</v>
      </c>
      <c r="T95" s="6">
        <f t="shared" si="16"/>
        <v>73658.740000000005</v>
      </c>
      <c r="U95" s="6">
        <f t="shared" si="16"/>
        <v>211660.85000000003</v>
      </c>
      <c r="V95" s="6">
        <f t="shared" si="16"/>
        <v>992215.83</v>
      </c>
      <c r="W95" s="6">
        <f t="shared" si="16"/>
        <v>388276.33999999997</v>
      </c>
      <c r="X95" s="6">
        <f t="shared" si="16"/>
        <v>26767.07</v>
      </c>
      <c r="Y95" s="6">
        <f t="shared" si="16"/>
        <v>540814.37</v>
      </c>
      <c r="Z95" s="6">
        <f t="shared" si="16"/>
        <v>9155.0399999999991</v>
      </c>
      <c r="AA95" s="6">
        <f t="shared" si="16"/>
        <v>1682.78</v>
      </c>
      <c r="AB95" s="6">
        <f t="shared" si="16"/>
        <v>4482.87</v>
      </c>
      <c r="AC95" s="6">
        <f t="shared" si="16"/>
        <v>30800</v>
      </c>
      <c r="AD95" s="6">
        <f t="shared" si="16"/>
        <v>1394378.86</v>
      </c>
      <c r="AE95" s="6">
        <f t="shared" si="16"/>
        <v>590560.25</v>
      </c>
      <c r="AF95" s="6">
        <f t="shared" si="16"/>
        <v>3313805.06</v>
      </c>
      <c r="AG95" s="6">
        <f t="shared" si="16"/>
        <v>103234.22</v>
      </c>
      <c r="AH95" s="6">
        <f t="shared" si="16"/>
        <v>0</v>
      </c>
      <c r="AI95" s="6">
        <f t="shared" si="16"/>
        <v>0</v>
      </c>
      <c r="AJ95" s="6">
        <f t="shared" si="10"/>
        <v>16404244.639999997</v>
      </c>
    </row>
    <row r="96" spans="1:36" x14ac:dyDescent="0.25">
      <c r="A96" s="3" t="s">
        <v>125</v>
      </c>
      <c r="B96" s="6">
        <f t="shared" ref="B96:AI96" si="17">(B30)-(B95)</f>
        <v>500045.38000000012</v>
      </c>
      <c r="C96" s="6">
        <f t="shared" si="17"/>
        <v>105.51999999999998</v>
      </c>
      <c r="D96" s="6">
        <f t="shared" si="17"/>
        <v>0</v>
      </c>
      <c r="E96" s="6">
        <f t="shared" si="17"/>
        <v>0</v>
      </c>
      <c r="F96" s="6">
        <f t="shared" si="17"/>
        <v>193051.90000000037</v>
      </c>
      <c r="G96" s="6">
        <f t="shared" si="17"/>
        <v>0</v>
      </c>
      <c r="H96" s="6">
        <f t="shared" si="17"/>
        <v>0</v>
      </c>
      <c r="I96" s="6">
        <f t="shared" si="17"/>
        <v>0</v>
      </c>
      <c r="J96" s="6">
        <f t="shared" si="17"/>
        <v>0</v>
      </c>
      <c r="K96" s="6">
        <f t="shared" si="17"/>
        <v>1567753.13</v>
      </c>
      <c r="L96" s="6">
        <f t="shared" si="17"/>
        <v>4696.169999999991</v>
      </c>
      <c r="M96" s="6">
        <f t="shared" si="17"/>
        <v>-4148.429999999993</v>
      </c>
      <c r="N96" s="6">
        <f t="shared" si="17"/>
        <v>0</v>
      </c>
      <c r="O96" s="6">
        <f t="shared" si="17"/>
        <v>0</v>
      </c>
      <c r="P96" s="6">
        <f t="shared" si="17"/>
        <v>0</v>
      </c>
      <c r="Q96" s="6">
        <f t="shared" si="17"/>
        <v>0</v>
      </c>
      <c r="R96" s="6">
        <f t="shared" si="17"/>
        <v>0</v>
      </c>
      <c r="S96" s="6">
        <f t="shared" si="17"/>
        <v>0</v>
      </c>
      <c r="T96" s="6">
        <f t="shared" si="17"/>
        <v>0</v>
      </c>
      <c r="U96" s="6">
        <f t="shared" si="17"/>
        <v>0</v>
      </c>
      <c r="V96" s="6">
        <f t="shared" si="17"/>
        <v>0</v>
      </c>
      <c r="W96" s="6">
        <f t="shared" si="17"/>
        <v>0</v>
      </c>
      <c r="X96" s="6">
        <f t="shared" si="17"/>
        <v>-21767.07</v>
      </c>
      <c r="Y96" s="6">
        <f t="shared" si="17"/>
        <v>0</v>
      </c>
      <c r="Z96" s="6">
        <f t="shared" si="17"/>
        <v>0</v>
      </c>
      <c r="AA96" s="6">
        <f t="shared" si="17"/>
        <v>0</v>
      </c>
      <c r="AB96" s="6">
        <f t="shared" si="17"/>
        <v>0</v>
      </c>
      <c r="AC96" s="6">
        <f t="shared" si="17"/>
        <v>0</v>
      </c>
      <c r="AD96" s="6">
        <f t="shared" si="17"/>
        <v>0</v>
      </c>
      <c r="AE96" s="6">
        <f t="shared" si="17"/>
        <v>0</v>
      </c>
      <c r="AF96" s="6">
        <f t="shared" si="17"/>
        <v>0</v>
      </c>
      <c r="AG96" s="6">
        <f t="shared" si="17"/>
        <v>0</v>
      </c>
      <c r="AH96" s="6">
        <f t="shared" si="17"/>
        <v>0</v>
      </c>
      <c r="AI96" s="6">
        <f t="shared" si="17"/>
        <v>0</v>
      </c>
      <c r="AJ96" s="6">
        <f t="shared" ref="AJ96:AJ97" si="18">(((((((((((((((((((((((((((((((((B96)+(C96))+(D96))+(E96))+(F96))+(G96))+(H96))+(I96))+(J96))+(K96))+(L96))+(M96))+(N96))+(O96))+(P96))+(Q96))+(R96))+(S96))+(T96))+(U96))+(V96))+(W96))+(X96))+(Y96))+(Z96))+(AA96))+(AB96))+(AC96))+(AD96))+(AE96))+(AF96))+(AG96))+(AH96))+(AI96)</f>
        <v>2239736.6000000006</v>
      </c>
    </row>
    <row r="97" spans="1:36" x14ac:dyDescent="0.25">
      <c r="A97" s="3" t="s">
        <v>126</v>
      </c>
      <c r="B97" s="7">
        <f t="shared" ref="B97:AI97" si="19">(B96)+(0)</f>
        <v>500045.38000000012</v>
      </c>
      <c r="C97" s="7">
        <f t="shared" si="19"/>
        <v>105.51999999999998</v>
      </c>
      <c r="D97" s="7">
        <f t="shared" si="19"/>
        <v>0</v>
      </c>
      <c r="E97" s="7">
        <f t="shared" si="19"/>
        <v>0</v>
      </c>
      <c r="F97" s="7">
        <f t="shared" si="19"/>
        <v>193051.90000000037</v>
      </c>
      <c r="G97" s="7">
        <f t="shared" si="19"/>
        <v>0</v>
      </c>
      <c r="H97" s="7">
        <f t="shared" si="19"/>
        <v>0</v>
      </c>
      <c r="I97" s="7">
        <f t="shared" si="19"/>
        <v>0</v>
      </c>
      <c r="J97" s="7">
        <f t="shared" si="19"/>
        <v>0</v>
      </c>
      <c r="K97" s="7">
        <f t="shared" si="19"/>
        <v>1567753.13</v>
      </c>
      <c r="L97" s="7">
        <f t="shared" si="19"/>
        <v>4696.169999999991</v>
      </c>
      <c r="M97" s="7">
        <f t="shared" si="19"/>
        <v>-4148.429999999993</v>
      </c>
      <c r="N97" s="7">
        <f t="shared" si="19"/>
        <v>0</v>
      </c>
      <c r="O97" s="7">
        <f t="shared" si="19"/>
        <v>0</v>
      </c>
      <c r="P97" s="7">
        <f t="shared" si="19"/>
        <v>0</v>
      </c>
      <c r="Q97" s="7">
        <f t="shared" si="19"/>
        <v>0</v>
      </c>
      <c r="R97" s="7">
        <f t="shared" si="19"/>
        <v>0</v>
      </c>
      <c r="S97" s="7">
        <f t="shared" si="19"/>
        <v>0</v>
      </c>
      <c r="T97" s="7">
        <f t="shared" si="19"/>
        <v>0</v>
      </c>
      <c r="U97" s="7">
        <f t="shared" si="19"/>
        <v>0</v>
      </c>
      <c r="V97" s="7">
        <f t="shared" si="19"/>
        <v>0</v>
      </c>
      <c r="W97" s="7">
        <f t="shared" si="19"/>
        <v>0</v>
      </c>
      <c r="X97" s="7">
        <f t="shared" si="19"/>
        <v>-21767.07</v>
      </c>
      <c r="Y97" s="7">
        <f t="shared" si="19"/>
        <v>0</v>
      </c>
      <c r="Z97" s="7">
        <f t="shared" si="19"/>
        <v>0</v>
      </c>
      <c r="AA97" s="7">
        <f t="shared" si="19"/>
        <v>0</v>
      </c>
      <c r="AB97" s="7">
        <f t="shared" si="19"/>
        <v>0</v>
      </c>
      <c r="AC97" s="7">
        <f t="shared" si="19"/>
        <v>0</v>
      </c>
      <c r="AD97" s="7">
        <f t="shared" si="19"/>
        <v>0</v>
      </c>
      <c r="AE97" s="7">
        <f t="shared" si="19"/>
        <v>0</v>
      </c>
      <c r="AF97" s="7">
        <f t="shared" si="19"/>
        <v>0</v>
      </c>
      <c r="AG97" s="7">
        <f t="shared" si="19"/>
        <v>0</v>
      </c>
      <c r="AH97" s="7">
        <f t="shared" si="19"/>
        <v>0</v>
      </c>
      <c r="AI97" s="7">
        <f t="shared" si="19"/>
        <v>0</v>
      </c>
      <c r="AJ97" s="7">
        <f t="shared" si="18"/>
        <v>2239736.6000000006</v>
      </c>
    </row>
    <row r="98" spans="1:36" x14ac:dyDescent="0.25">
      <c r="A98" s="3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</row>
    <row r="101" spans="1:36" x14ac:dyDescent="0.25">
      <c r="A101" s="8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</row>
  </sheetData>
  <sheetProtection algorithmName="SHA-512" hashValue="Cas26TOt5nopYvfJdDrQZRL36dYAaY0YdmvpPx9QHB9XZvjRi0/sRhDtbaIBg6N6n5hTur9NMTvB9z6H6Jt9HA==" saltValue="YMUFYeNZIZC3eqgiZ8eO6g==" spinCount="100000" sheet="1" objects="1" scenarios="1"/>
  <mergeCells count="4">
    <mergeCell ref="A101:AJ101"/>
    <mergeCell ref="A1:AJ1"/>
    <mergeCell ref="A2:AJ2"/>
    <mergeCell ref="A3:AJ3"/>
  </mergeCells>
  <printOptions gridLines="1"/>
  <pageMargins left="0.7" right="0.7" top="0.75" bottom="0.75" header="0.3" footer="0.3"/>
  <pageSetup paperSize="5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 by Class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Angie Perkins</cp:lastModifiedBy>
  <cp:lastPrinted>2025-07-17T14:06:06Z</cp:lastPrinted>
  <dcterms:created xsi:type="dcterms:W3CDTF">2025-07-16T17:53:17Z</dcterms:created>
  <dcterms:modified xsi:type="dcterms:W3CDTF">2025-07-17T14:06:30Z</dcterms:modified>
</cp:coreProperties>
</file>