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May 2025\"/>
    </mc:Choice>
  </mc:AlternateContent>
  <xr:revisionPtr revIDLastSave="0" documentId="13_ncr:1_{BB4B798F-0E57-4241-A48F-EF229A3D1E3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H90" i="1" l="1"/>
  <c r="AG90" i="1"/>
  <c r="J90" i="1"/>
  <c r="D90" i="1"/>
  <c r="C90" i="1"/>
  <c r="B90" i="1"/>
  <c r="AF89" i="1"/>
  <c r="AF90" i="1" s="1"/>
  <c r="AE89" i="1"/>
  <c r="AD89" i="1"/>
  <c r="AC89" i="1"/>
  <c r="AC90" i="1" s="1"/>
  <c r="AB89" i="1"/>
  <c r="AB90" i="1" s="1"/>
  <c r="AA89" i="1"/>
  <c r="AA90" i="1" s="1"/>
  <c r="Z89" i="1"/>
  <c r="Z90" i="1" s="1"/>
  <c r="Y89" i="1"/>
  <c r="Y90" i="1" s="1"/>
  <c r="X89" i="1"/>
  <c r="X90" i="1" s="1"/>
  <c r="W89" i="1"/>
  <c r="V89" i="1"/>
  <c r="U89" i="1"/>
  <c r="T89" i="1"/>
  <c r="T90" i="1" s="1"/>
  <c r="S89" i="1"/>
  <c r="S90" i="1" s="1"/>
  <c r="R89" i="1"/>
  <c r="R90" i="1" s="1"/>
  <c r="Q89" i="1"/>
  <c r="Q90" i="1" s="1"/>
  <c r="P89" i="1"/>
  <c r="P90" i="1" s="1"/>
  <c r="O89" i="1"/>
  <c r="O90" i="1" s="1"/>
  <c r="N89" i="1"/>
  <c r="N90" i="1" s="1"/>
  <c r="M89" i="1"/>
  <c r="M90" i="1" s="1"/>
  <c r="L89" i="1"/>
  <c r="L90" i="1" s="1"/>
  <c r="J89" i="1"/>
  <c r="I89" i="1"/>
  <c r="H89" i="1"/>
  <c r="AI89" i="1" s="1"/>
  <c r="G89" i="1"/>
  <c r="G90" i="1" s="1"/>
  <c r="F89" i="1"/>
  <c r="E89" i="1"/>
  <c r="E90" i="1" s="1"/>
  <c r="F88" i="1"/>
  <c r="AI88" i="1" s="1"/>
  <c r="AE87" i="1"/>
  <c r="AE90" i="1" s="1"/>
  <c r="AD87" i="1"/>
  <c r="AD90" i="1" s="1"/>
  <c r="W87" i="1"/>
  <c r="W90" i="1" s="1"/>
  <c r="V87" i="1"/>
  <c r="V90" i="1" s="1"/>
  <c r="U87" i="1"/>
  <c r="U90" i="1" s="1"/>
  <c r="O87" i="1"/>
  <c r="K87" i="1"/>
  <c r="K90" i="1" s="1"/>
  <c r="I87" i="1"/>
  <c r="I90" i="1" s="1"/>
  <c r="F87" i="1"/>
  <c r="F90" i="1" s="1"/>
  <c r="B87" i="1"/>
  <c r="AI86" i="1"/>
  <c r="AF85" i="1"/>
  <c r="AD85" i="1"/>
  <c r="AC85" i="1"/>
  <c r="AB85" i="1"/>
  <c r="AA85" i="1"/>
  <c r="X85" i="1"/>
  <c r="W85" i="1"/>
  <c r="V85" i="1"/>
  <c r="S85" i="1"/>
  <c r="Q85" i="1"/>
  <c r="P85" i="1"/>
  <c r="O85" i="1"/>
  <c r="N85" i="1"/>
  <c r="M85" i="1"/>
  <c r="J85" i="1"/>
  <c r="H85" i="1"/>
  <c r="G85" i="1"/>
  <c r="F85" i="1"/>
  <c r="D85" i="1"/>
  <c r="C85" i="1"/>
  <c r="B84" i="1"/>
  <c r="AI84" i="1" s="1"/>
  <c r="AE83" i="1"/>
  <c r="AE85" i="1" s="1"/>
  <c r="Y83" i="1"/>
  <c r="V83" i="1"/>
  <c r="U83" i="1"/>
  <c r="T83" i="1"/>
  <c r="L83" i="1"/>
  <c r="K83" i="1"/>
  <c r="AH82" i="1"/>
  <c r="AH85" i="1" s="1"/>
  <c r="AE82" i="1"/>
  <c r="AD82" i="1"/>
  <c r="Z82" i="1"/>
  <c r="Z85" i="1" s="1"/>
  <c r="Y82" i="1"/>
  <c r="X82" i="1"/>
  <c r="W82" i="1"/>
  <c r="V82" i="1"/>
  <c r="U82" i="1"/>
  <c r="R82" i="1"/>
  <c r="O82" i="1"/>
  <c r="L82" i="1"/>
  <c r="K82" i="1"/>
  <c r="I82" i="1"/>
  <c r="I85" i="1" s="1"/>
  <c r="G82" i="1"/>
  <c r="F82" i="1"/>
  <c r="E82" i="1"/>
  <c r="E85" i="1" s="1"/>
  <c r="B82" i="1"/>
  <c r="AE81" i="1"/>
  <c r="AD81" i="1"/>
  <c r="Y81" i="1"/>
  <c r="W81" i="1"/>
  <c r="V81" i="1"/>
  <c r="U81" i="1"/>
  <c r="O81" i="1"/>
  <c r="L81" i="1"/>
  <c r="K81" i="1"/>
  <c r="G81" i="1"/>
  <c r="F81" i="1"/>
  <c r="B81" i="1"/>
  <c r="AI81" i="1" s="1"/>
  <c r="AG80" i="1"/>
  <c r="AG85" i="1" s="1"/>
  <c r="AF80" i="1"/>
  <c r="AE80" i="1"/>
  <c r="AD80" i="1"/>
  <c r="Y80" i="1"/>
  <c r="Y85" i="1" s="1"/>
  <c r="W80" i="1"/>
  <c r="V80" i="1"/>
  <c r="U80" i="1"/>
  <c r="U85" i="1" s="1"/>
  <c r="T80" i="1"/>
  <c r="T85" i="1" s="1"/>
  <c r="R80" i="1"/>
  <c r="R85" i="1" s="1"/>
  <c r="N80" i="1"/>
  <c r="L80" i="1"/>
  <c r="L85" i="1" s="1"/>
  <c r="K80" i="1"/>
  <c r="K85" i="1" s="1"/>
  <c r="E80" i="1"/>
  <c r="B80" i="1"/>
  <c r="B85" i="1" s="1"/>
  <c r="AI79" i="1"/>
  <c r="AH78" i="1"/>
  <c r="AG78" i="1"/>
  <c r="AC78" i="1"/>
  <c r="AB78" i="1"/>
  <c r="AA78" i="1"/>
  <c r="Z78" i="1"/>
  <c r="T78" i="1"/>
  <c r="S78" i="1"/>
  <c r="R78" i="1"/>
  <c r="Q78" i="1"/>
  <c r="P78" i="1"/>
  <c r="N78" i="1"/>
  <c r="M78" i="1"/>
  <c r="J78" i="1"/>
  <c r="H78" i="1"/>
  <c r="D78" i="1"/>
  <c r="C78" i="1"/>
  <c r="AF77" i="1"/>
  <c r="AF78" i="1" s="1"/>
  <c r="AE77" i="1"/>
  <c r="AD77" i="1"/>
  <c r="AB77" i="1"/>
  <c r="AA77" i="1"/>
  <c r="Y77" i="1"/>
  <c r="X77" i="1"/>
  <c r="W77" i="1"/>
  <c r="V77" i="1"/>
  <c r="U77" i="1"/>
  <c r="T77" i="1"/>
  <c r="O77" i="1"/>
  <c r="L77" i="1"/>
  <c r="L78" i="1" s="1"/>
  <c r="K77" i="1"/>
  <c r="K78" i="1" s="1"/>
  <c r="I77" i="1"/>
  <c r="H77" i="1"/>
  <c r="G77" i="1"/>
  <c r="G78" i="1" s="1"/>
  <c r="F77" i="1"/>
  <c r="E77" i="1"/>
  <c r="D77" i="1"/>
  <c r="B77" i="1"/>
  <c r="AI77" i="1" s="1"/>
  <c r="AI76" i="1"/>
  <c r="X76" i="1"/>
  <c r="X78" i="1" s="1"/>
  <c r="L76" i="1"/>
  <c r="K76" i="1"/>
  <c r="I76" i="1"/>
  <c r="I78" i="1" s="1"/>
  <c r="F76" i="1"/>
  <c r="E76" i="1"/>
  <c r="B76" i="1"/>
  <c r="AE75" i="1"/>
  <c r="AD75" i="1"/>
  <c r="Y75" i="1"/>
  <c r="W75" i="1"/>
  <c r="V75" i="1"/>
  <c r="U75" i="1"/>
  <c r="F75" i="1"/>
  <c r="E75" i="1"/>
  <c r="AI75" i="1" s="1"/>
  <c r="B75" i="1"/>
  <c r="B78" i="1" s="1"/>
  <c r="AE74" i="1"/>
  <c r="AD74" i="1"/>
  <c r="AD78" i="1" s="1"/>
  <c r="Y74" i="1"/>
  <c r="W74" i="1"/>
  <c r="W78" i="1" s="1"/>
  <c r="V74" i="1"/>
  <c r="U74" i="1"/>
  <c r="T74" i="1"/>
  <c r="O74" i="1"/>
  <c r="F74" i="1"/>
  <c r="E74" i="1"/>
  <c r="B74" i="1"/>
  <c r="AI74" i="1" s="1"/>
  <c r="AE73" i="1"/>
  <c r="AE78" i="1" s="1"/>
  <c r="Y73" i="1"/>
  <c r="Y78" i="1" s="1"/>
  <c r="V73" i="1"/>
  <c r="U73" i="1"/>
  <c r="O73" i="1"/>
  <c r="O78" i="1" s="1"/>
  <c r="F73" i="1"/>
  <c r="B73" i="1"/>
  <c r="V72" i="1"/>
  <c r="V78" i="1" s="1"/>
  <c r="U72" i="1"/>
  <c r="AI72" i="1" s="1"/>
  <c r="F72" i="1"/>
  <c r="F78" i="1" s="1"/>
  <c r="B72" i="1"/>
  <c r="AI71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E70" i="1"/>
  <c r="D70" i="1"/>
  <c r="C70" i="1"/>
  <c r="O69" i="1"/>
  <c r="F69" i="1"/>
  <c r="F70" i="1" s="1"/>
  <c r="B69" i="1"/>
  <c r="F68" i="1"/>
  <c r="B68" i="1"/>
  <c r="AI68" i="1" s="1"/>
  <c r="AI67" i="1"/>
  <c r="AH66" i="1"/>
  <c r="AG66" i="1"/>
  <c r="AF66" i="1"/>
  <c r="AC66" i="1"/>
  <c r="AB66" i="1"/>
  <c r="AA66" i="1"/>
  <c r="Z66" i="1"/>
  <c r="Y66" i="1"/>
  <c r="X66" i="1"/>
  <c r="S66" i="1"/>
  <c r="R66" i="1"/>
  <c r="Q66" i="1"/>
  <c r="P66" i="1"/>
  <c r="N66" i="1"/>
  <c r="M66" i="1"/>
  <c r="L66" i="1"/>
  <c r="J66" i="1"/>
  <c r="I66" i="1"/>
  <c r="H66" i="1"/>
  <c r="G66" i="1"/>
  <c r="D66" i="1"/>
  <c r="C66" i="1"/>
  <c r="AI65" i="1"/>
  <c r="AD65" i="1"/>
  <c r="B65" i="1"/>
  <c r="AE64" i="1"/>
  <c r="B64" i="1"/>
  <c r="AI64" i="1" s="1"/>
  <c r="AE63" i="1"/>
  <c r="AE66" i="1" s="1"/>
  <c r="AD63" i="1"/>
  <c r="AD66" i="1" s="1"/>
  <c r="Z63" i="1"/>
  <c r="Y63" i="1"/>
  <c r="W63" i="1"/>
  <c r="W66" i="1" s="1"/>
  <c r="V63" i="1"/>
  <c r="U63" i="1"/>
  <c r="U66" i="1" s="1"/>
  <c r="T63" i="1"/>
  <c r="T66" i="1" s="1"/>
  <c r="O63" i="1"/>
  <c r="O66" i="1" s="1"/>
  <c r="K63" i="1"/>
  <c r="K66" i="1" s="1"/>
  <c r="I63" i="1"/>
  <c r="F63" i="1"/>
  <c r="E63" i="1"/>
  <c r="E66" i="1" s="1"/>
  <c r="D63" i="1"/>
  <c r="B63" i="1"/>
  <c r="F62" i="1"/>
  <c r="B62" i="1"/>
  <c r="AI62" i="1" s="1"/>
  <c r="AI61" i="1"/>
  <c r="V61" i="1"/>
  <c r="V66" i="1" s="1"/>
  <c r="F60" i="1"/>
  <c r="B60" i="1"/>
  <c r="AI60" i="1" s="1"/>
  <c r="F59" i="1"/>
  <c r="B59" i="1"/>
  <c r="AI59" i="1" s="1"/>
  <c r="AI58" i="1"/>
  <c r="F58" i="1"/>
  <c r="B58" i="1"/>
  <c r="F57" i="1"/>
  <c r="F66" i="1" s="1"/>
  <c r="B57" i="1"/>
  <c r="AI57" i="1" s="1"/>
  <c r="AI56" i="1"/>
  <c r="AI55" i="1"/>
  <c r="AE55" i="1"/>
  <c r="AD55" i="1"/>
  <c r="Y55" i="1"/>
  <c r="X55" i="1"/>
  <c r="W55" i="1"/>
  <c r="V55" i="1"/>
  <c r="O55" i="1"/>
  <c r="K55" i="1"/>
  <c r="I55" i="1"/>
  <c r="H55" i="1"/>
  <c r="G55" i="1"/>
  <c r="F55" i="1"/>
  <c r="E55" i="1"/>
  <c r="B55" i="1"/>
  <c r="AH54" i="1"/>
  <c r="AG54" i="1"/>
  <c r="AF54" i="1"/>
  <c r="AC54" i="1"/>
  <c r="AB54" i="1"/>
  <c r="AA54" i="1"/>
  <c r="Z54" i="1"/>
  <c r="X54" i="1"/>
  <c r="T54" i="1"/>
  <c r="S54" i="1"/>
  <c r="R54" i="1"/>
  <c r="Q54" i="1"/>
  <c r="L54" i="1"/>
  <c r="J54" i="1"/>
  <c r="I54" i="1"/>
  <c r="G54" i="1"/>
  <c r="D54" i="1"/>
  <c r="C54" i="1"/>
  <c r="B54" i="1"/>
  <c r="AE53" i="1"/>
  <c r="AD53" i="1"/>
  <c r="AA53" i="1"/>
  <c r="Y53" i="1"/>
  <c r="W53" i="1"/>
  <c r="W54" i="1" s="1"/>
  <c r="V53" i="1"/>
  <c r="U53" i="1"/>
  <c r="T53" i="1"/>
  <c r="O53" i="1"/>
  <c r="O54" i="1" s="1"/>
  <c r="M53" i="1"/>
  <c r="M54" i="1" s="1"/>
  <c r="I53" i="1"/>
  <c r="H53" i="1"/>
  <c r="F53" i="1"/>
  <c r="E53" i="1"/>
  <c r="E54" i="1" s="1"/>
  <c r="B53" i="1"/>
  <c r="AI53" i="1" s="1"/>
  <c r="AI52" i="1"/>
  <c r="F52" i="1"/>
  <c r="B52" i="1"/>
  <c r="B51" i="1"/>
  <c r="AI51" i="1" s="1"/>
  <c r="AE50" i="1"/>
  <c r="AE54" i="1" s="1"/>
  <c r="AD50" i="1"/>
  <c r="AD54" i="1" s="1"/>
  <c r="Y50" i="1"/>
  <c r="Y54" i="1" s="1"/>
  <c r="V50" i="1"/>
  <c r="V54" i="1" s="1"/>
  <c r="U50" i="1"/>
  <c r="U54" i="1" s="1"/>
  <c r="T50" i="1"/>
  <c r="Q50" i="1"/>
  <c r="P50" i="1"/>
  <c r="P54" i="1" s="1"/>
  <c r="N50" i="1"/>
  <c r="N54" i="1" s="1"/>
  <c r="K50" i="1"/>
  <c r="AI50" i="1" s="1"/>
  <c r="H50" i="1"/>
  <c r="H54" i="1" s="1"/>
  <c r="F50" i="1"/>
  <c r="F54" i="1" s="1"/>
  <c r="B50" i="1"/>
  <c r="AI49" i="1"/>
  <c r="AG48" i="1"/>
  <c r="AC48" i="1"/>
  <c r="AB48" i="1"/>
  <c r="AA48" i="1"/>
  <c r="X48" i="1"/>
  <c r="K48" i="1"/>
  <c r="I48" i="1"/>
  <c r="H48" i="1"/>
  <c r="D48" i="1"/>
  <c r="C48" i="1"/>
  <c r="AF47" i="1"/>
  <c r="AE47" i="1"/>
  <c r="AD47" i="1"/>
  <c r="Z47" i="1"/>
  <c r="Y47" i="1"/>
  <c r="W47" i="1"/>
  <c r="V47" i="1"/>
  <c r="U47" i="1"/>
  <c r="R47" i="1"/>
  <c r="AI47" i="1" s="1"/>
  <c r="P47" i="1"/>
  <c r="O47" i="1"/>
  <c r="L47" i="1"/>
  <c r="H47" i="1"/>
  <c r="G47" i="1"/>
  <c r="E47" i="1"/>
  <c r="AE46" i="1"/>
  <c r="AD46" i="1"/>
  <c r="Y46" i="1"/>
  <c r="W46" i="1"/>
  <c r="R46" i="1"/>
  <c r="Q46" i="1"/>
  <c r="O46" i="1"/>
  <c r="N46" i="1"/>
  <c r="M46" i="1"/>
  <c r="AI46" i="1" s="1"/>
  <c r="J46" i="1"/>
  <c r="J48" i="1" s="1"/>
  <c r="I46" i="1"/>
  <c r="G46" i="1"/>
  <c r="F46" i="1"/>
  <c r="E46" i="1"/>
  <c r="AF45" i="1"/>
  <c r="AE45" i="1"/>
  <c r="AD45" i="1"/>
  <c r="W45" i="1"/>
  <c r="V45" i="1"/>
  <c r="S45" i="1"/>
  <c r="R45" i="1"/>
  <c r="Q45" i="1"/>
  <c r="P45" i="1"/>
  <c r="O45" i="1"/>
  <c r="N45" i="1"/>
  <c r="M45" i="1"/>
  <c r="J45" i="1"/>
  <c r="I45" i="1"/>
  <c r="F45" i="1"/>
  <c r="B45" i="1"/>
  <c r="AI45" i="1" s="1"/>
  <c r="AF44" i="1"/>
  <c r="AF48" i="1" s="1"/>
  <c r="AE44" i="1"/>
  <c r="AE48" i="1" s="1"/>
  <c r="AD44" i="1"/>
  <c r="V44" i="1"/>
  <c r="U44" i="1"/>
  <c r="Q44" i="1"/>
  <c r="P44" i="1"/>
  <c r="N44" i="1"/>
  <c r="F44" i="1"/>
  <c r="AI44" i="1" s="1"/>
  <c r="B44" i="1"/>
  <c r="AF43" i="1"/>
  <c r="AE43" i="1"/>
  <c r="AD43" i="1"/>
  <c r="Z43" i="1"/>
  <c r="Z48" i="1" s="1"/>
  <c r="Y43" i="1"/>
  <c r="Y48" i="1" s="1"/>
  <c r="W43" i="1"/>
  <c r="V43" i="1"/>
  <c r="U43" i="1"/>
  <c r="R43" i="1"/>
  <c r="P43" i="1"/>
  <c r="O43" i="1"/>
  <c r="L43" i="1"/>
  <c r="H43" i="1"/>
  <c r="G43" i="1"/>
  <c r="E43" i="1"/>
  <c r="AI43" i="1" s="1"/>
  <c r="AE42" i="1"/>
  <c r="AD42" i="1"/>
  <c r="Y42" i="1"/>
  <c r="V42" i="1"/>
  <c r="U42" i="1"/>
  <c r="Q42" i="1"/>
  <c r="P42" i="1"/>
  <c r="O42" i="1"/>
  <c r="N42" i="1"/>
  <c r="J42" i="1"/>
  <c r="F42" i="1"/>
  <c r="E42" i="1"/>
  <c r="B42" i="1"/>
  <c r="AI42" i="1" s="1"/>
  <c r="AI41" i="1"/>
  <c r="AH41" i="1"/>
  <c r="AF41" i="1"/>
  <c r="AE41" i="1"/>
  <c r="AD41" i="1"/>
  <c r="Z41" i="1"/>
  <c r="Y41" i="1"/>
  <c r="W41" i="1"/>
  <c r="V41" i="1"/>
  <c r="U41" i="1"/>
  <c r="T41" i="1"/>
  <c r="S41" i="1"/>
  <c r="R41" i="1"/>
  <c r="O41" i="1"/>
  <c r="N41" i="1"/>
  <c r="M41" i="1"/>
  <c r="L41" i="1"/>
  <c r="I41" i="1"/>
  <c r="H41" i="1"/>
  <c r="G41" i="1"/>
  <c r="F41" i="1"/>
  <c r="E41" i="1"/>
  <c r="B41" i="1"/>
  <c r="AH40" i="1"/>
  <c r="AH48" i="1" s="1"/>
  <c r="AF40" i="1"/>
  <c r="AE40" i="1"/>
  <c r="AD40" i="1"/>
  <c r="Z40" i="1"/>
  <c r="Y40" i="1"/>
  <c r="W40" i="1"/>
  <c r="V40" i="1"/>
  <c r="U40" i="1"/>
  <c r="T40" i="1"/>
  <c r="T48" i="1" s="1"/>
  <c r="S40" i="1"/>
  <c r="S48" i="1" s="1"/>
  <c r="R40" i="1"/>
  <c r="Q40" i="1"/>
  <c r="P40" i="1"/>
  <c r="O40" i="1"/>
  <c r="N40" i="1"/>
  <c r="M40" i="1"/>
  <c r="M48" i="1" s="1"/>
  <c r="L40" i="1"/>
  <c r="J40" i="1"/>
  <c r="I40" i="1"/>
  <c r="H40" i="1"/>
  <c r="G40" i="1"/>
  <c r="F40" i="1"/>
  <c r="E40" i="1"/>
  <c r="B40" i="1"/>
  <c r="AI40" i="1" s="1"/>
  <c r="AE39" i="1"/>
  <c r="AD39" i="1"/>
  <c r="Y39" i="1"/>
  <c r="V39" i="1"/>
  <c r="U39" i="1"/>
  <c r="Q39" i="1"/>
  <c r="Q48" i="1" s="1"/>
  <c r="P39" i="1"/>
  <c r="P48" i="1" s="1"/>
  <c r="O39" i="1"/>
  <c r="O48" i="1" s="1"/>
  <c r="N39" i="1"/>
  <c r="N48" i="1" s="1"/>
  <c r="J39" i="1"/>
  <c r="F39" i="1"/>
  <c r="F48" i="1" s="1"/>
  <c r="E39" i="1"/>
  <c r="B39" i="1"/>
  <c r="B38" i="1"/>
  <c r="B48" i="1" s="1"/>
  <c r="AF37" i="1"/>
  <c r="AE37" i="1"/>
  <c r="AD37" i="1"/>
  <c r="AD48" i="1" s="1"/>
  <c r="Z37" i="1"/>
  <c r="Y37" i="1"/>
  <c r="W37" i="1"/>
  <c r="W48" i="1" s="1"/>
  <c r="V37" i="1"/>
  <c r="V48" i="1" s="1"/>
  <c r="U37" i="1"/>
  <c r="U48" i="1" s="1"/>
  <c r="R37" i="1"/>
  <c r="P37" i="1"/>
  <c r="O37" i="1"/>
  <c r="L37" i="1"/>
  <c r="L48" i="1" s="1"/>
  <c r="H37" i="1"/>
  <c r="G37" i="1"/>
  <c r="G48" i="1" s="1"/>
  <c r="E37" i="1"/>
  <c r="AI37" i="1" s="1"/>
  <c r="AI36" i="1"/>
  <c r="AG35" i="1"/>
  <c r="AE35" i="1"/>
  <c r="AD35" i="1"/>
  <c r="AC35" i="1"/>
  <c r="AC91" i="1" s="1"/>
  <c r="AB35" i="1"/>
  <c r="AB91" i="1" s="1"/>
  <c r="AA35" i="1"/>
  <c r="X35" i="1"/>
  <c r="X91" i="1" s="1"/>
  <c r="W35" i="1"/>
  <c r="W91" i="1" s="1"/>
  <c r="U35" i="1"/>
  <c r="T35" i="1"/>
  <c r="N35" i="1"/>
  <c r="M35" i="1"/>
  <c r="M91" i="1" s="1"/>
  <c r="L35" i="1"/>
  <c r="K35" i="1"/>
  <c r="D35" i="1"/>
  <c r="D91" i="1" s="1"/>
  <c r="C35" i="1"/>
  <c r="C91" i="1" s="1"/>
  <c r="AE34" i="1"/>
  <c r="AD34" i="1"/>
  <c r="Y34" i="1"/>
  <c r="V34" i="1"/>
  <c r="V35" i="1" s="1"/>
  <c r="U34" i="1"/>
  <c r="Q34" i="1"/>
  <c r="Q35" i="1" s="1"/>
  <c r="P34" i="1"/>
  <c r="P35" i="1" s="1"/>
  <c r="P91" i="1" s="1"/>
  <c r="O34" i="1"/>
  <c r="N34" i="1"/>
  <c r="J34" i="1"/>
  <c r="J35" i="1" s="1"/>
  <c r="F34" i="1"/>
  <c r="E34" i="1"/>
  <c r="E35" i="1" s="1"/>
  <c r="B34" i="1"/>
  <c r="AI34" i="1" s="1"/>
  <c r="AH33" i="1"/>
  <c r="AH35" i="1" s="1"/>
  <c r="AH91" i="1" s="1"/>
  <c r="AF33" i="1"/>
  <c r="AF35" i="1" s="1"/>
  <c r="AF91" i="1" s="1"/>
  <c r="AE33" i="1"/>
  <c r="AD33" i="1"/>
  <c r="AC33" i="1"/>
  <c r="Z33" i="1"/>
  <c r="Z35" i="1" s="1"/>
  <c r="Z91" i="1" s="1"/>
  <c r="Y33" i="1"/>
  <c r="Y35" i="1" s="1"/>
  <c r="Y91" i="1" s="1"/>
  <c r="W33" i="1"/>
  <c r="V33" i="1"/>
  <c r="U33" i="1"/>
  <c r="T33" i="1"/>
  <c r="S33" i="1"/>
  <c r="S35" i="1" s="1"/>
  <c r="R33" i="1"/>
  <c r="R35" i="1" s="1"/>
  <c r="O33" i="1"/>
  <c r="O35" i="1" s="1"/>
  <c r="N33" i="1"/>
  <c r="M33" i="1"/>
  <c r="L33" i="1"/>
  <c r="K33" i="1"/>
  <c r="I33" i="1"/>
  <c r="I35" i="1" s="1"/>
  <c r="I91" i="1" s="1"/>
  <c r="H33" i="1"/>
  <c r="H35" i="1" s="1"/>
  <c r="G33" i="1"/>
  <c r="G35" i="1" s="1"/>
  <c r="F33" i="1"/>
  <c r="F35" i="1" s="1"/>
  <c r="E33" i="1"/>
  <c r="B33" i="1"/>
  <c r="AI33" i="1" s="1"/>
  <c r="AI32" i="1"/>
  <c r="AH29" i="1"/>
  <c r="AH30" i="1" s="1"/>
  <c r="AH92" i="1" s="1"/>
  <c r="AH93" i="1" s="1"/>
  <c r="AG29" i="1"/>
  <c r="AG30" i="1" s="1"/>
  <c r="R29" i="1"/>
  <c r="R30" i="1" s="1"/>
  <c r="J29" i="1"/>
  <c r="J30" i="1" s="1"/>
  <c r="I29" i="1"/>
  <c r="I30" i="1" s="1"/>
  <c r="AH28" i="1"/>
  <c r="AG28" i="1"/>
  <c r="AF28" i="1"/>
  <c r="AD28" i="1"/>
  <c r="AC28" i="1"/>
  <c r="AB28" i="1"/>
  <c r="AA28" i="1"/>
  <c r="AA29" i="1" s="1"/>
  <c r="AA30" i="1" s="1"/>
  <c r="X28" i="1"/>
  <c r="U28" i="1"/>
  <c r="T28" i="1"/>
  <c r="S28" i="1"/>
  <c r="S29" i="1" s="1"/>
  <c r="S30" i="1" s="1"/>
  <c r="R28" i="1"/>
  <c r="M28" i="1"/>
  <c r="L28" i="1"/>
  <c r="K28" i="1"/>
  <c r="J28" i="1"/>
  <c r="I28" i="1"/>
  <c r="F28" i="1"/>
  <c r="E28" i="1"/>
  <c r="D28" i="1"/>
  <c r="C28" i="1"/>
  <c r="C29" i="1" s="1"/>
  <c r="C30" i="1" s="1"/>
  <c r="C92" i="1" s="1"/>
  <c r="C93" i="1" s="1"/>
  <c r="B28" i="1"/>
  <c r="AE27" i="1"/>
  <c r="AE28" i="1" s="1"/>
  <c r="AD27" i="1"/>
  <c r="AC27" i="1"/>
  <c r="AB27" i="1"/>
  <c r="AA27" i="1"/>
  <c r="Z27" i="1"/>
  <c r="Z28" i="1" s="1"/>
  <c r="Z29" i="1" s="1"/>
  <c r="Z30" i="1" s="1"/>
  <c r="Z92" i="1" s="1"/>
  <c r="Z93" i="1" s="1"/>
  <c r="Y27" i="1"/>
  <c r="Y28" i="1" s="1"/>
  <c r="Y29" i="1" s="1"/>
  <c r="Y30" i="1" s="1"/>
  <c r="Y92" i="1" s="1"/>
  <c r="Y93" i="1" s="1"/>
  <c r="W27" i="1"/>
  <c r="W28" i="1" s="1"/>
  <c r="V27" i="1"/>
  <c r="V28" i="1" s="1"/>
  <c r="U27" i="1"/>
  <c r="T27" i="1"/>
  <c r="R27" i="1"/>
  <c r="O27" i="1"/>
  <c r="O28" i="1" s="1"/>
  <c r="H27" i="1"/>
  <c r="H28" i="1" s="1"/>
  <c r="G27" i="1"/>
  <c r="G28" i="1" s="1"/>
  <c r="E27" i="1"/>
  <c r="AI27" i="1" s="1"/>
  <c r="S26" i="1"/>
  <c r="Q26" i="1"/>
  <c r="Q28" i="1" s="1"/>
  <c r="Q29" i="1" s="1"/>
  <c r="Q30" i="1" s="1"/>
  <c r="P26" i="1"/>
  <c r="P28" i="1" s="1"/>
  <c r="N26" i="1"/>
  <c r="AI26" i="1" s="1"/>
  <c r="AI25" i="1"/>
  <c r="AI24" i="1"/>
  <c r="B24" i="1"/>
  <c r="AI23" i="1"/>
  <c r="B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C22" i="1"/>
  <c r="B22" i="1"/>
  <c r="F21" i="1"/>
  <c r="AI21" i="1" s="1"/>
  <c r="AI20" i="1"/>
  <c r="M20" i="1"/>
  <c r="I20" i="1"/>
  <c r="F20" i="1"/>
  <c r="F22" i="1" s="1"/>
  <c r="AH19" i="1"/>
  <c r="AG19" i="1"/>
  <c r="AF19" i="1"/>
  <c r="AF29" i="1" s="1"/>
  <c r="AF30" i="1" s="1"/>
  <c r="AE19" i="1"/>
  <c r="AE29" i="1" s="1"/>
  <c r="AE30" i="1" s="1"/>
  <c r="AD19" i="1"/>
  <c r="AD29" i="1" s="1"/>
  <c r="AD30" i="1" s="1"/>
  <c r="AC19" i="1"/>
  <c r="AC29" i="1" s="1"/>
  <c r="AC30" i="1" s="1"/>
  <c r="AB19" i="1"/>
  <c r="AB29" i="1" s="1"/>
  <c r="AB30" i="1" s="1"/>
  <c r="AB92" i="1" s="1"/>
  <c r="AB93" i="1" s="1"/>
  <c r="AA19" i="1"/>
  <c r="Z19" i="1"/>
  <c r="Y19" i="1"/>
  <c r="X19" i="1"/>
  <c r="X29" i="1" s="1"/>
  <c r="X30" i="1" s="1"/>
  <c r="W19" i="1"/>
  <c r="W29" i="1" s="1"/>
  <c r="W30" i="1" s="1"/>
  <c r="V19" i="1"/>
  <c r="V29" i="1" s="1"/>
  <c r="V30" i="1" s="1"/>
  <c r="U19" i="1"/>
  <c r="U29" i="1" s="1"/>
  <c r="U30" i="1" s="1"/>
  <c r="T19" i="1"/>
  <c r="T29" i="1" s="1"/>
  <c r="T30" i="1" s="1"/>
  <c r="S19" i="1"/>
  <c r="R19" i="1"/>
  <c r="Q19" i="1"/>
  <c r="P19" i="1"/>
  <c r="O19" i="1"/>
  <c r="O29" i="1" s="1"/>
  <c r="O30" i="1" s="1"/>
  <c r="N19" i="1"/>
  <c r="M19" i="1"/>
  <c r="M29" i="1" s="1"/>
  <c r="M30" i="1" s="1"/>
  <c r="J19" i="1"/>
  <c r="I19" i="1"/>
  <c r="H19" i="1"/>
  <c r="H29" i="1" s="1"/>
  <c r="H30" i="1" s="1"/>
  <c r="G19" i="1"/>
  <c r="E19" i="1"/>
  <c r="E29" i="1" s="1"/>
  <c r="E30" i="1" s="1"/>
  <c r="D19" i="1"/>
  <c r="D29" i="1" s="1"/>
  <c r="D30" i="1" s="1"/>
  <c r="C19" i="1"/>
  <c r="F18" i="1"/>
  <c r="AI18" i="1" s="1"/>
  <c r="AI17" i="1"/>
  <c r="C17" i="1"/>
  <c r="B17" i="1"/>
  <c r="B16" i="1"/>
  <c r="AI16" i="1" s="1"/>
  <c r="B15" i="1"/>
  <c r="AI15" i="1" s="1"/>
  <c r="AI14" i="1"/>
  <c r="B14" i="1"/>
  <c r="L13" i="1"/>
  <c r="K13" i="1"/>
  <c r="F13" i="1"/>
  <c r="B13" i="1"/>
  <c r="AI13" i="1" s="1"/>
  <c r="F12" i="1"/>
  <c r="AI12" i="1" s="1"/>
  <c r="AI11" i="1"/>
  <c r="AF11" i="1"/>
  <c r="X11" i="1"/>
  <c r="J11" i="1"/>
  <c r="L10" i="1"/>
  <c r="L19" i="1" s="1"/>
  <c r="L29" i="1" s="1"/>
  <c r="L30" i="1" s="1"/>
  <c r="K10" i="1"/>
  <c r="K19" i="1" s="1"/>
  <c r="K29" i="1" s="1"/>
  <c r="K30" i="1" s="1"/>
  <c r="F10" i="1"/>
  <c r="F19" i="1" s="1"/>
  <c r="F29" i="1" s="1"/>
  <c r="F30" i="1" s="1"/>
  <c r="AI9" i="1"/>
  <c r="B9" i="1"/>
  <c r="AI8" i="1"/>
  <c r="B8" i="1"/>
  <c r="AI7" i="1"/>
  <c r="Q91" i="1" l="1"/>
  <c r="AA91" i="1"/>
  <c r="AI85" i="1"/>
  <c r="AI90" i="1"/>
  <c r="F92" i="1"/>
  <c r="F93" i="1" s="1"/>
  <c r="M92" i="1"/>
  <c r="M93" i="1" s="1"/>
  <c r="AC92" i="1"/>
  <c r="AC93" i="1" s="1"/>
  <c r="L91" i="1"/>
  <c r="L92" i="1" s="1"/>
  <c r="L93" i="1" s="1"/>
  <c r="N29" i="1"/>
  <c r="N30" i="1" s="1"/>
  <c r="N92" i="1" s="1"/>
  <c r="N93" i="1" s="1"/>
  <c r="V91" i="1"/>
  <c r="D92" i="1"/>
  <c r="D93" i="1" s="1"/>
  <c r="O92" i="1"/>
  <c r="O93" i="1" s="1"/>
  <c r="W92" i="1"/>
  <c r="W93" i="1" s="1"/>
  <c r="AE92" i="1"/>
  <c r="AE93" i="1" s="1"/>
  <c r="Q92" i="1"/>
  <c r="Q93" i="1" s="1"/>
  <c r="I92" i="1"/>
  <c r="I93" i="1" s="1"/>
  <c r="F91" i="1"/>
  <c r="O91" i="1"/>
  <c r="N91" i="1"/>
  <c r="AD91" i="1"/>
  <c r="AG92" i="1"/>
  <c r="AG93" i="1" s="1"/>
  <c r="V92" i="1"/>
  <c r="V93" i="1" s="1"/>
  <c r="P29" i="1"/>
  <c r="P30" i="1" s="1"/>
  <c r="P92" i="1" s="1"/>
  <c r="P93" i="1" s="1"/>
  <c r="X92" i="1"/>
  <c r="X93" i="1" s="1"/>
  <c r="AF92" i="1"/>
  <c r="AF93" i="1" s="1"/>
  <c r="AI22" i="1"/>
  <c r="AA92" i="1"/>
  <c r="AA93" i="1" s="1"/>
  <c r="G91" i="1"/>
  <c r="R91" i="1"/>
  <c r="J91" i="1"/>
  <c r="J92" i="1" s="1"/>
  <c r="J93" i="1" s="1"/>
  <c r="T91" i="1"/>
  <c r="T92" i="1" s="1"/>
  <c r="T93" i="1" s="1"/>
  <c r="AE91" i="1"/>
  <c r="AD92" i="1"/>
  <c r="AD93" i="1" s="1"/>
  <c r="G29" i="1"/>
  <c r="G30" i="1" s="1"/>
  <c r="G92" i="1" s="1"/>
  <c r="G93" i="1" s="1"/>
  <c r="R92" i="1"/>
  <c r="R93" i="1" s="1"/>
  <c r="S91" i="1"/>
  <c r="S92" i="1" s="1"/>
  <c r="S93" i="1" s="1"/>
  <c r="AG91" i="1"/>
  <c r="AI28" i="1"/>
  <c r="AI38" i="1"/>
  <c r="AI82" i="1"/>
  <c r="U78" i="1"/>
  <c r="U91" i="1" s="1"/>
  <c r="U92" i="1" s="1"/>
  <c r="U93" i="1" s="1"/>
  <c r="AI10" i="1"/>
  <c r="N28" i="1"/>
  <c r="B70" i="1"/>
  <c r="AI70" i="1" s="1"/>
  <c r="AI87" i="1"/>
  <c r="AI63" i="1"/>
  <c r="K54" i="1"/>
  <c r="AI54" i="1" s="1"/>
  <c r="B66" i="1"/>
  <c r="AI66" i="1" s="1"/>
  <c r="AI83" i="1"/>
  <c r="R48" i="1"/>
  <c r="AI69" i="1"/>
  <c r="E78" i="1"/>
  <c r="B35" i="1"/>
  <c r="E48" i="1"/>
  <c r="AI48" i="1" s="1"/>
  <c r="AI80" i="1"/>
  <c r="B19" i="1"/>
  <c r="AI73" i="1"/>
  <c r="H90" i="1"/>
  <c r="H91" i="1" s="1"/>
  <c r="H92" i="1" s="1"/>
  <c r="H93" i="1" s="1"/>
  <c r="AI39" i="1"/>
  <c r="B29" i="1" l="1"/>
  <c r="AI19" i="1"/>
  <c r="E91" i="1"/>
  <c r="E92" i="1" s="1"/>
  <c r="E93" i="1" s="1"/>
  <c r="AI78" i="1"/>
  <c r="K91" i="1"/>
  <c r="K92" i="1" s="1"/>
  <c r="K93" i="1" s="1"/>
  <c r="AI35" i="1"/>
  <c r="B91" i="1"/>
  <c r="AI91" i="1" s="1"/>
  <c r="AI29" i="1" l="1"/>
  <c r="B30" i="1"/>
  <c r="B92" i="1" l="1"/>
  <c r="AI30" i="1"/>
  <c r="B93" i="1" l="1"/>
  <c r="AI93" i="1" s="1"/>
  <c r="AI92" i="1"/>
</calcChain>
</file>

<file path=xl/sharedStrings.xml><?xml version="1.0" encoding="utf-8"?>
<sst xmlns="http://schemas.openxmlformats.org/spreadsheetml/2006/main" count="125" uniqueCount="125">
  <si>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</si>
  <si>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</si>
  <si>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</si>
  <si>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</si>
  <si>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</si>
  <si>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</si>
  <si>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</si>
  <si>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</si>
  <si>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</si>
  <si>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</si>
  <si>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</si>
  <si>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</si>
  <si>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</si>
  <si>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</si>
  <si>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</t>
  </si>
  <si>
    <t>2943 - DCBS</t>
  </si>
  <si>
    <t>3010 - FRYSC - Fed</t>
  </si>
  <si>
    <t>3220 - PERS Effectiveness Coach</t>
  </si>
  <si>
    <t>3299 - ARP</t>
  </si>
  <si>
    <t>336K - IDEA B 23-24</t>
  </si>
  <si>
    <t>336L - IDEA B 24-25</t>
  </si>
  <si>
    <t>3416- SPF</t>
  </si>
  <si>
    <t>3420 - Interact for Health</t>
  </si>
  <si>
    <t>3425 - Deeper Learning</t>
  </si>
  <si>
    <t>345K - Title III EL 23-24</t>
  </si>
  <si>
    <t>345L - Title III EL 24-25</t>
  </si>
  <si>
    <t>3601 - School Based Interventions</t>
  </si>
  <si>
    <t>3602 - Healthy Schools 24-25</t>
  </si>
  <si>
    <t>3800 - Trauma Informed</t>
  </si>
  <si>
    <t>3925 - Mental Health</t>
  </si>
  <si>
    <t>3931 - RSP SBMH Counselor</t>
  </si>
  <si>
    <t>4101C - Arts Grant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</si>
  <si>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</si>
  <si>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</si>
  <si>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</si>
  <si>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</si>
  <si>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</si>
  <si>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</si>
  <si>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</si>
  <si>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</si>
  <si>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</si>
  <si>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</si>
  <si>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</si>
  <si>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</si>
  <si>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</si>
  <si>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</si>
  <si>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</si>
  <si>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</si>
  <si>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</si>
  <si>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</si>
  <si>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</si>
  <si>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</si>
  <si>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</si>
  <si>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</si>
  <si>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</si>
  <si>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</si>
  <si>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</si>
  <si>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</si>
  <si>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</si>
  <si>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</si>
  <si>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</si>
  <si>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</si>
  <si>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</si>
  <si>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</si>
  <si>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</si>
  <si>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</si>
  <si>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</si>
  <si>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</si>
  <si>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</si>
  <si>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</si>
  <si>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</si>
  <si>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</si>
  <si>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</si>
  <si>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</si>
  <si>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</si>
  <si>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</si>
  <si>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</si>
  <si>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</si>
  <si>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</si>
  <si>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</si>
  <si>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</si>
  <si>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</si>
  <si>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</si>
  <si>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</si>
  <si>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</si>
  <si>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</si>
  <si>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</si>
  <si>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</si>
  <si>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</si>
  <si>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</si>
  <si>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</si>
  <si>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</si>
  <si>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</si>
  <si>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</si>
  <si>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</si>
  <si>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</si>
  <si>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</si>
  <si>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</si>
  <si>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</si>
  <si>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</si>
  <si>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</si>
  <si>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</si>
  <si>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</si>
  <si>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</si>
  <si>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</si>
  <si>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</si>
  <si>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</si>
  <si>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</si>
  <si>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</si>
  <si>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</si>
  <si>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</si>
  <si>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</si>
  <si>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</si>
  <si>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</si>
  <si>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</si>
  <si>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</si>
  <si>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</si>
  <si>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</si>
  <si>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</si>
  <si>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</si>
  <si>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</si>
  <si>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</si>
  <si>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</si>
  <si>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</si>
  <si>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2024 -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</si>
</sst>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7"/>
  <sheetViews>
    <sheetView tabSelected="1" workbookViewId="0">
      <selection activeCell="A97" sqref="A97:AI97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9.42578125" customWidth="1"/>
    <col min="6" max="6" width="12" customWidth="1"/>
    <col min="7" max="7" width="10.28515625" customWidth="1"/>
    <col min="8" max="10" width="9.42578125" customWidth="1"/>
    <col min="11" max="11" width="10.28515625" customWidth="1"/>
    <col min="12" max="13" width="9.42578125" customWidth="1"/>
    <col min="14" max="14" width="10.28515625" customWidth="1"/>
    <col min="15" max="15" width="11.140625" customWidth="1"/>
    <col min="16" max="18" width="10.28515625" customWidth="1"/>
    <col min="19" max="20" width="9.42578125" customWidth="1"/>
    <col min="21" max="22" width="10.28515625" customWidth="1"/>
    <col min="23" max="24" width="11.140625" customWidth="1"/>
    <col min="25" max="25" width="10.28515625" customWidth="1"/>
    <col min="26" max="26" width="8.5703125" customWidth="1"/>
    <col min="27" max="27" width="7.7109375" customWidth="1"/>
    <col min="28" max="28" width="8.5703125" customWidth="1"/>
    <col min="29" max="29" width="9.42578125" customWidth="1"/>
    <col min="30" max="31" width="12" customWidth="1"/>
    <col min="32" max="32" width="9.42578125" customWidth="1"/>
    <col min="33" max="34" width="7.7109375" customWidth="1"/>
    <col min="35" max="35" width="12.85546875" customWidth="1"/>
  </cols>
  <sheetData>
    <row r="1" spans="1:35" ht="18" x14ac:dyDescent="0.25">
      <c r="A1" s="10" t="s">
        <v>122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18" x14ac:dyDescent="0.25">
      <c r="A2" s="10" t="s">
        <v>123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5">
      <c r="A3" s="11" t="s">
        <v>124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</row>
    <row r="6" spans="1:35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3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ref="AI7:AI30" si="0">((((((((((((((((((((((((((((((((B7)+(C7))+(D7))+(E7))+(F7))+(G7))+(H7))+(I7))+(J7))+(K7))+(L7))+(M7))+(N7))+(O7))+(P7))+(Q7))+(R7))+(S7))+(T7))+(U7))+(V7))+(W7))+(X7))+(Y7))+(Z7))+(AA7))+(AB7))+(AC7))+(AD7))+(AE7))+(AF7))+(AG7))+(AH7)</f>
        <v>0</v>
      </c>
    </row>
    <row r="8" spans="1:35" x14ac:dyDescent="0.25">
      <c r="A8" s="3" t="s">
        <v>36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283131.02</v>
      </c>
    </row>
    <row r="9" spans="1:35" x14ac:dyDescent="0.25">
      <c r="A9" s="3" t="s">
        <v>37</v>
      </c>
      <c r="B9" s="5">
        <f>147203.68</f>
        <v>147203.68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147203.68</v>
      </c>
    </row>
    <row r="10" spans="1:35" x14ac:dyDescent="0.25">
      <c r="A10" s="3" t="s">
        <v>38</v>
      </c>
      <c r="B10" s="4"/>
      <c r="C10" s="4"/>
      <c r="D10" s="4"/>
      <c r="E10" s="4"/>
      <c r="F10" s="5">
        <f>95.24</f>
        <v>95.24</v>
      </c>
      <c r="G10" s="4"/>
      <c r="H10" s="4"/>
      <c r="I10" s="4"/>
      <c r="J10" s="4"/>
      <c r="K10" s="5">
        <f>527153.47</f>
        <v>527153.47</v>
      </c>
      <c r="L10" s="5">
        <f>44631.67</f>
        <v>44631.67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571880.38</v>
      </c>
    </row>
    <row r="11" spans="1:35" x14ac:dyDescent="0.25">
      <c r="A11" s="3" t="s">
        <v>39</v>
      </c>
      <c r="B11" s="4"/>
      <c r="C11" s="4"/>
      <c r="D11" s="4"/>
      <c r="E11" s="4"/>
      <c r="F11" s="4"/>
      <c r="G11" s="4"/>
      <c r="H11" s="4"/>
      <c r="I11" s="4"/>
      <c r="J11" s="5">
        <f>96085.16</f>
        <v>96085.16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>
        <f>5000</f>
        <v>5000</v>
      </c>
      <c r="Y11" s="4"/>
      <c r="Z11" s="4"/>
      <c r="AA11" s="4"/>
      <c r="AB11" s="4"/>
      <c r="AC11" s="4"/>
      <c r="AD11" s="4"/>
      <c r="AE11" s="4"/>
      <c r="AF11" s="5">
        <f>88400</f>
        <v>88400</v>
      </c>
      <c r="AG11" s="4"/>
      <c r="AH11" s="4"/>
      <c r="AI11" s="5">
        <f t="shared" si="0"/>
        <v>189485.16</v>
      </c>
    </row>
    <row r="12" spans="1:35" x14ac:dyDescent="0.25">
      <c r="A12" s="3" t="s">
        <v>40</v>
      </c>
      <c r="B12" s="4"/>
      <c r="C12" s="4"/>
      <c r="D12" s="4"/>
      <c r="E12" s="4"/>
      <c r="F12" s="5">
        <f>1447.83</f>
        <v>1447.83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1447.83</v>
      </c>
    </row>
    <row r="13" spans="1:35" x14ac:dyDescent="0.25">
      <c r="A13" s="3" t="s">
        <v>41</v>
      </c>
      <c r="B13" s="5">
        <f>4922.9</f>
        <v>4922.8999999999996</v>
      </c>
      <c r="C13" s="4"/>
      <c r="D13" s="4"/>
      <c r="E13" s="4"/>
      <c r="F13" s="5">
        <f>2760.9</f>
        <v>2760.9</v>
      </c>
      <c r="G13" s="4"/>
      <c r="H13" s="4"/>
      <c r="I13" s="4"/>
      <c r="J13" s="4"/>
      <c r="K13" s="5">
        <f>1875.99</f>
        <v>1875.99</v>
      </c>
      <c r="L13" s="5">
        <f>1657.6</f>
        <v>1657.6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11217.39</v>
      </c>
    </row>
    <row r="14" spans="1:35" x14ac:dyDescent="0.25">
      <c r="A14" s="3" t="s">
        <v>42</v>
      </c>
      <c r="B14" s="5">
        <f>99554.59</f>
        <v>99554.59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99554.59</v>
      </c>
    </row>
    <row r="15" spans="1:35" x14ac:dyDescent="0.25">
      <c r="A15" s="3" t="s">
        <v>43</v>
      </c>
      <c r="B15" s="5">
        <f>1102174.28</f>
        <v>1102174.28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1102174.28</v>
      </c>
    </row>
    <row r="16" spans="1:35" x14ac:dyDescent="0.25">
      <c r="A16" s="3" t="s">
        <v>44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40000</v>
      </c>
    </row>
    <row r="17" spans="1:35" x14ac:dyDescent="0.25">
      <c r="A17" s="3" t="s">
        <v>45</v>
      </c>
      <c r="B17" s="5">
        <f>0</f>
        <v>0</v>
      </c>
      <c r="C17" s="5">
        <f>490.44</f>
        <v>490.44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490.44</v>
      </c>
    </row>
    <row r="18" spans="1:35" x14ac:dyDescent="0.25">
      <c r="A18" s="3" t="s">
        <v>46</v>
      </c>
      <c r="B18" s="4"/>
      <c r="C18" s="4"/>
      <c r="D18" s="4"/>
      <c r="E18" s="4"/>
      <c r="F18" s="5">
        <f>178656</f>
        <v>178656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178656</v>
      </c>
    </row>
    <row r="19" spans="1:35" x14ac:dyDescent="0.25">
      <c r="A19" s="3" t="s">
        <v>47</v>
      </c>
      <c r="B19" s="6">
        <f t="shared" ref="B19:AH19" si="1">(((((((((((B7)+(B8))+(B9))+(B10))+(B11))+(B12))+(B13))+(B14))+(B15))+(B16))+(B17))+(B18)</f>
        <v>1676986.4700000002</v>
      </c>
      <c r="C19" s="6">
        <f t="shared" si="1"/>
        <v>490.44</v>
      </c>
      <c r="D19" s="6">
        <f t="shared" si="1"/>
        <v>0</v>
      </c>
      <c r="E19" s="6">
        <f t="shared" si="1"/>
        <v>0</v>
      </c>
      <c r="F19" s="6">
        <f t="shared" si="1"/>
        <v>182959.97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96085.16</v>
      </c>
      <c r="K19" s="6">
        <f t="shared" si="1"/>
        <v>529029.46</v>
      </c>
      <c r="L19" s="6">
        <f t="shared" si="1"/>
        <v>46289.27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5000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88400</v>
      </c>
      <c r="AG19" s="6">
        <f t="shared" si="1"/>
        <v>0</v>
      </c>
      <c r="AH19" s="6">
        <f t="shared" si="1"/>
        <v>0</v>
      </c>
      <c r="AI19" s="6">
        <f t="shared" si="0"/>
        <v>2625240.77</v>
      </c>
    </row>
    <row r="20" spans="1:35" x14ac:dyDescent="0.25">
      <c r="A20" s="3" t="s">
        <v>48</v>
      </c>
      <c r="B20" s="4"/>
      <c r="C20" s="4"/>
      <c r="D20" s="4"/>
      <c r="E20" s="4"/>
      <c r="F20" s="5">
        <f>2107482.99</f>
        <v>2107482.9900000002</v>
      </c>
      <c r="G20" s="4"/>
      <c r="H20" s="4"/>
      <c r="I20" s="5">
        <f>72132.93</f>
        <v>72132.929999999993</v>
      </c>
      <c r="J20" s="4"/>
      <c r="K20" s="4"/>
      <c r="L20" s="4"/>
      <c r="M20" s="5">
        <f>69089.96</f>
        <v>69089.960000000006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2248705.8800000004</v>
      </c>
    </row>
    <row r="21" spans="1:35" x14ac:dyDescent="0.25">
      <c r="A21" s="3" t="s">
        <v>49</v>
      </c>
      <c r="B21" s="4"/>
      <c r="C21" s="4"/>
      <c r="D21" s="4"/>
      <c r="E21" s="4"/>
      <c r="F21" s="5">
        <f>49461.65</f>
        <v>49461.65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49461.65</v>
      </c>
    </row>
    <row r="22" spans="1:35" x14ac:dyDescent="0.25">
      <c r="A22" s="3" t="s">
        <v>50</v>
      </c>
      <c r="B22" s="6">
        <f t="shared" ref="B22:AH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2156944.64</v>
      </c>
      <c r="G22" s="6">
        <f t="shared" si="2"/>
        <v>0</v>
      </c>
      <c r="H22" s="6">
        <f t="shared" si="2"/>
        <v>0</v>
      </c>
      <c r="I22" s="6">
        <f t="shared" si="2"/>
        <v>72132.929999999993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69089.960000000006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0"/>
        <v>2298167.5300000003</v>
      </c>
    </row>
    <row r="23" spans="1:35" x14ac:dyDescent="0.25">
      <c r="A23" s="3" t="s">
        <v>51</v>
      </c>
      <c r="B23" s="5">
        <f>19404</f>
        <v>19404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19404</v>
      </c>
    </row>
    <row r="24" spans="1:35" x14ac:dyDescent="0.25">
      <c r="A24" s="3" t="s">
        <v>52</v>
      </c>
      <c r="B24" s="5">
        <f>56545.03</f>
        <v>56545.03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56545.03</v>
      </c>
    </row>
    <row r="25" spans="1:35" x14ac:dyDescent="0.25">
      <c r="A25" s="3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0</v>
      </c>
    </row>
    <row r="26" spans="1:35" x14ac:dyDescent="0.25">
      <c r="A26" s="3" t="s">
        <v>54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>880113.52</f>
        <v>880113.52</v>
      </c>
      <c r="O26" s="4"/>
      <c r="P26" s="5">
        <f>606102.45</f>
        <v>606102.44999999995</v>
      </c>
      <c r="Q26" s="5">
        <f>451174.19</f>
        <v>451174.19</v>
      </c>
      <c r="R26" s="4"/>
      <c r="S26" s="5">
        <f>87361</f>
        <v>87361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2024751.16</v>
      </c>
    </row>
    <row r="27" spans="1:35" x14ac:dyDescent="0.25">
      <c r="A27" s="3" t="s">
        <v>55</v>
      </c>
      <c r="B27" s="4"/>
      <c r="C27" s="4"/>
      <c r="D27" s="4"/>
      <c r="E27" s="5">
        <f>59999.77</f>
        <v>59999.77</v>
      </c>
      <c r="F27" s="4"/>
      <c r="G27" s="5">
        <f>43479.61</f>
        <v>43479.61</v>
      </c>
      <c r="H27" s="5">
        <f>85483.85</f>
        <v>85483.85</v>
      </c>
      <c r="I27" s="4"/>
      <c r="J27" s="4"/>
      <c r="K27" s="4"/>
      <c r="L27" s="4"/>
      <c r="M27" s="4"/>
      <c r="N27" s="4"/>
      <c r="O27" s="5">
        <f>336913.71</f>
        <v>336913.71</v>
      </c>
      <c r="P27" s="4"/>
      <c r="Q27" s="4"/>
      <c r="R27" s="5">
        <f>379193.46</f>
        <v>379193.46</v>
      </c>
      <c r="S27" s="4"/>
      <c r="T27" s="5">
        <f>73458.75</f>
        <v>73458.75</v>
      </c>
      <c r="U27" s="5">
        <f>211660.85</f>
        <v>211660.85</v>
      </c>
      <c r="V27" s="5">
        <f>731352.65</f>
        <v>731352.65</v>
      </c>
      <c r="W27" s="5">
        <f>266097.05</f>
        <v>266097.05</v>
      </c>
      <c r="X27" s="4"/>
      <c r="Y27" s="5">
        <f>540814.37</f>
        <v>540814.37</v>
      </c>
      <c r="Z27" s="5">
        <f>5134.42</f>
        <v>5134.42</v>
      </c>
      <c r="AA27" s="5">
        <f>419.96</f>
        <v>419.96</v>
      </c>
      <c r="AB27" s="5">
        <f>4482.87</f>
        <v>4482.87</v>
      </c>
      <c r="AC27" s="5">
        <f>11000</f>
        <v>11000</v>
      </c>
      <c r="AD27" s="5">
        <f>969549.13</f>
        <v>969549.13</v>
      </c>
      <c r="AE27" s="5">
        <f>2757742.48</f>
        <v>2757742.48</v>
      </c>
      <c r="AF27" s="4"/>
      <c r="AG27" s="4"/>
      <c r="AH27" s="4"/>
      <c r="AI27" s="5">
        <f t="shared" si="0"/>
        <v>6476782.9299999997</v>
      </c>
    </row>
    <row r="28" spans="1:35" x14ac:dyDescent="0.25">
      <c r="A28" s="3" t="s">
        <v>56</v>
      </c>
      <c r="B28" s="6">
        <f t="shared" ref="B28:AH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59999.77</v>
      </c>
      <c r="F28" s="6">
        <f t="shared" si="3"/>
        <v>0</v>
      </c>
      <c r="G28" s="6">
        <f t="shared" si="3"/>
        <v>43479.61</v>
      </c>
      <c r="H28" s="6">
        <f t="shared" si="3"/>
        <v>85483.85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880113.52</v>
      </c>
      <c r="O28" s="6">
        <f t="shared" si="3"/>
        <v>336913.71</v>
      </c>
      <c r="P28" s="6">
        <f t="shared" si="3"/>
        <v>606102.44999999995</v>
      </c>
      <c r="Q28" s="6">
        <f t="shared" si="3"/>
        <v>451174.19</v>
      </c>
      <c r="R28" s="6">
        <f t="shared" si="3"/>
        <v>379193.46</v>
      </c>
      <c r="S28" s="6">
        <f t="shared" si="3"/>
        <v>87361</v>
      </c>
      <c r="T28" s="6">
        <f t="shared" si="3"/>
        <v>73458.75</v>
      </c>
      <c r="U28" s="6">
        <f t="shared" si="3"/>
        <v>211660.85</v>
      </c>
      <c r="V28" s="6">
        <f t="shared" si="3"/>
        <v>731352.65</v>
      </c>
      <c r="W28" s="6">
        <f t="shared" si="3"/>
        <v>266097.05</v>
      </c>
      <c r="X28" s="6">
        <f t="shared" si="3"/>
        <v>0</v>
      </c>
      <c r="Y28" s="6">
        <f t="shared" si="3"/>
        <v>540814.37</v>
      </c>
      <c r="Z28" s="6">
        <f t="shared" si="3"/>
        <v>5134.42</v>
      </c>
      <c r="AA28" s="6">
        <f t="shared" si="3"/>
        <v>419.96</v>
      </c>
      <c r="AB28" s="6">
        <f t="shared" si="3"/>
        <v>4482.87</v>
      </c>
      <c r="AC28" s="6">
        <f t="shared" si="3"/>
        <v>11000</v>
      </c>
      <c r="AD28" s="6">
        <f t="shared" si="3"/>
        <v>969549.13</v>
      </c>
      <c r="AE28" s="6">
        <f t="shared" si="3"/>
        <v>2757742.48</v>
      </c>
      <c r="AF28" s="6">
        <f t="shared" si="3"/>
        <v>0</v>
      </c>
      <c r="AG28" s="6">
        <f t="shared" si="3"/>
        <v>0</v>
      </c>
      <c r="AH28" s="6">
        <f t="shared" si="3"/>
        <v>0</v>
      </c>
      <c r="AI28" s="6">
        <f t="shared" si="0"/>
        <v>8501534.0899999999</v>
      </c>
    </row>
    <row r="29" spans="1:35" x14ac:dyDescent="0.25">
      <c r="A29" s="3" t="s">
        <v>57</v>
      </c>
      <c r="B29" s="6">
        <f t="shared" ref="B29:AH29" si="4">((((B19)+(B22))+(B23))+(B24))+(B28)</f>
        <v>1752935.5000000002</v>
      </c>
      <c r="C29" s="6">
        <f t="shared" si="4"/>
        <v>490.44</v>
      </c>
      <c r="D29" s="6">
        <f t="shared" si="4"/>
        <v>0</v>
      </c>
      <c r="E29" s="6">
        <f t="shared" si="4"/>
        <v>59999.77</v>
      </c>
      <c r="F29" s="6">
        <f t="shared" si="4"/>
        <v>2339904.6100000003</v>
      </c>
      <c r="G29" s="6">
        <f t="shared" si="4"/>
        <v>43479.61</v>
      </c>
      <c r="H29" s="6">
        <f t="shared" si="4"/>
        <v>85483.85</v>
      </c>
      <c r="I29" s="6">
        <f t="shared" si="4"/>
        <v>72132.929999999993</v>
      </c>
      <c r="J29" s="6">
        <f t="shared" si="4"/>
        <v>96085.16</v>
      </c>
      <c r="K29" s="6">
        <f t="shared" si="4"/>
        <v>529029.46</v>
      </c>
      <c r="L29" s="6">
        <f t="shared" si="4"/>
        <v>46289.27</v>
      </c>
      <c r="M29" s="6">
        <f t="shared" si="4"/>
        <v>69089.960000000006</v>
      </c>
      <c r="N29" s="6">
        <f t="shared" si="4"/>
        <v>880113.52</v>
      </c>
      <c r="O29" s="6">
        <f t="shared" si="4"/>
        <v>336913.71</v>
      </c>
      <c r="P29" s="6">
        <f t="shared" si="4"/>
        <v>606102.44999999995</v>
      </c>
      <c r="Q29" s="6">
        <f t="shared" si="4"/>
        <v>451174.19</v>
      </c>
      <c r="R29" s="6">
        <f t="shared" si="4"/>
        <v>379193.46</v>
      </c>
      <c r="S29" s="6">
        <f t="shared" si="4"/>
        <v>87361</v>
      </c>
      <c r="T29" s="6">
        <f t="shared" si="4"/>
        <v>73458.75</v>
      </c>
      <c r="U29" s="6">
        <f t="shared" si="4"/>
        <v>211660.85</v>
      </c>
      <c r="V29" s="6">
        <f t="shared" si="4"/>
        <v>731352.65</v>
      </c>
      <c r="W29" s="6">
        <f t="shared" si="4"/>
        <v>266097.05</v>
      </c>
      <c r="X29" s="6">
        <f t="shared" si="4"/>
        <v>5000</v>
      </c>
      <c r="Y29" s="6">
        <f t="shared" si="4"/>
        <v>540814.37</v>
      </c>
      <c r="Z29" s="6">
        <f t="shared" si="4"/>
        <v>5134.42</v>
      </c>
      <c r="AA29" s="6">
        <f t="shared" si="4"/>
        <v>419.96</v>
      </c>
      <c r="AB29" s="6">
        <f t="shared" si="4"/>
        <v>4482.87</v>
      </c>
      <c r="AC29" s="6">
        <f t="shared" si="4"/>
        <v>11000</v>
      </c>
      <c r="AD29" s="6">
        <f t="shared" si="4"/>
        <v>969549.13</v>
      </c>
      <c r="AE29" s="6">
        <f t="shared" si="4"/>
        <v>2757742.48</v>
      </c>
      <c r="AF29" s="6">
        <f t="shared" si="4"/>
        <v>88400</v>
      </c>
      <c r="AG29" s="6">
        <f t="shared" si="4"/>
        <v>0</v>
      </c>
      <c r="AH29" s="6">
        <f t="shared" si="4"/>
        <v>0</v>
      </c>
      <c r="AI29" s="6">
        <f t="shared" si="0"/>
        <v>13500891.420000002</v>
      </c>
    </row>
    <row r="30" spans="1:35" x14ac:dyDescent="0.25">
      <c r="A30" s="3" t="s">
        <v>58</v>
      </c>
      <c r="B30" s="6">
        <f t="shared" ref="B30:AH30" si="5">(B29)-(0)</f>
        <v>1752935.5000000002</v>
      </c>
      <c r="C30" s="6">
        <f t="shared" si="5"/>
        <v>490.44</v>
      </c>
      <c r="D30" s="6">
        <f t="shared" si="5"/>
        <v>0</v>
      </c>
      <c r="E30" s="6">
        <f t="shared" si="5"/>
        <v>59999.77</v>
      </c>
      <c r="F30" s="6">
        <f t="shared" si="5"/>
        <v>2339904.6100000003</v>
      </c>
      <c r="G30" s="6">
        <f t="shared" si="5"/>
        <v>43479.61</v>
      </c>
      <c r="H30" s="6">
        <f t="shared" si="5"/>
        <v>85483.85</v>
      </c>
      <c r="I30" s="6">
        <f t="shared" si="5"/>
        <v>72132.929999999993</v>
      </c>
      <c r="J30" s="6">
        <f t="shared" si="5"/>
        <v>96085.16</v>
      </c>
      <c r="K30" s="6">
        <f t="shared" si="5"/>
        <v>529029.46</v>
      </c>
      <c r="L30" s="6">
        <f t="shared" si="5"/>
        <v>46289.27</v>
      </c>
      <c r="M30" s="6">
        <f t="shared" si="5"/>
        <v>69089.960000000006</v>
      </c>
      <c r="N30" s="6">
        <f t="shared" si="5"/>
        <v>880113.52</v>
      </c>
      <c r="O30" s="6">
        <f t="shared" si="5"/>
        <v>336913.71</v>
      </c>
      <c r="P30" s="6">
        <f t="shared" si="5"/>
        <v>606102.44999999995</v>
      </c>
      <c r="Q30" s="6">
        <f t="shared" si="5"/>
        <v>451174.19</v>
      </c>
      <c r="R30" s="6">
        <f t="shared" si="5"/>
        <v>379193.46</v>
      </c>
      <c r="S30" s="6">
        <f t="shared" si="5"/>
        <v>87361</v>
      </c>
      <c r="T30" s="6">
        <f t="shared" si="5"/>
        <v>73458.75</v>
      </c>
      <c r="U30" s="6">
        <f t="shared" si="5"/>
        <v>211660.85</v>
      </c>
      <c r="V30" s="6">
        <f t="shared" si="5"/>
        <v>731352.65</v>
      </c>
      <c r="W30" s="6">
        <f t="shared" si="5"/>
        <v>266097.05</v>
      </c>
      <c r="X30" s="6">
        <f t="shared" si="5"/>
        <v>5000</v>
      </c>
      <c r="Y30" s="6">
        <f t="shared" si="5"/>
        <v>540814.37</v>
      </c>
      <c r="Z30" s="6">
        <f t="shared" si="5"/>
        <v>5134.42</v>
      </c>
      <c r="AA30" s="6">
        <f t="shared" si="5"/>
        <v>419.96</v>
      </c>
      <c r="AB30" s="6">
        <f t="shared" si="5"/>
        <v>4482.87</v>
      </c>
      <c r="AC30" s="6">
        <f t="shared" si="5"/>
        <v>11000</v>
      </c>
      <c r="AD30" s="6">
        <f t="shared" si="5"/>
        <v>969549.13</v>
      </c>
      <c r="AE30" s="6">
        <f t="shared" si="5"/>
        <v>2757742.48</v>
      </c>
      <c r="AF30" s="6">
        <f t="shared" si="5"/>
        <v>88400</v>
      </c>
      <c r="AG30" s="6">
        <f t="shared" si="5"/>
        <v>0</v>
      </c>
      <c r="AH30" s="6">
        <f t="shared" si="5"/>
        <v>0</v>
      </c>
      <c r="AI30" s="6">
        <f t="shared" si="0"/>
        <v>13500891.420000002</v>
      </c>
    </row>
    <row r="31" spans="1:35" x14ac:dyDescent="0.25">
      <c r="A31" s="3" t="s">
        <v>59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5">
      <c r="A32" s="3" t="s">
        <v>60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5">
        <f t="shared" ref="AI32:AI63" si="6">((((((((((((((((((((((((((((((((B32)+(C32))+(D32))+(E32))+(F32))+(G32))+(H32))+(I32))+(J32))+(K32))+(L32))+(M32))+(N32))+(O32))+(P32))+(Q32))+(R32))+(S32))+(T32))+(U32))+(V32))+(W32))+(X32))+(Y32))+(Z32))+(AA32))+(AB32))+(AC32))+(AD32))+(AE32))+(AF32))+(AG32))+(AH32)</f>
        <v>0</v>
      </c>
    </row>
    <row r="33" spans="1:35" x14ac:dyDescent="0.25">
      <c r="A33" s="3" t="s">
        <v>61</v>
      </c>
      <c r="B33" s="5">
        <f>283205.93</f>
        <v>283205.93</v>
      </c>
      <c r="C33" s="4"/>
      <c r="D33" s="4"/>
      <c r="E33" s="5">
        <f>22785.59</f>
        <v>22785.59</v>
      </c>
      <c r="F33" s="5">
        <f>745151.12</f>
        <v>745151.12</v>
      </c>
      <c r="G33" s="5">
        <f>17996.36</f>
        <v>17996.36</v>
      </c>
      <c r="H33" s="5">
        <f>22643.42</f>
        <v>22643.42</v>
      </c>
      <c r="I33" s="5">
        <f>42233.46</f>
        <v>42233.46</v>
      </c>
      <c r="J33" s="4"/>
      <c r="K33" s="5">
        <f>8819.95</f>
        <v>8819.9500000000007</v>
      </c>
      <c r="L33" s="5">
        <f>-1971.79</f>
        <v>-1971.79</v>
      </c>
      <c r="M33" s="5">
        <f>46732.5</f>
        <v>46732.5</v>
      </c>
      <c r="N33" s="5">
        <f>668544.96</f>
        <v>668544.96</v>
      </c>
      <c r="O33" s="5">
        <f>76617.78</f>
        <v>76617.78</v>
      </c>
      <c r="P33" s="4"/>
      <c r="Q33" s="4"/>
      <c r="R33" s="5">
        <f>77249.88</f>
        <v>77249.88</v>
      </c>
      <c r="S33" s="5">
        <f>76641.66</f>
        <v>76641.66</v>
      </c>
      <c r="T33" s="5">
        <f>11656.86</f>
        <v>11656.86</v>
      </c>
      <c r="U33" s="5">
        <f>75370.92</f>
        <v>75370.92</v>
      </c>
      <c r="V33" s="5">
        <f>309006.13</f>
        <v>309006.13</v>
      </c>
      <c r="W33" s="5">
        <f>145736.33</f>
        <v>145736.32999999999</v>
      </c>
      <c r="X33" s="4"/>
      <c r="Y33" s="5">
        <f>128141.2</f>
        <v>128141.2</v>
      </c>
      <c r="Z33" s="5">
        <f>1456.32</f>
        <v>1456.32</v>
      </c>
      <c r="AA33" s="4"/>
      <c r="AB33" s="4"/>
      <c r="AC33" s="5">
        <f>10000</f>
        <v>10000</v>
      </c>
      <c r="AD33" s="5">
        <f>274129.34</f>
        <v>274129.34000000003</v>
      </c>
      <c r="AE33" s="5">
        <f>363320.15</f>
        <v>363320.15</v>
      </c>
      <c r="AF33" s="5">
        <f>44040.6</f>
        <v>44040.6</v>
      </c>
      <c r="AG33" s="4"/>
      <c r="AH33" s="5">
        <f>0</f>
        <v>0</v>
      </c>
      <c r="AI33" s="5">
        <f t="shared" si="6"/>
        <v>3449508.67</v>
      </c>
    </row>
    <row r="34" spans="1:35" x14ac:dyDescent="0.25">
      <c r="A34" s="3" t="s">
        <v>62</v>
      </c>
      <c r="B34" s="5">
        <f>249233.2</f>
        <v>249233.2</v>
      </c>
      <c r="C34" s="4"/>
      <c r="D34" s="4"/>
      <c r="E34" s="5">
        <f>9737.84</f>
        <v>9737.84</v>
      </c>
      <c r="F34" s="5">
        <f>228858.94</f>
        <v>228858.94</v>
      </c>
      <c r="G34" s="4"/>
      <c r="H34" s="4"/>
      <c r="I34" s="4"/>
      <c r="J34" s="5">
        <f>68349.24</f>
        <v>68349.240000000005</v>
      </c>
      <c r="K34" s="4"/>
      <c r="L34" s="4"/>
      <c r="M34" s="4"/>
      <c r="N34" s="5">
        <f>34762.5</f>
        <v>34762.5</v>
      </c>
      <c r="O34" s="5">
        <f>24819.48</f>
        <v>24819.48</v>
      </c>
      <c r="P34" s="5">
        <f>392703.52</f>
        <v>392703.52</v>
      </c>
      <c r="Q34" s="5">
        <f>309368.52</f>
        <v>309368.52</v>
      </c>
      <c r="R34" s="4"/>
      <c r="S34" s="4"/>
      <c r="T34" s="4"/>
      <c r="U34" s="5">
        <f>11186.24</f>
        <v>11186.24</v>
      </c>
      <c r="V34" s="5">
        <f>39151.84</f>
        <v>39151.839999999997</v>
      </c>
      <c r="W34" s="4"/>
      <c r="X34" s="4"/>
      <c r="Y34" s="5">
        <f>11298.75</f>
        <v>11298.75</v>
      </c>
      <c r="Z34" s="4"/>
      <c r="AA34" s="4"/>
      <c r="AB34" s="4"/>
      <c r="AC34" s="4"/>
      <c r="AD34" s="5">
        <f>34082.44</f>
        <v>34082.44</v>
      </c>
      <c r="AE34" s="5">
        <f>42577.61</f>
        <v>42577.61</v>
      </c>
      <c r="AF34" s="4"/>
      <c r="AG34" s="4"/>
      <c r="AH34" s="4"/>
      <c r="AI34" s="5">
        <f t="shared" si="6"/>
        <v>1456130.12</v>
      </c>
    </row>
    <row r="35" spans="1:35" x14ac:dyDescent="0.25">
      <c r="A35" s="3" t="s">
        <v>63</v>
      </c>
      <c r="B35" s="6">
        <f t="shared" ref="B35:AH35" si="7">((B32)+(B33))+(B34)</f>
        <v>532439.13</v>
      </c>
      <c r="C35" s="6">
        <f t="shared" si="7"/>
        <v>0</v>
      </c>
      <c r="D35" s="6">
        <f t="shared" si="7"/>
        <v>0</v>
      </c>
      <c r="E35" s="6">
        <f t="shared" si="7"/>
        <v>32523.43</v>
      </c>
      <c r="F35" s="6">
        <f t="shared" si="7"/>
        <v>974010.06</v>
      </c>
      <c r="G35" s="6">
        <f t="shared" si="7"/>
        <v>17996.36</v>
      </c>
      <c r="H35" s="6">
        <f t="shared" si="7"/>
        <v>22643.42</v>
      </c>
      <c r="I35" s="6">
        <f t="shared" si="7"/>
        <v>42233.46</v>
      </c>
      <c r="J35" s="6">
        <f t="shared" si="7"/>
        <v>68349.240000000005</v>
      </c>
      <c r="K35" s="6">
        <f t="shared" si="7"/>
        <v>8819.9500000000007</v>
      </c>
      <c r="L35" s="6">
        <f t="shared" si="7"/>
        <v>-1971.79</v>
      </c>
      <c r="M35" s="6">
        <f t="shared" si="7"/>
        <v>46732.5</v>
      </c>
      <c r="N35" s="6">
        <f t="shared" si="7"/>
        <v>703307.46</v>
      </c>
      <c r="O35" s="6">
        <f t="shared" si="7"/>
        <v>101437.26</v>
      </c>
      <c r="P35" s="6">
        <f t="shared" si="7"/>
        <v>392703.52</v>
      </c>
      <c r="Q35" s="6">
        <f t="shared" si="7"/>
        <v>309368.52</v>
      </c>
      <c r="R35" s="6">
        <f t="shared" si="7"/>
        <v>77249.88</v>
      </c>
      <c r="S35" s="6">
        <f t="shared" si="7"/>
        <v>76641.66</v>
      </c>
      <c r="T35" s="6">
        <f t="shared" si="7"/>
        <v>11656.86</v>
      </c>
      <c r="U35" s="6">
        <f t="shared" si="7"/>
        <v>86557.16</v>
      </c>
      <c r="V35" s="6">
        <f t="shared" si="7"/>
        <v>348157.97</v>
      </c>
      <c r="W35" s="6">
        <f t="shared" si="7"/>
        <v>145736.32999999999</v>
      </c>
      <c r="X35" s="6">
        <f t="shared" si="7"/>
        <v>0</v>
      </c>
      <c r="Y35" s="6">
        <f t="shared" si="7"/>
        <v>139439.95000000001</v>
      </c>
      <c r="Z35" s="6">
        <f t="shared" si="7"/>
        <v>1456.32</v>
      </c>
      <c r="AA35" s="6">
        <f t="shared" si="7"/>
        <v>0</v>
      </c>
      <c r="AB35" s="6">
        <f t="shared" si="7"/>
        <v>0</v>
      </c>
      <c r="AC35" s="6">
        <f t="shared" si="7"/>
        <v>10000</v>
      </c>
      <c r="AD35" s="6">
        <f t="shared" si="7"/>
        <v>308211.78000000003</v>
      </c>
      <c r="AE35" s="6">
        <f t="shared" si="7"/>
        <v>405897.76</v>
      </c>
      <c r="AF35" s="6">
        <f t="shared" si="7"/>
        <v>44040.6</v>
      </c>
      <c r="AG35" s="6">
        <f t="shared" si="7"/>
        <v>0</v>
      </c>
      <c r="AH35" s="6">
        <f t="shared" si="7"/>
        <v>0</v>
      </c>
      <c r="AI35" s="6">
        <f t="shared" si="6"/>
        <v>4905638.7899999991</v>
      </c>
    </row>
    <row r="36" spans="1:35" x14ac:dyDescent="0.25">
      <c r="A36" s="3" t="s">
        <v>64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>
        <f t="shared" si="6"/>
        <v>0</v>
      </c>
    </row>
    <row r="37" spans="1:35" x14ac:dyDescent="0.25">
      <c r="A37" s="3" t="s">
        <v>65</v>
      </c>
      <c r="B37" s="4"/>
      <c r="C37" s="4"/>
      <c r="D37" s="4"/>
      <c r="E37" s="5">
        <f>4.95</f>
        <v>4.95</v>
      </c>
      <c r="F37" s="4"/>
      <c r="G37" s="5">
        <f>2.09</f>
        <v>2.09</v>
      </c>
      <c r="H37" s="5">
        <f>3.84</f>
        <v>3.84</v>
      </c>
      <c r="I37" s="4"/>
      <c r="J37" s="4"/>
      <c r="K37" s="4"/>
      <c r="L37" s="5">
        <f>-0.27</f>
        <v>-0.27</v>
      </c>
      <c r="M37" s="4"/>
      <c r="N37" s="4"/>
      <c r="O37" s="5">
        <f>15.38</f>
        <v>15.38</v>
      </c>
      <c r="P37" s="5">
        <f>41.98</f>
        <v>41.98</v>
      </c>
      <c r="Q37" s="4"/>
      <c r="R37" s="5">
        <f>11.25</f>
        <v>11.25</v>
      </c>
      <c r="S37" s="4"/>
      <c r="T37" s="4"/>
      <c r="U37" s="5">
        <f>11.32</f>
        <v>11.32</v>
      </c>
      <c r="V37" s="5">
        <f>45</f>
        <v>45</v>
      </c>
      <c r="W37" s="5">
        <f>18.37</f>
        <v>18.37</v>
      </c>
      <c r="X37" s="4"/>
      <c r="Y37" s="5">
        <f>14.13</f>
        <v>14.13</v>
      </c>
      <c r="Z37" s="5">
        <f>0.3</f>
        <v>0.3</v>
      </c>
      <c r="AA37" s="4"/>
      <c r="AB37" s="4"/>
      <c r="AC37" s="4"/>
      <c r="AD37" s="5">
        <f>47.42</f>
        <v>47.42</v>
      </c>
      <c r="AE37" s="5">
        <f>59.44</f>
        <v>59.44</v>
      </c>
      <c r="AF37" s="5">
        <f>7</f>
        <v>7</v>
      </c>
      <c r="AG37" s="4"/>
      <c r="AH37" s="4"/>
      <c r="AI37" s="5">
        <f t="shared" si="6"/>
        <v>282.2</v>
      </c>
    </row>
    <row r="38" spans="1:35" x14ac:dyDescent="0.25">
      <c r="A38" s="3" t="s">
        <v>66</v>
      </c>
      <c r="B38" s="5">
        <f>2950</f>
        <v>2950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>
        <f t="shared" si="6"/>
        <v>2950</v>
      </c>
    </row>
    <row r="39" spans="1:35" x14ac:dyDescent="0.25">
      <c r="A39" s="3" t="s">
        <v>67</v>
      </c>
      <c r="B39" s="5">
        <f>14845.16</f>
        <v>14845.16</v>
      </c>
      <c r="C39" s="4"/>
      <c r="D39" s="4"/>
      <c r="E39" s="5">
        <f>515.13</f>
        <v>515.13</v>
      </c>
      <c r="F39" s="5">
        <f>13548.31</f>
        <v>13548.31</v>
      </c>
      <c r="G39" s="4"/>
      <c r="H39" s="4"/>
      <c r="I39" s="4"/>
      <c r="J39" s="5">
        <f>4054.68</f>
        <v>4054.68</v>
      </c>
      <c r="K39" s="4"/>
      <c r="L39" s="4"/>
      <c r="M39" s="4"/>
      <c r="N39" s="5">
        <f>2064.29</f>
        <v>2064.29</v>
      </c>
      <c r="O39" s="5">
        <f>1486.08</f>
        <v>1486.08</v>
      </c>
      <c r="P39" s="5">
        <f>23743.42</f>
        <v>23743.42</v>
      </c>
      <c r="Q39" s="5">
        <f>18192.97</f>
        <v>18192.97</v>
      </c>
      <c r="R39" s="4"/>
      <c r="S39" s="4"/>
      <c r="T39" s="4"/>
      <c r="U39" s="5">
        <f>679.25</f>
        <v>679.25</v>
      </c>
      <c r="V39" s="5">
        <f>2377.37</f>
        <v>2377.37</v>
      </c>
      <c r="W39" s="4"/>
      <c r="X39" s="4"/>
      <c r="Y39" s="5">
        <f>657.55</f>
        <v>657.55</v>
      </c>
      <c r="Z39" s="4"/>
      <c r="AA39" s="4"/>
      <c r="AB39" s="4"/>
      <c r="AC39" s="4"/>
      <c r="AD39" s="5">
        <f>1797.53</f>
        <v>1797.53</v>
      </c>
      <c r="AE39" s="5">
        <f>2553.36</f>
        <v>2553.36</v>
      </c>
      <c r="AF39" s="4"/>
      <c r="AG39" s="4"/>
      <c r="AH39" s="4"/>
      <c r="AI39" s="5">
        <f t="shared" si="6"/>
        <v>86515.1</v>
      </c>
    </row>
    <row r="40" spans="1:35" x14ac:dyDescent="0.25">
      <c r="A40" s="3" t="s">
        <v>68</v>
      </c>
      <c r="B40" s="5">
        <f>7534.6</f>
        <v>7534.6</v>
      </c>
      <c r="C40" s="4"/>
      <c r="D40" s="4"/>
      <c r="E40" s="5">
        <f>435.26</f>
        <v>435.26</v>
      </c>
      <c r="F40" s="5">
        <f>13492.25</f>
        <v>13492.25</v>
      </c>
      <c r="G40" s="5">
        <f>260.05</f>
        <v>260.05</v>
      </c>
      <c r="H40" s="5">
        <f>364.5</f>
        <v>364.5</v>
      </c>
      <c r="I40" s="5">
        <f>544.1</f>
        <v>544.1</v>
      </c>
      <c r="J40" s="5">
        <f>948.24</f>
        <v>948.24</v>
      </c>
      <c r="K40" s="4"/>
      <c r="L40" s="5">
        <f>-26.87</f>
        <v>-26.87</v>
      </c>
      <c r="M40" s="5">
        <f>667.02</f>
        <v>667.02</v>
      </c>
      <c r="N40" s="5">
        <f>9762</f>
        <v>9762</v>
      </c>
      <c r="O40" s="5">
        <f>1384.95</f>
        <v>1384.95</v>
      </c>
      <c r="P40" s="5">
        <f>5552.94</f>
        <v>5552.94</v>
      </c>
      <c r="Q40" s="5">
        <f>4254.82</f>
        <v>4254.82</v>
      </c>
      <c r="R40" s="5">
        <f>1086.12</f>
        <v>1086.1199999999999</v>
      </c>
      <c r="S40" s="5">
        <f>1076.88</f>
        <v>1076.8800000000001</v>
      </c>
      <c r="T40" s="5">
        <f>169.02</f>
        <v>169.02</v>
      </c>
      <c r="U40" s="5">
        <f>1205.38</f>
        <v>1205.3800000000001</v>
      </c>
      <c r="V40" s="5">
        <f>4850.24</f>
        <v>4850.24</v>
      </c>
      <c r="W40" s="5">
        <f>2019.91</f>
        <v>2019.91</v>
      </c>
      <c r="X40" s="4"/>
      <c r="Y40" s="5">
        <f>1961.83</f>
        <v>1961.83</v>
      </c>
      <c r="Z40" s="5">
        <f>18.76</f>
        <v>18.760000000000002</v>
      </c>
      <c r="AA40" s="4"/>
      <c r="AB40" s="4"/>
      <c r="AC40" s="4"/>
      <c r="AD40" s="5">
        <f>4233.22</f>
        <v>4233.22</v>
      </c>
      <c r="AE40" s="5">
        <f>5693.48</f>
        <v>5693.48</v>
      </c>
      <c r="AF40" s="5">
        <f>628.14</f>
        <v>628.14</v>
      </c>
      <c r="AG40" s="4"/>
      <c r="AH40" s="5">
        <f>0</f>
        <v>0</v>
      </c>
      <c r="AI40" s="5">
        <f t="shared" si="6"/>
        <v>68116.84</v>
      </c>
    </row>
    <row r="41" spans="1:35" x14ac:dyDescent="0.25">
      <c r="A41" s="3" t="s">
        <v>69</v>
      </c>
      <c r="B41" s="5">
        <f>11387</f>
        <v>11387</v>
      </c>
      <c r="C41" s="4"/>
      <c r="D41" s="4"/>
      <c r="E41" s="5">
        <f>3705.93</f>
        <v>3705.93</v>
      </c>
      <c r="F41" s="5">
        <f>22729.23</f>
        <v>22729.23</v>
      </c>
      <c r="G41" s="5">
        <f>3033.26</f>
        <v>3033.26</v>
      </c>
      <c r="H41" s="5">
        <f>4247.94</f>
        <v>4247.9399999999996</v>
      </c>
      <c r="I41" s="5">
        <f>1441.64</f>
        <v>1441.64</v>
      </c>
      <c r="J41" s="4"/>
      <c r="K41" s="4"/>
      <c r="L41" s="5">
        <f>-317.56</f>
        <v>-317.56</v>
      </c>
      <c r="M41" s="5">
        <f>1402.02</f>
        <v>1402.02</v>
      </c>
      <c r="N41" s="5">
        <f>20853.69</f>
        <v>20853.689999999999</v>
      </c>
      <c r="O41" s="5">
        <f>12139.44</f>
        <v>12139.44</v>
      </c>
      <c r="P41" s="4"/>
      <c r="Q41" s="4"/>
      <c r="R41" s="5">
        <f>10416.42</f>
        <v>10416.42</v>
      </c>
      <c r="S41" s="5">
        <f>2299.32</f>
        <v>2299.3200000000002</v>
      </c>
      <c r="T41" s="5">
        <f>1602.84</f>
        <v>1602.84</v>
      </c>
      <c r="U41" s="5">
        <f>12138.48</f>
        <v>12138.48</v>
      </c>
      <c r="V41" s="5">
        <f>49216.41</f>
        <v>49216.41</v>
      </c>
      <c r="W41" s="5">
        <f>22941.61</f>
        <v>22941.61</v>
      </c>
      <c r="X41" s="4"/>
      <c r="Y41" s="5">
        <f>20598.04</f>
        <v>20598.04</v>
      </c>
      <c r="Z41" s="5">
        <f>74.52</f>
        <v>74.52</v>
      </c>
      <c r="AA41" s="4"/>
      <c r="AB41" s="4"/>
      <c r="AC41" s="4"/>
      <c r="AD41" s="5">
        <f>44913.01</f>
        <v>44913.01</v>
      </c>
      <c r="AE41" s="5">
        <f>55675</f>
        <v>55675</v>
      </c>
      <c r="AF41" s="5">
        <f>6055.56</f>
        <v>6055.56</v>
      </c>
      <c r="AG41" s="4"/>
      <c r="AH41" s="5">
        <f>0</f>
        <v>0</v>
      </c>
      <c r="AI41" s="5">
        <f t="shared" si="6"/>
        <v>306553.8</v>
      </c>
    </row>
    <row r="42" spans="1:35" x14ac:dyDescent="0.25">
      <c r="A42" s="3" t="s">
        <v>70</v>
      </c>
      <c r="B42" s="5">
        <f>49137.35</f>
        <v>49137.35</v>
      </c>
      <c r="C42" s="4"/>
      <c r="D42" s="4"/>
      <c r="E42" s="5">
        <f>1919.32</f>
        <v>1919.32</v>
      </c>
      <c r="F42" s="5">
        <f>45108.26</f>
        <v>45108.26</v>
      </c>
      <c r="G42" s="4"/>
      <c r="H42" s="4"/>
      <c r="I42" s="4"/>
      <c r="J42" s="5">
        <f>13471.57</f>
        <v>13471.57</v>
      </c>
      <c r="K42" s="4"/>
      <c r="L42" s="4"/>
      <c r="M42" s="4"/>
      <c r="N42" s="5">
        <f>6851.7</f>
        <v>6851.7</v>
      </c>
      <c r="O42" s="5">
        <f>4891.93</f>
        <v>4891.93</v>
      </c>
      <c r="P42" s="5">
        <f>72666.21</f>
        <v>72666.210000000006</v>
      </c>
      <c r="Q42" s="5">
        <f>60976.24</f>
        <v>60976.24</v>
      </c>
      <c r="R42" s="4"/>
      <c r="S42" s="4"/>
      <c r="T42" s="4"/>
      <c r="U42" s="5">
        <f>1443.72</f>
        <v>1443.72</v>
      </c>
      <c r="V42" s="5">
        <f>5053.02</f>
        <v>5053.0200000000004</v>
      </c>
      <c r="W42" s="4"/>
      <c r="X42" s="4"/>
      <c r="Y42" s="5">
        <f>2226.99</f>
        <v>2226.9899999999998</v>
      </c>
      <c r="Z42" s="4"/>
      <c r="AA42" s="4"/>
      <c r="AB42" s="4"/>
      <c r="AC42" s="4"/>
      <c r="AD42" s="5">
        <f>6717.62</f>
        <v>6717.62</v>
      </c>
      <c r="AE42" s="5">
        <f>8378.85</f>
        <v>8378.85</v>
      </c>
      <c r="AF42" s="4"/>
      <c r="AG42" s="4"/>
      <c r="AH42" s="4"/>
      <c r="AI42" s="5">
        <f t="shared" si="6"/>
        <v>278842.77999999997</v>
      </c>
    </row>
    <row r="43" spans="1:35" x14ac:dyDescent="0.25">
      <c r="A43" s="3" t="s">
        <v>71</v>
      </c>
      <c r="B43" s="4"/>
      <c r="C43" s="4"/>
      <c r="D43" s="4"/>
      <c r="E43" s="5">
        <f>6181.33</f>
        <v>6181.33</v>
      </c>
      <c r="F43" s="4"/>
      <c r="G43" s="5">
        <f>1650.03</f>
        <v>1650.03</v>
      </c>
      <c r="H43" s="5">
        <f>1349.7</f>
        <v>1349.7</v>
      </c>
      <c r="I43" s="4"/>
      <c r="J43" s="4"/>
      <c r="K43" s="4"/>
      <c r="L43" s="5">
        <f>-302.37</f>
        <v>-302.37</v>
      </c>
      <c r="M43" s="4"/>
      <c r="N43" s="4"/>
      <c r="O43" s="5">
        <f>20185.88</f>
        <v>20185.88</v>
      </c>
      <c r="P43" s="5">
        <f>41375.98</f>
        <v>41375.980000000003</v>
      </c>
      <c r="Q43" s="4"/>
      <c r="R43" s="5">
        <f>13198.32</f>
        <v>13198.32</v>
      </c>
      <c r="S43" s="4"/>
      <c r="T43" s="4"/>
      <c r="U43" s="5">
        <f>12805.22</f>
        <v>12805.22</v>
      </c>
      <c r="V43" s="5">
        <f>50746.78</f>
        <v>50746.78</v>
      </c>
      <c r="W43" s="5">
        <f>14883.43</f>
        <v>14883.43</v>
      </c>
      <c r="X43" s="4"/>
      <c r="Y43" s="5">
        <f>13002.82</f>
        <v>13002.82</v>
      </c>
      <c r="Z43" s="5">
        <f>503.76</f>
        <v>503.76</v>
      </c>
      <c r="AA43" s="4"/>
      <c r="AB43" s="4"/>
      <c r="AC43" s="4"/>
      <c r="AD43" s="5">
        <f>54078.36</f>
        <v>54078.36</v>
      </c>
      <c r="AE43" s="5">
        <f>41165.1</f>
        <v>41165.1</v>
      </c>
      <c r="AF43" s="5">
        <f>6141.1</f>
        <v>6141.1</v>
      </c>
      <c r="AG43" s="4"/>
      <c r="AH43" s="4"/>
      <c r="AI43" s="5">
        <f t="shared" si="6"/>
        <v>276965.43999999994</v>
      </c>
    </row>
    <row r="44" spans="1:35" x14ac:dyDescent="0.25">
      <c r="A44" s="3" t="s">
        <v>72</v>
      </c>
      <c r="B44" s="5">
        <f>-3944.48</f>
        <v>-3944.48</v>
      </c>
      <c r="C44" s="4"/>
      <c r="D44" s="4"/>
      <c r="E44" s="4"/>
      <c r="F44" s="5">
        <f>467.82</f>
        <v>467.82</v>
      </c>
      <c r="G44" s="4"/>
      <c r="H44" s="4"/>
      <c r="I44" s="4"/>
      <c r="J44" s="4"/>
      <c r="K44" s="4"/>
      <c r="L44" s="4"/>
      <c r="M44" s="4"/>
      <c r="N44" s="5">
        <f>180</f>
        <v>180</v>
      </c>
      <c r="O44" s="4"/>
      <c r="P44" s="5">
        <f>180</f>
        <v>180</v>
      </c>
      <c r="Q44" s="5">
        <f>86.68</f>
        <v>86.68</v>
      </c>
      <c r="R44" s="4"/>
      <c r="S44" s="4"/>
      <c r="T44" s="4"/>
      <c r="U44" s="5">
        <f>4.39</f>
        <v>4.3899999999999997</v>
      </c>
      <c r="V44" s="5">
        <f>60</f>
        <v>60</v>
      </c>
      <c r="W44" s="4"/>
      <c r="X44" s="4"/>
      <c r="Y44" s="4"/>
      <c r="Z44" s="4"/>
      <c r="AA44" s="4"/>
      <c r="AB44" s="4"/>
      <c r="AC44" s="4"/>
      <c r="AD44" s="5">
        <f>60</f>
        <v>60</v>
      </c>
      <c r="AE44" s="5">
        <f>9.07</f>
        <v>9.07</v>
      </c>
      <c r="AF44" s="5">
        <f>60</f>
        <v>60</v>
      </c>
      <c r="AG44" s="4"/>
      <c r="AH44" s="4"/>
      <c r="AI44" s="5">
        <f t="shared" si="6"/>
        <v>-2836.52</v>
      </c>
    </row>
    <row r="45" spans="1:35" x14ac:dyDescent="0.25">
      <c r="A45" s="3" t="s">
        <v>73</v>
      </c>
      <c r="B45" s="5">
        <f>6756.29</f>
        <v>6756.29</v>
      </c>
      <c r="C45" s="4"/>
      <c r="D45" s="4"/>
      <c r="E45" s="4"/>
      <c r="F45" s="5">
        <f>12496</f>
        <v>12496</v>
      </c>
      <c r="G45" s="4"/>
      <c r="H45" s="4"/>
      <c r="I45" s="5">
        <f>497</f>
        <v>497</v>
      </c>
      <c r="J45" s="5">
        <f>777</f>
        <v>777</v>
      </c>
      <c r="K45" s="4"/>
      <c r="L45" s="4"/>
      <c r="M45" s="5">
        <f>531</f>
        <v>531</v>
      </c>
      <c r="N45" s="5">
        <f>7973</f>
        <v>7973</v>
      </c>
      <c r="O45" s="5">
        <f>1094</f>
        <v>1094</v>
      </c>
      <c r="P45" s="5">
        <f>4573</f>
        <v>4573</v>
      </c>
      <c r="Q45" s="5">
        <f>3641</f>
        <v>3641</v>
      </c>
      <c r="R45" s="5">
        <f>878</f>
        <v>878</v>
      </c>
      <c r="S45" s="5">
        <f>872</f>
        <v>872</v>
      </c>
      <c r="T45" s="4"/>
      <c r="U45" s="4"/>
      <c r="V45" s="5">
        <f>5090</f>
        <v>5090</v>
      </c>
      <c r="W45" s="5">
        <f>1678</f>
        <v>1678</v>
      </c>
      <c r="X45" s="4"/>
      <c r="Y45" s="4"/>
      <c r="Z45" s="4"/>
      <c r="AA45" s="4"/>
      <c r="AB45" s="4"/>
      <c r="AC45" s="4"/>
      <c r="AD45" s="5">
        <f>3582</f>
        <v>3582</v>
      </c>
      <c r="AE45" s="5">
        <f>4799</f>
        <v>4799</v>
      </c>
      <c r="AF45" s="5">
        <f>501</f>
        <v>501</v>
      </c>
      <c r="AG45" s="4"/>
      <c r="AH45" s="4"/>
      <c r="AI45" s="5">
        <f t="shared" si="6"/>
        <v>55738.29</v>
      </c>
    </row>
    <row r="46" spans="1:35" x14ac:dyDescent="0.25">
      <c r="A46" s="3" t="s">
        <v>74</v>
      </c>
      <c r="B46" s="4"/>
      <c r="C46" s="4"/>
      <c r="D46" s="4"/>
      <c r="E46" s="5">
        <f>650.47</f>
        <v>650.47</v>
      </c>
      <c r="F46" s="5">
        <f>9739.6</f>
        <v>9739.6</v>
      </c>
      <c r="G46" s="5">
        <f>359.92</f>
        <v>359.92</v>
      </c>
      <c r="H46" s="4"/>
      <c r="I46" s="5">
        <f>844.69</f>
        <v>844.69</v>
      </c>
      <c r="J46" s="5">
        <f>1367.01</f>
        <v>1367.01</v>
      </c>
      <c r="K46" s="4"/>
      <c r="L46" s="4"/>
      <c r="M46" s="5">
        <f>467.37</f>
        <v>467.37</v>
      </c>
      <c r="N46" s="5">
        <f>14066.16</f>
        <v>14066.16</v>
      </c>
      <c r="O46" s="5">
        <f>2028.73</f>
        <v>2028.73</v>
      </c>
      <c r="P46" s="4"/>
      <c r="Q46" s="5">
        <f>6187.36</f>
        <v>6187.36</v>
      </c>
      <c r="R46" s="5">
        <f>1545.03</f>
        <v>1545.03</v>
      </c>
      <c r="S46" s="4"/>
      <c r="T46" s="4"/>
      <c r="U46" s="4"/>
      <c r="V46" s="4"/>
      <c r="W46" s="5">
        <f>2914.69</f>
        <v>2914.69</v>
      </c>
      <c r="X46" s="4"/>
      <c r="Y46" s="5">
        <f>2097.01</f>
        <v>2097.0100000000002</v>
      </c>
      <c r="Z46" s="4"/>
      <c r="AA46" s="4"/>
      <c r="AB46" s="4"/>
      <c r="AC46" s="4"/>
      <c r="AD46" s="5">
        <f>6159.05</f>
        <v>6159.05</v>
      </c>
      <c r="AE46" s="5">
        <f>8117.94</f>
        <v>8117.94</v>
      </c>
      <c r="AF46" s="4"/>
      <c r="AG46" s="4"/>
      <c r="AH46" s="4"/>
      <c r="AI46" s="5">
        <f t="shared" si="6"/>
        <v>56545.030000000006</v>
      </c>
    </row>
    <row r="47" spans="1:35" x14ac:dyDescent="0.25">
      <c r="A47" s="3" t="s">
        <v>75</v>
      </c>
      <c r="B47" s="4"/>
      <c r="C47" s="4"/>
      <c r="D47" s="4"/>
      <c r="E47" s="5">
        <f>39.6</f>
        <v>39.6</v>
      </c>
      <c r="F47" s="4"/>
      <c r="G47" s="5">
        <f>16.72</f>
        <v>16.72</v>
      </c>
      <c r="H47" s="5">
        <f>30.72</f>
        <v>30.72</v>
      </c>
      <c r="I47" s="4"/>
      <c r="J47" s="4"/>
      <c r="K47" s="4"/>
      <c r="L47" s="5">
        <f>-2.16</f>
        <v>-2.16</v>
      </c>
      <c r="M47" s="4"/>
      <c r="N47" s="4"/>
      <c r="O47" s="5">
        <f>123.04</f>
        <v>123.04</v>
      </c>
      <c r="P47" s="5">
        <f>335.84</f>
        <v>335.84</v>
      </c>
      <c r="Q47" s="4"/>
      <c r="R47" s="5">
        <f>90</f>
        <v>90</v>
      </c>
      <c r="S47" s="4"/>
      <c r="T47" s="4"/>
      <c r="U47" s="5">
        <f>90.56</f>
        <v>90.56</v>
      </c>
      <c r="V47" s="5">
        <f>360</f>
        <v>360</v>
      </c>
      <c r="W47" s="5">
        <f>146.96</f>
        <v>146.96</v>
      </c>
      <c r="X47" s="4"/>
      <c r="Y47" s="5">
        <f>113.04</f>
        <v>113.04</v>
      </c>
      <c r="Z47" s="5">
        <f>2.4</f>
        <v>2.4</v>
      </c>
      <c r="AA47" s="4"/>
      <c r="AB47" s="4"/>
      <c r="AC47" s="4"/>
      <c r="AD47" s="5">
        <f>379.28</f>
        <v>379.28</v>
      </c>
      <c r="AE47" s="5">
        <f>475.44</f>
        <v>475.44</v>
      </c>
      <c r="AF47" s="5">
        <f>56</f>
        <v>56</v>
      </c>
      <c r="AG47" s="4"/>
      <c r="AH47" s="4"/>
      <c r="AI47" s="5">
        <f t="shared" si="6"/>
        <v>2257.44</v>
      </c>
    </row>
    <row r="48" spans="1:35" x14ac:dyDescent="0.25">
      <c r="A48" s="3" t="s">
        <v>76</v>
      </c>
      <c r="B48" s="6">
        <f t="shared" ref="B48:AH48" si="8">(((((((((((B36)+(B37))+(B38))+(B39))+(B40))+(B41))+(B42))+(B43))+(B44))+(B45))+(B46))+(B47)</f>
        <v>88665.919999999998</v>
      </c>
      <c r="C48" s="6">
        <f t="shared" si="8"/>
        <v>0</v>
      </c>
      <c r="D48" s="6">
        <f t="shared" si="8"/>
        <v>0</v>
      </c>
      <c r="E48" s="6">
        <f t="shared" si="8"/>
        <v>13451.989999999998</v>
      </c>
      <c r="F48" s="6">
        <f t="shared" si="8"/>
        <v>117581.47</v>
      </c>
      <c r="G48" s="6">
        <f t="shared" si="8"/>
        <v>5322.0700000000006</v>
      </c>
      <c r="H48" s="6">
        <f t="shared" si="8"/>
        <v>5996.7</v>
      </c>
      <c r="I48" s="6">
        <f t="shared" si="8"/>
        <v>3327.4300000000003</v>
      </c>
      <c r="J48" s="6">
        <f t="shared" si="8"/>
        <v>20618.499999999996</v>
      </c>
      <c r="K48" s="6">
        <f t="shared" si="8"/>
        <v>0</v>
      </c>
      <c r="L48" s="6">
        <f t="shared" si="8"/>
        <v>-649.2299999999999</v>
      </c>
      <c r="M48" s="6">
        <f t="shared" si="8"/>
        <v>3067.41</v>
      </c>
      <c r="N48" s="6">
        <f t="shared" si="8"/>
        <v>61750.84</v>
      </c>
      <c r="O48" s="6">
        <f t="shared" si="8"/>
        <v>43349.430000000008</v>
      </c>
      <c r="P48" s="6">
        <f t="shared" si="8"/>
        <v>148469.37</v>
      </c>
      <c r="Q48" s="6">
        <f t="shared" si="8"/>
        <v>93339.069999999992</v>
      </c>
      <c r="R48" s="6">
        <f t="shared" si="8"/>
        <v>27225.14</v>
      </c>
      <c r="S48" s="6">
        <f t="shared" si="8"/>
        <v>4248.2000000000007</v>
      </c>
      <c r="T48" s="6">
        <f t="shared" si="8"/>
        <v>1771.86</v>
      </c>
      <c r="U48" s="6">
        <f t="shared" si="8"/>
        <v>28378.32</v>
      </c>
      <c r="V48" s="6">
        <f t="shared" si="8"/>
        <v>117798.82</v>
      </c>
      <c r="W48" s="6">
        <f t="shared" si="8"/>
        <v>44602.97</v>
      </c>
      <c r="X48" s="6">
        <f t="shared" si="8"/>
        <v>0</v>
      </c>
      <c r="Y48" s="6">
        <f t="shared" si="8"/>
        <v>40671.410000000003</v>
      </c>
      <c r="Z48" s="6">
        <f t="shared" si="8"/>
        <v>599.74</v>
      </c>
      <c r="AA48" s="6">
        <f t="shared" si="8"/>
        <v>0</v>
      </c>
      <c r="AB48" s="6">
        <f t="shared" si="8"/>
        <v>0</v>
      </c>
      <c r="AC48" s="6">
        <f t="shared" si="8"/>
        <v>0</v>
      </c>
      <c r="AD48" s="6">
        <f t="shared" si="8"/>
        <v>121967.49</v>
      </c>
      <c r="AE48" s="6">
        <f t="shared" si="8"/>
        <v>126926.68000000002</v>
      </c>
      <c r="AF48" s="6">
        <f t="shared" si="8"/>
        <v>13448.800000000001</v>
      </c>
      <c r="AG48" s="6">
        <f t="shared" si="8"/>
        <v>0</v>
      </c>
      <c r="AH48" s="6">
        <f t="shared" si="8"/>
        <v>0</v>
      </c>
      <c r="AI48" s="6">
        <f t="shared" si="6"/>
        <v>1131930.3999999999</v>
      </c>
    </row>
    <row r="49" spans="1:35" x14ac:dyDescent="0.25">
      <c r="A49" s="3" t="s">
        <v>77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>
        <f t="shared" si="6"/>
        <v>0</v>
      </c>
    </row>
    <row r="50" spans="1:35" x14ac:dyDescent="0.25">
      <c r="A50" s="3" t="s">
        <v>78</v>
      </c>
      <c r="B50" s="5">
        <f>23042.38</f>
        <v>23042.38</v>
      </c>
      <c r="C50" s="4"/>
      <c r="D50" s="4"/>
      <c r="E50" s="4"/>
      <c r="F50" s="5">
        <f>127154.98</f>
        <v>127154.98</v>
      </c>
      <c r="G50" s="4"/>
      <c r="H50" s="5">
        <f>3297.84</f>
        <v>3297.84</v>
      </c>
      <c r="I50" s="4"/>
      <c r="J50" s="4"/>
      <c r="K50" s="5">
        <f>510</f>
        <v>510</v>
      </c>
      <c r="L50" s="4"/>
      <c r="M50" s="4"/>
      <c r="N50" s="5">
        <f>73.25</f>
        <v>73.25</v>
      </c>
      <c r="O50" s="4"/>
      <c r="P50" s="5">
        <f>-10</f>
        <v>-10</v>
      </c>
      <c r="Q50" s="5">
        <f>126.5</f>
        <v>126.5</v>
      </c>
      <c r="R50" s="4"/>
      <c r="S50" s="4"/>
      <c r="T50" s="5">
        <f>800</f>
        <v>800</v>
      </c>
      <c r="U50" s="5">
        <f>712.2</f>
        <v>712.2</v>
      </c>
      <c r="V50" s="5">
        <f>5416.4</f>
        <v>5416.4</v>
      </c>
      <c r="W50" s="4"/>
      <c r="X50" s="4"/>
      <c r="Y50" s="5">
        <f>0</f>
        <v>0</v>
      </c>
      <c r="Z50" s="4"/>
      <c r="AA50" s="4"/>
      <c r="AB50" s="4"/>
      <c r="AC50" s="4"/>
      <c r="AD50" s="5">
        <f>159.9</f>
        <v>159.9</v>
      </c>
      <c r="AE50" s="5">
        <f>9800</f>
        <v>9800</v>
      </c>
      <c r="AF50" s="4"/>
      <c r="AG50" s="4"/>
      <c r="AH50" s="4"/>
      <c r="AI50" s="5">
        <f t="shared" si="6"/>
        <v>171083.44999999998</v>
      </c>
    </row>
    <row r="51" spans="1:35" x14ac:dyDescent="0.25">
      <c r="A51" s="3" t="s">
        <v>79</v>
      </c>
      <c r="B51" s="5">
        <f>25300</f>
        <v>25300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>
        <f t="shared" si="6"/>
        <v>25300</v>
      </c>
    </row>
    <row r="52" spans="1:35" x14ac:dyDescent="0.25">
      <c r="A52" s="3" t="s">
        <v>80</v>
      </c>
      <c r="B52" s="5">
        <f>8970.34</f>
        <v>8970.34</v>
      </c>
      <c r="C52" s="4"/>
      <c r="D52" s="4"/>
      <c r="E52" s="4"/>
      <c r="F52" s="5">
        <f>6594.27</f>
        <v>6594.27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>
        <f t="shared" si="6"/>
        <v>15564.61</v>
      </c>
    </row>
    <row r="53" spans="1:35" x14ac:dyDescent="0.25">
      <c r="A53" s="3" t="s">
        <v>81</v>
      </c>
      <c r="B53" s="5">
        <f>14169.63</f>
        <v>14169.63</v>
      </c>
      <c r="C53" s="4"/>
      <c r="D53" s="4"/>
      <c r="E53" s="5">
        <f>78.28</f>
        <v>78.28</v>
      </c>
      <c r="F53" s="5">
        <f>9778.35</f>
        <v>9778.35</v>
      </c>
      <c r="G53" s="4"/>
      <c r="H53" s="5">
        <f>57.87</f>
        <v>57.87</v>
      </c>
      <c r="I53" s="5">
        <f>172.77</f>
        <v>172.77</v>
      </c>
      <c r="J53" s="4"/>
      <c r="K53" s="4"/>
      <c r="L53" s="4"/>
      <c r="M53" s="5">
        <f>241.77</f>
        <v>241.77</v>
      </c>
      <c r="N53" s="4"/>
      <c r="O53" s="5">
        <f>337.94</f>
        <v>337.94</v>
      </c>
      <c r="P53" s="4"/>
      <c r="Q53" s="4"/>
      <c r="R53" s="4"/>
      <c r="S53" s="4"/>
      <c r="T53" s="5">
        <f>38.3</f>
        <v>38.299999999999997</v>
      </c>
      <c r="U53" s="5">
        <f>1519.56</f>
        <v>1519.56</v>
      </c>
      <c r="V53" s="5">
        <f>5961.02</f>
        <v>5961.02</v>
      </c>
      <c r="W53" s="5">
        <f>483.54</f>
        <v>483.54</v>
      </c>
      <c r="X53" s="4"/>
      <c r="Y53" s="5">
        <f>211.91</f>
        <v>211.91</v>
      </c>
      <c r="Z53" s="4"/>
      <c r="AA53" s="5">
        <f>300</f>
        <v>300</v>
      </c>
      <c r="AB53" s="4"/>
      <c r="AC53" s="4"/>
      <c r="AD53" s="5">
        <f>858.94</f>
        <v>858.94</v>
      </c>
      <c r="AE53" s="5">
        <f>1354.03</f>
        <v>1354.03</v>
      </c>
      <c r="AF53" s="4"/>
      <c r="AG53" s="4"/>
      <c r="AH53" s="4"/>
      <c r="AI53" s="5">
        <f t="shared" si="6"/>
        <v>35563.910000000003</v>
      </c>
    </row>
    <row r="54" spans="1:35" x14ac:dyDescent="0.25">
      <c r="A54" s="3" t="s">
        <v>82</v>
      </c>
      <c r="B54" s="6">
        <f t="shared" ref="B54:AH54" si="9">((((B49)+(B50))+(B51))+(B52))+(B53)</f>
        <v>71482.350000000006</v>
      </c>
      <c r="C54" s="6">
        <f t="shared" si="9"/>
        <v>0</v>
      </c>
      <c r="D54" s="6">
        <f t="shared" si="9"/>
        <v>0</v>
      </c>
      <c r="E54" s="6">
        <f t="shared" si="9"/>
        <v>78.28</v>
      </c>
      <c r="F54" s="6">
        <f t="shared" si="9"/>
        <v>143527.6</v>
      </c>
      <c r="G54" s="6">
        <f t="shared" si="9"/>
        <v>0</v>
      </c>
      <c r="H54" s="6">
        <f t="shared" si="9"/>
        <v>3355.71</v>
      </c>
      <c r="I54" s="6">
        <f t="shared" si="9"/>
        <v>172.77</v>
      </c>
      <c r="J54" s="6">
        <f t="shared" si="9"/>
        <v>0</v>
      </c>
      <c r="K54" s="6">
        <f t="shared" si="9"/>
        <v>510</v>
      </c>
      <c r="L54" s="6">
        <f t="shared" si="9"/>
        <v>0</v>
      </c>
      <c r="M54" s="6">
        <f t="shared" si="9"/>
        <v>241.77</v>
      </c>
      <c r="N54" s="6">
        <f t="shared" si="9"/>
        <v>73.25</v>
      </c>
      <c r="O54" s="6">
        <f t="shared" si="9"/>
        <v>337.94</v>
      </c>
      <c r="P54" s="6">
        <f t="shared" si="9"/>
        <v>-10</v>
      </c>
      <c r="Q54" s="6">
        <f t="shared" si="9"/>
        <v>126.5</v>
      </c>
      <c r="R54" s="6">
        <f t="shared" si="9"/>
        <v>0</v>
      </c>
      <c r="S54" s="6">
        <f t="shared" si="9"/>
        <v>0</v>
      </c>
      <c r="T54" s="6">
        <f t="shared" si="9"/>
        <v>838.3</v>
      </c>
      <c r="U54" s="6">
        <f t="shared" si="9"/>
        <v>2231.7600000000002</v>
      </c>
      <c r="V54" s="6">
        <f t="shared" si="9"/>
        <v>11377.42</v>
      </c>
      <c r="W54" s="6">
        <f t="shared" si="9"/>
        <v>483.54</v>
      </c>
      <c r="X54" s="6">
        <f t="shared" si="9"/>
        <v>0</v>
      </c>
      <c r="Y54" s="6">
        <f t="shared" si="9"/>
        <v>211.91</v>
      </c>
      <c r="Z54" s="6">
        <f t="shared" si="9"/>
        <v>0</v>
      </c>
      <c r="AA54" s="6">
        <f t="shared" si="9"/>
        <v>300</v>
      </c>
      <c r="AB54" s="6">
        <f t="shared" si="9"/>
        <v>0</v>
      </c>
      <c r="AC54" s="6">
        <f t="shared" si="9"/>
        <v>0</v>
      </c>
      <c r="AD54" s="6">
        <f t="shared" si="9"/>
        <v>1018.84</v>
      </c>
      <c r="AE54" s="6">
        <f t="shared" si="9"/>
        <v>11154.03</v>
      </c>
      <c r="AF54" s="6">
        <f t="shared" si="9"/>
        <v>0</v>
      </c>
      <c r="AG54" s="6">
        <f t="shared" si="9"/>
        <v>0</v>
      </c>
      <c r="AH54" s="6">
        <f t="shared" si="9"/>
        <v>0</v>
      </c>
      <c r="AI54" s="6">
        <f t="shared" si="6"/>
        <v>247511.97</v>
      </c>
    </row>
    <row r="55" spans="1:35" x14ac:dyDescent="0.25">
      <c r="A55" s="3" t="s">
        <v>83</v>
      </c>
      <c r="B55" s="5">
        <f>180497.67</f>
        <v>180497.67</v>
      </c>
      <c r="C55" s="4"/>
      <c r="D55" s="4"/>
      <c r="E55" s="5">
        <f>4700</f>
        <v>4700</v>
      </c>
      <c r="F55" s="5">
        <f>1513.92</f>
        <v>1513.92</v>
      </c>
      <c r="G55" s="5">
        <f>1800</f>
        <v>1800</v>
      </c>
      <c r="H55" s="5">
        <f>43067.44</f>
        <v>43067.44</v>
      </c>
      <c r="I55" s="5">
        <f>8000</f>
        <v>8000</v>
      </c>
      <c r="J55" s="4"/>
      <c r="K55" s="5">
        <f>57381</f>
        <v>57381</v>
      </c>
      <c r="L55" s="4"/>
      <c r="M55" s="4"/>
      <c r="N55" s="4"/>
      <c r="O55" s="5">
        <f>73677.42</f>
        <v>73677.42</v>
      </c>
      <c r="P55" s="4"/>
      <c r="Q55" s="4"/>
      <c r="R55" s="4"/>
      <c r="S55" s="4"/>
      <c r="T55" s="4"/>
      <c r="U55" s="4"/>
      <c r="V55" s="5">
        <f>500</f>
        <v>500</v>
      </c>
      <c r="W55" s="5">
        <f>500</f>
        <v>500</v>
      </c>
      <c r="X55" s="5">
        <f>4385</f>
        <v>4385</v>
      </c>
      <c r="Y55" s="5">
        <f>216235.21</f>
        <v>216235.21</v>
      </c>
      <c r="Z55" s="4"/>
      <c r="AA55" s="4"/>
      <c r="AB55" s="4"/>
      <c r="AC55" s="4"/>
      <c r="AD55" s="5">
        <f>37761.87</f>
        <v>37761.870000000003</v>
      </c>
      <c r="AE55" s="5">
        <f>49851</f>
        <v>49851</v>
      </c>
      <c r="AF55" s="4"/>
      <c r="AG55" s="4"/>
      <c r="AH55" s="4"/>
      <c r="AI55" s="5">
        <f t="shared" si="6"/>
        <v>679870.53</v>
      </c>
    </row>
    <row r="56" spans="1:35" x14ac:dyDescent="0.25">
      <c r="A56" s="3" t="s">
        <v>84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>
        <f t="shared" si="6"/>
        <v>0</v>
      </c>
    </row>
    <row r="57" spans="1:35" x14ac:dyDescent="0.25">
      <c r="A57" s="3" t="s">
        <v>85</v>
      </c>
      <c r="B57" s="5">
        <f>282.98</f>
        <v>282.98</v>
      </c>
      <c r="C57" s="4"/>
      <c r="D57" s="4"/>
      <c r="E57" s="4"/>
      <c r="F57" s="5">
        <f>574.53</f>
        <v>574.53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>
        <f t="shared" si="6"/>
        <v>857.51</v>
      </c>
    </row>
    <row r="58" spans="1:35" x14ac:dyDescent="0.25">
      <c r="A58" s="3" t="s">
        <v>86</v>
      </c>
      <c r="B58" s="5">
        <f>1155</f>
        <v>1155</v>
      </c>
      <c r="C58" s="4"/>
      <c r="D58" s="4"/>
      <c r="E58" s="4"/>
      <c r="F58" s="5">
        <f>2345</f>
        <v>2345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>
        <f t="shared" si="6"/>
        <v>3500</v>
      </c>
    </row>
    <row r="59" spans="1:35" x14ac:dyDescent="0.25">
      <c r="A59" s="3" t="s">
        <v>87</v>
      </c>
      <c r="B59" s="5">
        <f>1773.21</f>
        <v>1773.21</v>
      </c>
      <c r="C59" s="4"/>
      <c r="D59" s="4"/>
      <c r="E59" s="4"/>
      <c r="F59" s="5">
        <f>3427.56</f>
        <v>3427.56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>
        <f t="shared" si="6"/>
        <v>5200.7700000000004</v>
      </c>
    </row>
    <row r="60" spans="1:35" x14ac:dyDescent="0.25">
      <c r="A60" s="3" t="s">
        <v>88</v>
      </c>
      <c r="B60" s="5">
        <f>82744.52</f>
        <v>82744.52</v>
      </c>
      <c r="C60" s="4"/>
      <c r="D60" s="4"/>
      <c r="E60" s="4"/>
      <c r="F60" s="5">
        <f>45576.23</f>
        <v>45576.23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5">
        <f t="shared" si="6"/>
        <v>128320.75</v>
      </c>
    </row>
    <row r="61" spans="1:35" x14ac:dyDescent="0.25">
      <c r="A61" s="3" t="s">
        <v>89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>
        <f>40000</f>
        <v>40000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5">
        <f t="shared" si="6"/>
        <v>40000</v>
      </c>
    </row>
    <row r="62" spans="1:35" x14ac:dyDescent="0.25">
      <c r="A62" s="3" t="s">
        <v>90</v>
      </c>
      <c r="B62" s="5">
        <f>12625.45</f>
        <v>12625.45</v>
      </c>
      <c r="C62" s="4"/>
      <c r="D62" s="4"/>
      <c r="E62" s="4"/>
      <c r="F62" s="5">
        <f>25633.55</f>
        <v>25633.55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5">
        <f t="shared" si="6"/>
        <v>38259</v>
      </c>
    </row>
    <row r="63" spans="1:35" x14ac:dyDescent="0.25">
      <c r="A63" s="3" t="s">
        <v>91</v>
      </c>
      <c r="B63" s="5">
        <f>9389.96</f>
        <v>9389.9599999999991</v>
      </c>
      <c r="C63" s="4"/>
      <c r="D63" s="5">
        <f>590</f>
        <v>590</v>
      </c>
      <c r="E63" s="5">
        <f>55.44</f>
        <v>55.44</v>
      </c>
      <c r="F63" s="5">
        <f>39495.57</f>
        <v>39495.57</v>
      </c>
      <c r="G63" s="4"/>
      <c r="H63" s="4"/>
      <c r="I63" s="5">
        <f>184.8</f>
        <v>184.8</v>
      </c>
      <c r="J63" s="4"/>
      <c r="K63" s="5">
        <f>18200</f>
        <v>18200</v>
      </c>
      <c r="L63" s="4"/>
      <c r="M63" s="4"/>
      <c r="N63" s="4"/>
      <c r="O63" s="5">
        <f>258.72</f>
        <v>258.72000000000003</v>
      </c>
      <c r="P63" s="4"/>
      <c r="Q63" s="4"/>
      <c r="R63" s="4"/>
      <c r="S63" s="4"/>
      <c r="T63" s="5">
        <f>55.44</f>
        <v>55.44</v>
      </c>
      <c r="U63" s="5">
        <f>314.16</f>
        <v>314.16000000000003</v>
      </c>
      <c r="V63" s="5">
        <f>3893.06</f>
        <v>3893.06</v>
      </c>
      <c r="W63" s="5">
        <f>332.64</f>
        <v>332.64</v>
      </c>
      <c r="X63" s="4"/>
      <c r="Y63" s="5">
        <f>221.76</f>
        <v>221.76</v>
      </c>
      <c r="Z63" s="5">
        <f>2200</f>
        <v>2200</v>
      </c>
      <c r="AA63" s="4"/>
      <c r="AB63" s="4"/>
      <c r="AC63" s="4"/>
      <c r="AD63" s="5">
        <f>2128.32</f>
        <v>2128.3200000000002</v>
      </c>
      <c r="AE63" s="5">
        <f>893.64</f>
        <v>893.64</v>
      </c>
      <c r="AF63" s="4"/>
      <c r="AG63" s="4"/>
      <c r="AH63" s="4"/>
      <c r="AI63" s="5">
        <f t="shared" si="6"/>
        <v>78213.510000000009</v>
      </c>
    </row>
    <row r="64" spans="1:35" x14ac:dyDescent="0.25">
      <c r="A64" s="3" t="s">
        <v>92</v>
      </c>
      <c r="B64" s="5">
        <f>0</f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5">
        <f>9193.44</f>
        <v>9193.44</v>
      </c>
      <c r="AF64" s="4"/>
      <c r="AG64" s="4"/>
      <c r="AH64" s="4"/>
      <c r="AI64" s="5">
        <f t="shared" ref="AI64:AI93" si="10">((((((((((((((((((((((((((((((((B64)+(C64))+(D64))+(E64))+(F64))+(G64))+(H64))+(I64))+(J64))+(K64))+(L64))+(M64))+(N64))+(O64))+(P64))+(Q64))+(R64))+(S64))+(T64))+(U64))+(V64))+(W64))+(X64))+(Y64))+(Z64))+(AA64))+(AB64))+(AC64))+(AD64))+(AE64))+(AF64))+(AG64))+(AH64)</f>
        <v>9193.44</v>
      </c>
    </row>
    <row r="65" spans="1:35" x14ac:dyDescent="0.25">
      <c r="A65" s="3" t="s">
        <v>93</v>
      </c>
      <c r="B65" s="5">
        <f>2572.35</f>
        <v>2572.35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5">
        <f>599.98</f>
        <v>599.98</v>
      </c>
      <c r="AE65" s="4"/>
      <c r="AF65" s="4"/>
      <c r="AG65" s="4"/>
      <c r="AH65" s="4"/>
      <c r="AI65" s="5">
        <f t="shared" si="10"/>
        <v>3172.33</v>
      </c>
    </row>
    <row r="66" spans="1:35" x14ac:dyDescent="0.25">
      <c r="A66" s="3" t="s">
        <v>94</v>
      </c>
      <c r="B66" s="6">
        <f t="shared" ref="B66:AH66" si="11">(((((((((B56)+(B57))+(B58))+(B59))+(B60))+(B61))+(B62))+(B63))+(B64))+(B65)</f>
        <v>110543.47</v>
      </c>
      <c r="C66" s="6">
        <f t="shared" si="11"/>
        <v>0</v>
      </c>
      <c r="D66" s="6">
        <f t="shared" si="11"/>
        <v>590</v>
      </c>
      <c r="E66" s="6">
        <f t="shared" si="11"/>
        <v>55.44</v>
      </c>
      <c r="F66" s="6">
        <f t="shared" si="11"/>
        <v>117052.44</v>
      </c>
      <c r="G66" s="6">
        <f t="shared" si="11"/>
        <v>0</v>
      </c>
      <c r="H66" s="6">
        <f t="shared" si="11"/>
        <v>0</v>
      </c>
      <c r="I66" s="6">
        <f t="shared" si="11"/>
        <v>184.8</v>
      </c>
      <c r="J66" s="6">
        <f t="shared" si="11"/>
        <v>0</v>
      </c>
      <c r="K66" s="6">
        <f t="shared" si="11"/>
        <v>18200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258.72000000000003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0</v>
      </c>
      <c r="T66" s="6">
        <f t="shared" si="11"/>
        <v>55.44</v>
      </c>
      <c r="U66" s="6">
        <f t="shared" si="11"/>
        <v>314.16000000000003</v>
      </c>
      <c r="V66" s="6">
        <f t="shared" si="11"/>
        <v>43893.06</v>
      </c>
      <c r="W66" s="6">
        <f t="shared" si="11"/>
        <v>332.64</v>
      </c>
      <c r="X66" s="6">
        <f t="shared" si="11"/>
        <v>0</v>
      </c>
      <c r="Y66" s="6">
        <f t="shared" si="11"/>
        <v>221.76</v>
      </c>
      <c r="Z66" s="6">
        <f t="shared" si="11"/>
        <v>2200</v>
      </c>
      <c r="AA66" s="6">
        <f t="shared" si="11"/>
        <v>0</v>
      </c>
      <c r="AB66" s="6">
        <f t="shared" si="11"/>
        <v>0</v>
      </c>
      <c r="AC66" s="6">
        <f t="shared" si="11"/>
        <v>0</v>
      </c>
      <c r="AD66" s="6">
        <f t="shared" si="11"/>
        <v>2728.3</v>
      </c>
      <c r="AE66" s="6">
        <f t="shared" si="11"/>
        <v>10087.08</v>
      </c>
      <c r="AF66" s="6">
        <f t="shared" si="11"/>
        <v>0</v>
      </c>
      <c r="AG66" s="6">
        <f t="shared" si="11"/>
        <v>0</v>
      </c>
      <c r="AH66" s="6">
        <f t="shared" si="11"/>
        <v>0</v>
      </c>
      <c r="AI66" s="6">
        <f t="shared" si="10"/>
        <v>306717.31000000006</v>
      </c>
    </row>
    <row r="67" spans="1:35" x14ac:dyDescent="0.25">
      <c r="A67" s="3" t="s">
        <v>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5">
        <f t="shared" si="10"/>
        <v>0</v>
      </c>
    </row>
    <row r="68" spans="1:35" x14ac:dyDescent="0.25">
      <c r="A68" s="3" t="s">
        <v>96</v>
      </c>
      <c r="B68" s="5">
        <f>39123.58</f>
        <v>39123.58</v>
      </c>
      <c r="C68" s="4"/>
      <c r="D68" s="4"/>
      <c r="E68" s="4"/>
      <c r="F68" s="5">
        <f>32702</f>
        <v>32702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5">
        <f t="shared" si="10"/>
        <v>71825.58</v>
      </c>
    </row>
    <row r="69" spans="1:35" x14ac:dyDescent="0.25">
      <c r="A69" s="3" t="s">
        <v>97</v>
      </c>
      <c r="B69" s="5">
        <f>23939.5</f>
        <v>23939.5</v>
      </c>
      <c r="C69" s="4"/>
      <c r="D69" s="4"/>
      <c r="E69" s="4"/>
      <c r="F69" s="5">
        <f>18374.5</f>
        <v>18374.5</v>
      </c>
      <c r="G69" s="4"/>
      <c r="H69" s="4"/>
      <c r="I69" s="4"/>
      <c r="J69" s="4"/>
      <c r="K69" s="4"/>
      <c r="L69" s="4"/>
      <c r="M69" s="4"/>
      <c r="N69" s="4"/>
      <c r="O69" s="5">
        <f>185</f>
        <v>185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5">
        <f t="shared" si="10"/>
        <v>42499</v>
      </c>
    </row>
    <row r="70" spans="1:35" x14ac:dyDescent="0.25">
      <c r="A70" s="3" t="s">
        <v>98</v>
      </c>
      <c r="B70" s="6">
        <f t="shared" ref="B70:AH70" si="12">((B67)+(B68))+(B69)</f>
        <v>63063.08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51076.5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185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2"/>
        <v>0</v>
      </c>
      <c r="AG70" s="6">
        <f t="shared" si="12"/>
        <v>0</v>
      </c>
      <c r="AH70" s="6">
        <f t="shared" si="12"/>
        <v>0</v>
      </c>
      <c r="AI70" s="6">
        <f t="shared" si="10"/>
        <v>114324.58</v>
      </c>
    </row>
    <row r="71" spans="1:35" x14ac:dyDescent="0.25">
      <c r="A71" s="3" t="s">
        <v>99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5">
        <f t="shared" si="10"/>
        <v>0</v>
      </c>
    </row>
    <row r="72" spans="1:35" x14ac:dyDescent="0.25">
      <c r="A72" s="3" t="s">
        <v>100</v>
      </c>
      <c r="B72" s="5">
        <f>514.06</f>
        <v>514.05999999999995</v>
      </c>
      <c r="C72" s="4"/>
      <c r="D72" s="4"/>
      <c r="E72" s="4"/>
      <c r="F72" s="5">
        <f>359.84</f>
        <v>359.84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>
        <f>47.58</f>
        <v>47.58</v>
      </c>
      <c r="V72" s="5">
        <f>106.62</f>
        <v>106.62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5">
        <f t="shared" si="10"/>
        <v>1028.0999999999999</v>
      </c>
    </row>
    <row r="73" spans="1:35" x14ac:dyDescent="0.25">
      <c r="A73" s="3" t="s">
        <v>101</v>
      </c>
      <c r="B73" s="5">
        <f>664.5</f>
        <v>664.5</v>
      </c>
      <c r="C73" s="4"/>
      <c r="D73" s="4"/>
      <c r="E73" s="4"/>
      <c r="F73" s="5">
        <f>294.16</f>
        <v>294.16000000000003</v>
      </c>
      <c r="G73" s="4"/>
      <c r="H73" s="4"/>
      <c r="I73" s="4"/>
      <c r="J73" s="4"/>
      <c r="K73" s="4"/>
      <c r="L73" s="4"/>
      <c r="M73" s="4"/>
      <c r="N73" s="4"/>
      <c r="O73" s="5">
        <f>83.15</f>
        <v>83.15</v>
      </c>
      <c r="P73" s="4"/>
      <c r="Q73" s="4"/>
      <c r="R73" s="4"/>
      <c r="S73" s="4"/>
      <c r="T73" s="4"/>
      <c r="U73" s="5">
        <f>60</f>
        <v>60</v>
      </c>
      <c r="V73" s="5">
        <f>134.48</f>
        <v>134.47999999999999</v>
      </c>
      <c r="W73" s="4"/>
      <c r="X73" s="4"/>
      <c r="Y73" s="5">
        <f>71</f>
        <v>71</v>
      </c>
      <c r="Z73" s="4"/>
      <c r="AA73" s="4"/>
      <c r="AB73" s="4"/>
      <c r="AC73" s="4"/>
      <c r="AD73" s="4"/>
      <c r="AE73" s="5">
        <f>285.5</f>
        <v>285.5</v>
      </c>
      <c r="AF73" s="4"/>
      <c r="AG73" s="4"/>
      <c r="AH73" s="4"/>
      <c r="AI73" s="5">
        <f t="shared" si="10"/>
        <v>1592.7900000000002</v>
      </c>
    </row>
    <row r="74" spans="1:35" x14ac:dyDescent="0.25">
      <c r="A74" s="3" t="s">
        <v>102</v>
      </c>
      <c r="B74" s="5">
        <f>5868.55</f>
        <v>5868.55</v>
      </c>
      <c r="C74" s="4"/>
      <c r="D74" s="4"/>
      <c r="E74" s="5">
        <f>4.74</f>
        <v>4.74</v>
      </c>
      <c r="F74" s="5">
        <f>3888.32</f>
        <v>3888.32</v>
      </c>
      <c r="G74" s="4"/>
      <c r="H74" s="4"/>
      <c r="I74" s="4"/>
      <c r="J74" s="4"/>
      <c r="K74" s="4"/>
      <c r="L74" s="4"/>
      <c r="M74" s="4"/>
      <c r="N74" s="4"/>
      <c r="O74" s="5">
        <f>274.67</f>
        <v>274.67</v>
      </c>
      <c r="P74" s="4"/>
      <c r="Q74" s="4"/>
      <c r="R74" s="4"/>
      <c r="S74" s="4"/>
      <c r="T74" s="5">
        <f>32.88</f>
        <v>32.880000000000003</v>
      </c>
      <c r="U74" s="5">
        <f>658.71</f>
        <v>658.71</v>
      </c>
      <c r="V74" s="5">
        <f>3410.24</f>
        <v>3410.24</v>
      </c>
      <c r="W74" s="5">
        <f>968.01</f>
        <v>968.01</v>
      </c>
      <c r="X74" s="4"/>
      <c r="Y74" s="5">
        <f>594.03</f>
        <v>594.03</v>
      </c>
      <c r="Z74" s="4"/>
      <c r="AA74" s="4"/>
      <c r="AB74" s="4"/>
      <c r="AC74" s="4"/>
      <c r="AD74" s="5">
        <f>2338.37</f>
        <v>2338.37</v>
      </c>
      <c r="AE74" s="5">
        <f>2540.34</f>
        <v>2540.34</v>
      </c>
      <c r="AF74" s="4"/>
      <c r="AG74" s="4"/>
      <c r="AH74" s="4"/>
      <c r="AI74" s="5">
        <f t="shared" si="10"/>
        <v>20578.86</v>
      </c>
    </row>
    <row r="75" spans="1:35" x14ac:dyDescent="0.25">
      <c r="A75" s="3" t="s">
        <v>103</v>
      </c>
      <c r="B75" s="5">
        <f>421.37</f>
        <v>421.37</v>
      </c>
      <c r="C75" s="4"/>
      <c r="D75" s="4"/>
      <c r="E75" s="5">
        <f>0</f>
        <v>0</v>
      </c>
      <c r="F75" s="5">
        <f>1884.44</f>
        <v>1884.44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>
        <f>13794.8</f>
        <v>13794.8</v>
      </c>
      <c r="V75" s="5">
        <f>421.37</f>
        <v>421.37</v>
      </c>
      <c r="W75" s="5">
        <f>1055</f>
        <v>1055</v>
      </c>
      <c r="X75" s="4"/>
      <c r="Y75" s="5">
        <f>0</f>
        <v>0</v>
      </c>
      <c r="Z75" s="4"/>
      <c r="AA75" s="4"/>
      <c r="AB75" s="4"/>
      <c r="AC75" s="4"/>
      <c r="AD75" s="5">
        <f>1103.3</f>
        <v>1103.3</v>
      </c>
      <c r="AE75" s="5">
        <f>2044.3</f>
        <v>2044.3</v>
      </c>
      <c r="AF75" s="4"/>
      <c r="AG75" s="4"/>
      <c r="AH75" s="4"/>
      <c r="AI75" s="5">
        <f t="shared" si="10"/>
        <v>20724.579999999998</v>
      </c>
    </row>
    <row r="76" spans="1:35" x14ac:dyDescent="0.25">
      <c r="A76" s="3" t="s">
        <v>104</v>
      </c>
      <c r="B76" s="5">
        <f>25796.28</f>
        <v>25796.28</v>
      </c>
      <c r="C76" s="4"/>
      <c r="D76" s="4"/>
      <c r="E76" s="5">
        <f>0</f>
        <v>0</v>
      </c>
      <c r="F76" s="5">
        <f>202.75</f>
        <v>202.75</v>
      </c>
      <c r="G76" s="4"/>
      <c r="H76" s="4"/>
      <c r="I76" s="5">
        <f>307.54</f>
        <v>307.54000000000002</v>
      </c>
      <c r="J76" s="4"/>
      <c r="K76" s="5">
        <f>7691.09</f>
        <v>7691.09</v>
      </c>
      <c r="L76" s="5">
        <f>4519.82</f>
        <v>4519.82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5">
        <f>6429.83</f>
        <v>6429.83</v>
      </c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5">
        <f t="shared" si="10"/>
        <v>44947.310000000005</v>
      </c>
    </row>
    <row r="77" spans="1:35" x14ac:dyDescent="0.25">
      <c r="A77" s="3" t="s">
        <v>105</v>
      </c>
      <c r="B77" s="5">
        <f>62375.56</f>
        <v>62375.56</v>
      </c>
      <c r="C77" s="4"/>
      <c r="D77" s="5">
        <f>4354.98</f>
        <v>4354.9799999999996</v>
      </c>
      <c r="E77" s="5">
        <f>0</f>
        <v>0</v>
      </c>
      <c r="F77" s="5">
        <f>11530.25</f>
        <v>11530.25</v>
      </c>
      <c r="G77" s="5">
        <f>390.8</f>
        <v>390.8</v>
      </c>
      <c r="H77" s="5">
        <f>2646.89</f>
        <v>2646.89</v>
      </c>
      <c r="I77" s="5">
        <f>174.25</f>
        <v>174.25</v>
      </c>
      <c r="J77" s="4"/>
      <c r="K77" s="5">
        <f>6878.06</f>
        <v>6878.06</v>
      </c>
      <c r="L77" s="5">
        <f>5208.44</f>
        <v>5208.4399999999996</v>
      </c>
      <c r="M77" s="4"/>
      <c r="N77" s="4"/>
      <c r="O77" s="5">
        <f>67943.52</f>
        <v>67943.520000000004</v>
      </c>
      <c r="P77" s="4"/>
      <c r="Q77" s="4"/>
      <c r="R77" s="4"/>
      <c r="S77" s="4"/>
      <c r="T77" s="5">
        <f>1399.85</f>
        <v>1399.85</v>
      </c>
      <c r="U77" s="5">
        <f>8713.65</f>
        <v>8713.65</v>
      </c>
      <c r="V77" s="5">
        <f>22981.39</f>
        <v>22981.39</v>
      </c>
      <c r="W77" s="5">
        <f>35214.59</f>
        <v>35214.589999999997</v>
      </c>
      <c r="X77" s="5">
        <f>2960</f>
        <v>2960</v>
      </c>
      <c r="Y77" s="5">
        <f>621.48</f>
        <v>621.48</v>
      </c>
      <c r="Z77" s="4"/>
      <c r="AA77" s="5">
        <f>113.96</f>
        <v>113.96</v>
      </c>
      <c r="AB77" s="5">
        <f>4075.34</f>
        <v>4075.34</v>
      </c>
      <c r="AC77" s="4"/>
      <c r="AD77" s="5">
        <f>210431.77</f>
        <v>210431.77</v>
      </c>
      <c r="AE77" s="5">
        <f>221282.54</f>
        <v>221282.54</v>
      </c>
      <c r="AF77" s="5">
        <f>81.38</f>
        <v>81.38</v>
      </c>
      <c r="AG77" s="4"/>
      <c r="AH77" s="4"/>
      <c r="AI77" s="5">
        <f t="shared" si="10"/>
        <v>669378.70000000007</v>
      </c>
    </row>
    <row r="78" spans="1:35" x14ac:dyDescent="0.25">
      <c r="A78" s="3" t="s">
        <v>106</v>
      </c>
      <c r="B78" s="6">
        <f t="shared" ref="B78:AH78" si="13">((((((B71)+(B72))+(B73))+(B74))+(B75))+(B76))+(B77)</f>
        <v>95640.320000000007</v>
      </c>
      <c r="C78" s="6">
        <f t="shared" si="13"/>
        <v>0</v>
      </c>
      <c r="D78" s="6">
        <f t="shared" si="13"/>
        <v>4354.9799999999996</v>
      </c>
      <c r="E78" s="6">
        <f t="shared" si="13"/>
        <v>4.74</v>
      </c>
      <c r="F78" s="6">
        <f t="shared" si="13"/>
        <v>18159.760000000002</v>
      </c>
      <c r="G78" s="6">
        <f t="shared" si="13"/>
        <v>390.8</v>
      </c>
      <c r="H78" s="6">
        <f t="shared" si="13"/>
        <v>2646.89</v>
      </c>
      <c r="I78" s="6">
        <f t="shared" si="13"/>
        <v>481.79</v>
      </c>
      <c r="J78" s="6">
        <f t="shared" si="13"/>
        <v>0</v>
      </c>
      <c r="K78" s="6">
        <f t="shared" si="13"/>
        <v>14569.150000000001</v>
      </c>
      <c r="L78" s="6">
        <f t="shared" si="13"/>
        <v>9728.2599999999984</v>
      </c>
      <c r="M78" s="6">
        <f t="shared" si="13"/>
        <v>0</v>
      </c>
      <c r="N78" s="6">
        <f t="shared" si="13"/>
        <v>0</v>
      </c>
      <c r="O78" s="6">
        <f t="shared" si="13"/>
        <v>68301.340000000011</v>
      </c>
      <c r="P78" s="6">
        <f t="shared" si="13"/>
        <v>0</v>
      </c>
      <c r="Q78" s="6">
        <f t="shared" si="13"/>
        <v>0</v>
      </c>
      <c r="R78" s="6">
        <f t="shared" si="13"/>
        <v>0</v>
      </c>
      <c r="S78" s="6">
        <f t="shared" si="13"/>
        <v>0</v>
      </c>
      <c r="T78" s="6">
        <f t="shared" si="13"/>
        <v>1432.73</v>
      </c>
      <c r="U78" s="6">
        <f t="shared" si="13"/>
        <v>23274.739999999998</v>
      </c>
      <c r="V78" s="6">
        <f t="shared" si="13"/>
        <v>27054.1</v>
      </c>
      <c r="W78" s="6">
        <f t="shared" si="13"/>
        <v>37237.599999999999</v>
      </c>
      <c r="X78" s="6">
        <f t="shared" si="13"/>
        <v>9389.83</v>
      </c>
      <c r="Y78" s="6">
        <f t="shared" si="13"/>
        <v>1286.51</v>
      </c>
      <c r="Z78" s="6">
        <f t="shared" si="13"/>
        <v>0</v>
      </c>
      <c r="AA78" s="6">
        <f t="shared" si="13"/>
        <v>113.96</v>
      </c>
      <c r="AB78" s="6">
        <f t="shared" si="13"/>
        <v>4075.34</v>
      </c>
      <c r="AC78" s="6">
        <f t="shared" si="13"/>
        <v>0</v>
      </c>
      <c r="AD78" s="6">
        <f t="shared" si="13"/>
        <v>213873.44</v>
      </c>
      <c r="AE78" s="6">
        <f t="shared" si="13"/>
        <v>226152.68000000002</v>
      </c>
      <c r="AF78" s="6">
        <f t="shared" si="13"/>
        <v>81.38</v>
      </c>
      <c r="AG78" s="6">
        <f t="shared" si="13"/>
        <v>0</v>
      </c>
      <c r="AH78" s="6">
        <f t="shared" si="13"/>
        <v>0</v>
      </c>
      <c r="AI78" s="6">
        <f t="shared" si="10"/>
        <v>758250.34000000008</v>
      </c>
    </row>
    <row r="79" spans="1:35" x14ac:dyDescent="0.25">
      <c r="A79" s="3" t="s">
        <v>107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5">
        <f t="shared" si="10"/>
        <v>0</v>
      </c>
    </row>
    <row r="80" spans="1:35" x14ac:dyDescent="0.25">
      <c r="A80" s="3" t="s">
        <v>108</v>
      </c>
      <c r="B80" s="5">
        <f>2078.7</f>
        <v>2078.6999999999998</v>
      </c>
      <c r="C80" s="4"/>
      <c r="D80" s="4"/>
      <c r="E80" s="5">
        <f>2494.44</f>
        <v>2494.44</v>
      </c>
      <c r="F80" s="4"/>
      <c r="G80" s="4"/>
      <c r="H80" s="4"/>
      <c r="I80" s="4"/>
      <c r="J80" s="4"/>
      <c r="K80" s="5">
        <f>500</f>
        <v>500</v>
      </c>
      <c r="L80" s="5">
        <f>17579</f>
        <v>17579</v>
      </c>
      <c r="M80" s="4"/>
      <c r="N80" s="5">
        <f>34971.64</f>
        <v>34971.64</v>
      </c>
      <c r="O80" s="4"/>
      <c r="P80" s="4"/>
      <c r="Q80" s="4"/>
      <c r="R80" s="5">
        <f>250</f>
        <v>250</v>
      </c>
      <c r="S80" s="4"/>
      <c r="T80" s="5">
        <f>46818</f>
        <v>46818</v>
      </c>
      <c r="U80" s="5">
        <f>18024.14</f>
        <v>18024.14</v>
      </c>
      <c r="V80" s="5">
        <f>51998.18</f>
        <v>51998.18</v>
      </c>
      <c r="W80" s="5">
        <f>500</f>
        <v>500</v>
      </c>
      <c r="X80" s="4"/>
      <c r="Y80" s="5">
        <f>4988.88</f>
        <v>4988.88</v>
      </c>
      <c r="Z80" s="4"/>
      <c r="AA80" s="4"/>
      <c r="AB80" s="4"/>
      <c r="AC80" s="4"/>
      <c r="AD80" s="5">
        <f>166114.11</f>
        <v>166114.10999999999</v>
      </c>
      <c r="AE80" s="5">
        <f>1587571.17</f>
        <v>1587571.17</v>
      </c>
      <c r="AF80" s="5">
        <f>10776</f>
        <v>10776</v>
      </c>
      <c r="AG80" s="5">
        <f>0</f>
        <v>0</v>
      </c>
      <c r="AH80" s="4"/>
      <c r="AI80" s="5">
        <f t="shared" si="10"/>
        <v>1944664.2599999998</v>
      </c>
    </row>
    <row r="81" spans="1:35" x14ac:dyDescent="0.25">
      <c r="A81" s="3" t="s">
        <v>109</v>
      </c>
      <c r="B81" s="5">
        <f>13378.81</f>
        <v>13378.81</v>
      </c>
      <c r="C81" s="4"/>
      <c r="D81" s="4"/>
      <c r="E81" s="4"/>
      <c r="F81" s="5">
        <f>4243</f>
        <v>4243</v>
      </c>
      <c r="G81" s="5">
        <f>12689</f>
        <v>12689</v>
      </c>
      <c r="H81" s="4"/>
      <c r="I81" s="4"/>
      <c r="J81" s="4"/>
      <c r="K81" s="5">
        <f>9796.9</f>
        <v>9796.9</v>
      </c>
      <c r="L81" s="5">
        <f>2770.25</f>
        <v>2770.25</v>
      </c>
      <c r="M81" s="4"/>
      <c r="N81" s="4"/>
      <c r="O81" s="5">
        <f>5148</f>
        <v>5148</v>
      </c>
      <c r="P81" s="4"/>
      <c r="Q81" s="4"/>
      <c r="R81" s="4"/>
      <c r="S81" s="4"/>
      <c r="T81" s="4"/>
      <c r="U81" s="5">
        <f>2728</f>
        <v>2728</v>
      </c>
      <c r="V81" s="5">
        <f>10839</f>
        <v>10839</v>
      </c>
      <c r="W81" s="5">
        <f>6311</f>
        <v>6311</v>
      </c>
      <c r="X81" s="4"/>
      <c r="Y81" s="5">
        <f>1368</f>
        <v>1368</v>
      </c>
      <c r="Z81" s="4"/>
      <c r="AA81" s="4"/>
      <c r="AB81" s="4"/>
      <c r="AC81" s="4"/>
      <c r="AD81" s="5">
        <f>9851.1</f>
        <v>9851.1</v>
      </c>
      <c r="AE81" s="5">
        <f>13859</f>
        <v>13859</v>
      </c>
      <c r="AF81" s="4"/>
      <c r="AG81" s="4"/>
      <c r="AH81" s="4"/>
      <c r="AI81" s="5">
        <f t="shared" si="10"/>
        <v>92982.06</v>
      </c>
    </row>
    <row r="82" spans="1:35" x14ac:dyDescent="0.25">
      <c r="A82" s="3" t="s">
        <v>110</v>
      </c>
      <c r="B82" s="5">
        <f>64332.89</f>
        <v>64332.89</v>
      </c>
      <c r="C82" s="4"/>
      <c r="D82" s="4"/>
      <c r="E82" s="5">
        <f>2193.68</f>
        <v>2193.6799999999998</v>
      </c>
      <c r="F82" s="5">
        <f>2451.36</f>
        <v>2451.36</v>
      </c>
      <c r="G82" s="5">
        <f>7959.44</f>
        <v>7959.44</v>
      </c>
      <c r="H82" s="4"/>
      <c r="I82" s="5">
        <f>975.52</f>
        <v>975.52</v>
      </c>
      <c r="J82" s="4"/>
      <c r="K82" s="5">
        <f>41561.42</f>
        <v>41561.42</v>
      </c>
      <c r="L82" s="5">
        <f>5080.86</f>
        <v>5080.8599999999997</v>
      </c>
      <c r="M82" s="4"/>
      <c r="N82" s="4"/>
      <c r="O82" s="5">
        <f>14166.57</f>
        <v>14166.57</v>
      </c>
      <c r="P82" s="4"/>
      <c r="Q82" s="4"/>
      <c r="R82" s="5">
        <f>240046.36</f>
        <v>240046.36</v>
      </c>
      <c r="S82" s="4"/>
      <c r="T82" s="4"/>
      <c r="U82" s="5">
        <f>4612.15</f>
        <v>4612.1499999999996</v>
      </c>
      <c r="V82" s="5">
        <f>21685.27</f>
        <v>21685.27</v>
      </c>
      <c r="W82" s="5">
        <f>11367.75</f>
        <v>11367.75</v>
      </c>
      <c r="X82" s="5">
        <f>3024.91</f>
        <v>3024.91</v>
      </c>
      <c r="Y82" s="5">
        <f>80557.44</f>
        <v>80557.440000000002</v>
      </c>
      <c r="Z82" s="5">
        <f>777.69</f>
        <v>777.69</v>
      </c>
      <c r="AA82" s="4"/>
      <c r="AB82" s="4"/>
      <c r="AC82" s="4"/>
      <c r="AD82" s="5">
        <f>22966.71</f>
        <v>22966.71</v>
      </c>
      <c r="AE82" s="5">
        <f>35396.79</f>
        <v>35396.79</v>
      </c>
      <c r="AF82" s="4"/>
      <c r="AG82" s="4"/>
      <c r="AH82" s="5">
        <f>0</f>
        <v>0</v>
      </c>
      <c r="AI82" s="5">
        <f t="shared" si="10"/>
        <v>559156.81000000006</v>
      </c>
    </row>
    <row r="83" spans="1:35" x14ac:dyDescent="0.25">
      <c r="A83" s="3" t="s">
        <v>111</v>
      </c>
      <c r="B83" s="4"/>
      <c r="C83" s="4"/>
      <c r="D83" s="4"/>
      <c r="E83" s="4"/>
      <c r="F83" s="4"/>
      <c r="G83" s="4"/>
      <c r="H83" s="4"/>
      <c r="I83" s="4"/>
      <c r="J83" s="4"/>
      <c r="K83" s="5">
        <f>2542.13</f>
        <v>2542.13</v>
      </c>
      <c r="L83" s="5">
        <f>-1208.34</f>
        <v>-1208.3399999999999</v>
      </c>
      <c r="M83" s="4"/>
      <c r="N83" s="4"/>
      <c r="O83" s="4"/>
      <c r="P83" s="4"/>
      <c r="Q83" s="4"/>
      <c r="R83" s="4"/>
      <c r="S83" s="4"/>
      <c r="T83" s="5">
        <f>5651.84</f>
        <v>5651.84</v>
      </c>
      <c r="U83" s="5">
        <f>27059.54</f>
        <v>27059.54</v>
      </c>
      <c r="V83" s="5">
        <f>39027.08</f>
        <v>39027.08</v>
      </c>
      <c r="W83" s="4"/>
      <c r="X83" s="4"/>
      <c r="Y83" s="5">
        <f>6651.78</f>
        <v>6651.78</v>
      </c>
      <c r="Z83" s="4"/>
      <c r="AA83" s="4"/>
      <c r="AB83" s="4"/>
      <c r="AC83" s="4"/>
      <c r="AD83" s="4"/>
      <c r="AE83" s="5">
        <f>10112.74</f>
        <v>10112.74</v>
      </c>
      <c r="AF83" s="4"/>
      <c r="AG83" s="4"/>
      <c r="AH83" s="4"/>
      <c r="AI83" s="5">
        <f t="shared" si="10"/>
        <v>89836.77</v>
      </c>
    </row>
    <row r="84" spans="1:35" x14ac:dyDescent="0.25">
      <c r="A84" s="3" t="s">
        <v>112</v>
      </c>
      <c r="B84" s="5">
        <f>12244.23</f>
        <v>12244.23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5">
        <f t="shared" si="10"/>
        <v>12244.23</v>
      </c>
    </row>
    <row r="85" spans="1:35" x14ac:dyDescent="0.25">
      <c r="A85" s="3" t="s">
        <v>113</v>
      </c>
      <c r="B85" s="6">
        <f t="shared" ref="B85:AH85" si="14">(((((B79)+(B80))+(B81))+(B82))+(B83))+(B84)</f>
        <v>92034.62999999999</v>
      </c>
      <c r="C85" s="6">
        <f t="shared" si="14"/>
        <v>0</v>
      </c>
      <c r="D85" s="6">
        <f t="shared" si="14"/>
        <v>0</v>
      </c>
      <c r="E85" s="6">
        <f t="shared" si="14"/>
        <v>4688.12</v>
      </c>
      <c r="F85" s="6">
        <f t="shared" si="14"/>
        <v>6694.3600000000006</v>
      </c>
      <c r="G85" s="6">
        <f t="shared" si="14"/>
        <v>20648.439999999999</v>
      </c>
      <c r="H85" s="6">
        <f t="shared" si="14"/>
        <v>0</v>
      </c>
      <c r="I85" s="6">
        <f t="shared" si="14"/>
        <v>975.52</v>
      </c>
      <c r="J85" s="6">
        <f t="shared" si="14"/>
        <v>0</v>
      </c>
      <c r="K85" s="6">
        <f t="shared" si="14"/>
        <v>54400.45</v>
      </c>
      <c r="L85" s="6">
        <f t="shared" si="14"/>
        <v>24221.77</v>
      </c>
      <c r="M85" s="6">
        <f t="shared" si="14"/>
        <v>0</v>
      </c>
      <c r="N85" s="6">
        <f t="shared" si="14"/>
        <v>34971.64</v>
      </c>
      <c r="O85" s="6">
        <f t="shared" si="14"/>
        <v>19314.57</v>
      </c>
      <c r="P85" s="6">
        <f t="shared" si="14"/>
        <v>0</v>
      </c>
      <c r="Q85" s="6">
        <f t="shared" si="14"/>
        <v>0</v>
      </c>
      <c r="R85" s="6">
        <f t="shared" si="14"/>
        <v>240296.36</v>
      </c>
      <c r="S85" s="6">
        <f t="shared" si="14"/>
        <v>0</v>
      </c>
      <c r="T85" s="6">
        <f t="shared" si="14"/>
        <v>52469.84</v>
      </c>
      <c r="U85" s="6">
        <f t="shared" si="14"/>
        <v>52423.83</v>
      </c>
      <c r="V85" s="6">
        <f t="shared" si="14"/>
        <v>123549.53</v>
      </c>
      <c r="W85" s="6">
        <f t="shared" si="14"/>
        <v>18178.75</v>
      </c>
      <c r="X85" s="6">
        <f t="shared" si="14"/>
        <v>3024.91</v>
      </c>
      <c r="Y85" s="6">
        <f t="shared" si="14"/>
        <v>93566.1</v>
      </c>
      <c r="Z85" s="6">
        <f t="shared" si="14"/>
        <v>777.69</v>
      </c>
      <c r="AA85" s="6">
        <f t="shared" si="14"/>
        <v>0</v>
      </c>
      <c r="AB85" s="6">
        <f t="shared" si="14"/>
        <v>0</v>
      </c>
      <c r="AC85" s="6">
        <f t="shared" si="14"/>
        <v>0</v>
      </c>
      <c r="AD85" s="6">
        <f t="shared" si="14"/>
        <v>198931.91999999998</v>
      </c>
      <c r="AE85" s="6">
        <f t="shared" si="14"/>
        <v>1646939.7</v>
      </c>
      <c r="AF85" s="6">
        <f t="shared" si="14"/>
        <v>10776</v>
      </c>
      <c r="AG85" s="6">
        <f t="shared" si="14"/>
        <v>0</v>
      </c>
      <c r="AH85" s="6">
        <f t="shared" si="14"/>
        <v>0</v>
      </c>
      <c r="AI85" s="6">
        <f t="shared" si="10"/>
        <v>2698884.13</v>
      </c>
    </row>
    <row r="86" spans="1:35" x14ac:dyDescent="0.25">
      <c r="A86" s="3" t="s">
        <v>114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5">
        <f t="shared" si="10"/>
        <v>0</v>
      </c>
    </row>
    <row r="87" spans="1:35" x14ac:dyDescent="0.25">
      <c r="A87" s="3" t="s">
        <v>115</v>
      </c>
      <c r="B87" s="5">
        <f>2747.43</f>
        <v>2747.43</v>
      </c>
      <c r="C87" s="4"/>
      <c r="D87" s="4"/>
      <c r="E87" s="4"/>
      <c r="F87" s="5">
        <f>354.32</f>
        <v>354.32</v>
      </c>
      <c r="G87" s="4"/>
      <c r="H87" s="4"/>
      <c r="I87" s="5">
        <f>88.58</f>
        <v>88.58</v>
      </c>
      <c r="J87" s="4"/>
      <c r="K87" s="5">
        <f>118</f>
        <v>118</v>
      </c>
      <c r="L87" s="4"/>
      <c r="M87" s="4"/>
      <c r="N87" s="4"/>
      <c r="O87" s="5">
        <f>324.58</f>
        <v>324.58</v>
      </c>
      <c r="P87" s="4"/>
      <c r="Q87" s="4"/>
      <c r="R87" s="4"/>
      <c r="S87" s="4"/>
      <c r="T87" s="4"/>
      <c r="U87" s="5">
        <f>2751.08</f>
        <v>2751.08</v>
      </c>
      <c r="V87" s="5">
        <f>4846.58</f>
        <v>4846.58</v>
      </c>
      <c r="W87" s="5">
        <f>413.16</f>
        <v>413.16</v>
      </c>
      <c r="X87" s="4"/>
      <c r="Y87" s="4"/>
      <c r="Z87" s="4"/>
      <c r="AA87" s="4"/>
      <c r="AB87" s="4"/>
      <c r="AC87" s="4"/>
      <c r="AD87" s="5">
        <f>973.74</f>
        <v>973.74</v>
      </c>
      <c r="AE87" s="5">
        <f>2894.48</f>
        <v>2894.48</v>
      </c>
      <c r="AF87" s="4"/>
      <c r="AG87" s="4"/>
      <c r="AH87" s="4"/>
      <c r="AI87" s="5">
        <f t="shared" si="10"/>
        <v>15511.949999999999</v>
      </c>
    </row>
    <row r="88" spans="1:35" x14ac:dyDescent="0.25">
      <c r="A88" s="3" t="s">
        <v>116</v>
      </c>
      <c r="B88" s="4"/>
      <c r="C88" s="4"/>
      <c r="D88" s="4"/>
      <c r="E88" s="4"/>
      <c r="F88" s="5">
        <f>15000</f>
        <v>15000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5">
        <f t="shared" si="10"/>
        <v>15000</v>
      </c>
    </row>
    <row r="89" spans="1:35" x14ac:dyDescent="0.25">
      <c r="A89" s="3" t="s">
        <v>117</v>
      </c>
      <c r="B89" s="4"/>
      <c r="C89" s="4"/>
      <c r="D89" s="4"/>
      <c r="E89" s="5">
        <f>4497.91</f>
        <v>4497.91</v>
      </c>
      <c r="F89" s="5">
        <f>144497.35</f>
        <v>144497.35</v>
      </c>
      <c r="G89" s="5">
        <f>4572.94</f>
        <v>4572.9399999999996</v>
      </c>
      <c r="H89" s="5">
        <f>7773.69</f>
        <v>7773.69</v>
      </c>
      <c r="I89" s="5">
        <f>5556.15</f>
        <v>5556.15</v>
      </c>
      <c r="J89" s="5">
        <f>7117.42</f>
        <v>7117.42</v>
      </c>
      <c r="K89" s="4"/>
      <c r="L89" s="5">
        <f>3296.99</f>
        <v>3296.99</v>
      </c>
      <c r="M89" s="5">
        <f>5002.28</f>
        <v>5002.28</v>
      </c>
      <c r="N89" s="5">
        <f>80010.33</f>
        <v>80010.33</v>
      </c>
      <c r="O89" s="5">
        <f>40274.15</f>
        <v>40274.15</v>
      </c>
      <c r="P89" s="5">
        <f>64939.56</f>
        <v>64939.56</v>
      </c>
      <c r="Q89" s="5">
        <f>48340.1</f>
        <v>48340.1</v>
      </c>
      <c r="R89" s="5">
        <f>34422.08</f>
        <v>34422.080000000002</v>
      </c>
      <c r="S89" s="5">
        <f>6471.19</f>
        <v>6471.19</v>
      </c>
      <c r="T89" s="5">
        <f>5433.71</f>
        <v>5433.71</v>
      </c>
      <c r="U89" s="5">
        <f>15729.8</f>
        <v>15729.8</v>
      </c>
      <c r="V89" s="5">
        <f>54175.17</f>
        <v>54175.17</v>
      </c>
      <c r="W89" s="5">
        <f>34695.63</f>
        <v>34695.629999999997</v>
      </c>
      <c r="X89" s="5">
        <f>2200.24</f>
        <v>2200.2399999999998</v>
      </c>
      <c r="Y89" s="5">
        <f>49181.52</f>
        <v>49181.52</v>
      </c>
      <c r="Z89" s="5">
        <f>100.67</f>
        <v>100.67</v>
      </c>
      <c r="AA89" s="5">
        <f>6</f>
        <v>6</v>
      </c>
      <c r="AB89" s="5">
        <f>407.53</f>
        <v>407.53</v>
      </c>
      <c r="AC89" s="5">
        <f>1000</f>
        <v>1000</v>
      </c>
      <c r="AD89" s="5">
        <f>124464.43</f>
        <v>124464.43</v>
      </c>
      <c r="AE89" s="5">
        <f>351736.48</f>
        <v>351736.48</v>
      </c>
      <c r="AF89" s="5">
        <f>6270.96</f>
        <v>6270.96</v>
      </c>
      <c r="AG89" s="4"/>
      <c r="AH89" s="4"/>
      <c r="AI89" s="5">
        <f t="shared" si="10"/>
        <v>1102174.28</v>
      </c>
    </row>
    <row r="90" spans="1:35" x14ac:dyDescent="0.25">
      <c r="A90" s="3" t="s">
        <v>118</v>
      </c>
      <c r="B90" s="6">
        <f t="shared" ref="B90:AH90" si="15">(((B86)+(B87))+(B88))+(B89)</f>
        <v>2747.43</v>
      </c>
      <c r="C90" s="6">
        <f t="shared" si="15"/>
        <v>0</v>
      </c>
      <c r="D90" s="6">
        <f t="shared" si="15"/>
        <v>0</v>
      </c>
      <c r="E90" s="6">
        <f t="shared" si="15"/>
        <v>4497.91</v>
      </c>
      <c r="F90" s="6">
        <f t="shared" si="15"/>
        <v>159851.67000000001</v>
      </c>
      <c r="G90" s="6">
        <f t="shared" si="15"/>
        <v>4572.9399999999996</v>
      </c>
      <c r="H90" s="6">
        <f t="shared" si="15"/>
        <v>7773.69</v>
      </c>
      <c r="I90" s="6">
        <f t="shared" si="15"/>
        <v>5644.73</v>
      </c>
      <c r="J90" s="6">
        <f t="shared" si="15"/>
        <v>7117.42</v>
      </c>
      <c r="K90" s="6">
        <f t="shared" si="15"/>
        <v>118</v>
      </c>
      <c r="L90" s="6">
        <f t="shared" si="15"/>
        <v>3296.99</v>
      </c>
      <c r="M90" s="6">
        <f t="shared" si="15"/>
        <v>5002.28</v>
      </c>
      <c r="N90" s="6">
        <f t="shared" si="15"/>
        <v>80010.33</v>
      </c>
      <c r="O90" s="6">
        <f t="shared" si="15"/>
        <v>40598.730000000003</v>
      </c>
      <c r="P90" s="6">
        <f t="shared" si="15"/>
        <v>64939.56</v>
      </c>
      <c r="Q90" s="6">
        <f t="shared" si="15"/>
        <v>48340.1</v>
      </c>
      <c r="R90" s="6">
        <f t="shared" si="15"/>
        <v>34422.080000000002</v>
      </c>
      <c r="S90" s="6">
        <f t="shared" si="15"/>
        <v>6471.19</v>
      </c>
      <c r="T90" s="6">
        <f t="shared" si="15"/>
        <v>5433.71</v>
      </c>
      <c r="U90" s="6">
        <f t="shared" si="15"/>
        <v>18480.879999999997</v>
      </c>
      <c r="V90" s="6">
        <f t="shared" si="15"/>
        <v>59021.75</v>
      </c>
      <c r="W90" s="6">
        <f t="shared" si="15"/>
        <v>35108.79</v>
      </c>
      <c r="X90" s="6">
        <f t="shared" si="15"/>
        <v>2200.2399999999998</v>
      </c>
      <c r="Y90" s="6">
        <f t="shared" si="15"/>
        <v>49181.52</v>
      </c>
      <c r="Z90" s="6">
        <f t="shared" si="15"/>
        <v>100.67</v>
      </c>
      <c r="AA90" s="6">
        <f t="shared" si="15"/>
        <v>6</v>
      </c>
      <c r="AB90" s="6">
        <f t="shared" si="15"/>
        <v>407.53</v>
      </c>
      <c r="AC90" s="6">
        <f t="shared" si="15"/>
        <v>1000</v>
      </c>
      <c r="AD90" s="6">
        <f t="shared" si="15"/>
        <v>125438.17</v>
      </c>
      <c r="AE90" s="6">
        <f t="shared" si="15"/>
        <v>354630.95999999996</v>
      </c>
      <c r="AF90" s="6">
        <f t="shared" si="15"/>
        <v>6270.96</v>
      </c>
      <c r="AG90" s="6">
        <f t="shared" si="15"/>
        <v>0</v>
      </c>
      <c r="AH90" s="6">
        <f t="shared" si="15"/>
        <v>0</v>
      </c>
      <c r="AI90" s="6">
        <f t="shared" si="10"/>
        <v>1132686.23</v>
      </c>
    </row>
    <row r="91" spans="1:35" x14ac:dyDescent="0.25">
      <c r="A91" s="3" t="s">
        <v>119</v>
      </c>
      <c r="B91" s="6">
        <f t="shared" ref="B91:AH91" si="16">((((((((B35)+(B48))+(B54))+(B55))+(B66))+(B70))+(B78))+(B85))+(B90)</f>
        <v>1237113.9999999998</v>
      </c>
      <c r="C91" s="6">
        <f t="shared" si="16"/>
        <v>0</v>
      </c>
      <c r="D91" s="6">
        <f t="shared" si="16"/>
        <v>4944.9799999999996</v>
      </c>
      <c r="E91" s="6">
        <f t="shared" si="16"/>
        <v>59999.91</v>
      </c>
      <c r="F91" s="6">
        <f t="shared" si="16"/>
        <v>1589467.78</v>
      </c>
      <c r="G91" s="6">
        <f t="shared" si="16"/>
        <v>50730.61</v>
      </c>
      <c r="H91" s="6">
        <f t="shared" si="16"/>
        <v>85483.85</v>
      </c>
      <c r="I91" s="6">
        <f t="shared" si="16"/>
        <v>61020.5</v>
      </c>
      <c r="J91" s="6">
        <f t="shared" si="16"/>
        <v>96085.16</v>
      </c>
      <c r="K91" s="6">
        <f t="shared" si="16"/>
        <v>153998.54999999999</v>
      </c>
      <c r="L91" s="6">
        <f t="shared" si="16"/>
        <v>34626</v>
      </c>
      <c r="M91" s="6">
        <f t="shared" si="16"/>
        <v>55043.96</v>
      </c>
      <c r="N91" s="6">
        <f t="shared" si="16"/>
        <v>880113.5199999999</v>
      </c>
      <c r="O91" s="6">
        <f t="shared" si="16"/>
        <v>347460.41</v>
      </c>
      <c r="P91" s="6">
        <f t="shared" si="16"/>
        <v>606102.44999999995</v>
      </c>
      <c r="Q91" s="6">
        <f t="shared" si="16"/>
        <v>451174.19</v>
      </c>
      <c r="R91" s="6">
        <f t="shared" si="16"/>
        <v>379193.46</v>
      </c>
      <c r="S91" s="6">
        <f t="shared" si="16"/>
        <v>87361.05</v>
      </c>
      <c r="T91" s="6">
        <f t="shared" si="16"/>
        <v>73658.740000000005</v>
      </c>
      <c r="U91" s="6">
        <f t="shared" si="16"/>
        <v>211660.85000000003</v>
      </c>
      <c r="V91" s="6">
        <f t="shared" si="16"/>
        <v>731352.65</v>
      </c>
      <c r="W91" s="6">
        <f t="shared" si="16"/>
        <v>282180.62</v>
      </c>
      <c r="X91" s="6">
        <f t="shared" si="16"/>
        <v>18999.979999999996</v>
      </c>
      <c r="Y91" s="6">
        <f t="shared" si="16"/>
        <v>540814.37</v>
      </c>
      <c r="Z91" s="6">
        <f t="shared" si="16"/>
        <v>5134.42</v>
      </c>
      <c r="AA91" s="6">
        <f t="shared" si="16"/>
        <v>419.96</v>
      </c>
      <c r="AB91" s="6">
        <f t="shared" si="16"/>
        <v>4482.87</v>
      </c>
      <c r="AC91" s="6">
        <f t="shared" si="16"/>
        <v>11000</v>
      </c>
      <c r="AD91" s="6">
        <f t="shared" si="16"/>
        <v>1009931.8099999999</v>
      </c>
      <c r="AE91" s="6">
        <f t="shared" si="16"/>
        <v>2831639.89</v>
      </c>
      <c r="AF91" s="6">
        <f t="shared" si="16"/>
        <v>74617.740000000005</v>
      </c>
      <c r="AG91" s="6">
        <f t="shared" si="16"/>
        <v>0</v>
      </c>
      <c r="AH91" s="6">
        <f t="shared" si="16"/>
        <v>0</v>
      </c>
      <c r="AI91" s="6">
        <f t="shared" si="10"/>
        <v>11975814.280000001</v>
      </c>
    </row>
    <row r="92" spans="1:35" x14ac:dyDescent="0.25">
      <c r="A92" s="3" t="s">
        <v>120</v>
      </c>
      <c r="B92" s="6">
        <f t="shared" ref="B92:AH92" si="17">(B30)-(B91)</f>
        <v>515821.50000000047</v>
      </c>
      <c r="C92" s="6">
        <f t="shared" si="17"/>
        <v>490.44</v>
      </c>
      <c r="D92" s="6">
        <f t="shared" si="17"/>
        <v>-4944.9799999999996</v>
      </c>
      <c r="E92" s="6">
        <f t="shared" si="17"/>
        <v>-0.14000000000669388</v>
      </c>
      <c r="F92" s="6">
        <f t="shared" si="17"/>
        <v>750436.83000000031</v>
      </c>
      <c r="G92" s="6">
        <f t="shared" si="17"/>
        <v>-7251</v>
      </c>
      <c r="H92" s="6">
        <f t="shared" si="17"/>
        <v>0</v>
      </c>
      <c r="I92" s="6">
        <f t="shared" si="17"/>
        <v>11112.429999999993</v>
      </c>
      <c r="J92" s="6">
        <f t="shared" si="17"/>
        <v>0</v>
      </c>
      <c r="K92" s="6">
        <f t="shared" si="17"/>
        <v>375030.91</v>
      </c>
      <c r="L92" s="6">
        <f t="shared" si="17"/>
        <v>11663.269999999997</v>
      </c>
      <c r="M92" s="6">
        <f t="shared" si="17"/>
        <v>14046.000000000007</v>
      </c>
      <c r="N92" s="6">
        <f t="shared" si="17"/>
        <v>0</v>
      </c>
      <c r="O92" s="6">
        <f t="shared" si="17"/>
        <v>-10546.699999999953</v>
      </c>
      <c r="P92" s="6">
        <f t="shared" si="17"/>
        <v>0</v>
      </c>
      <c r="Q92" s="6">
        <f t="shared" si="17"/>
        <v>0</v>
      </c>
      <c r="R92" s="6">
        <f t="shared" si="17"/>
        <v>0</v>
      </c>
      <c r="S92" s="6">
        <f t="shared" si="17"/>
        <v>-5.0000000002910383E-2</v>
      </c>
      <c r="T92" s="6">
        <f t="shared" si="17"/>
        <v>-199.99000000000524</v>
      </c>
      <c r="U92" s="6">
        <f t="shared" si="17"/>
        <v>0</v>
      </c>
      <c r="V92" s="6">
        <f t="shared" si="17"/>
        <v>0</v>
      </c>
      <c r="W92" s="6">
        <f t="shared" si="17"/>
        <v>-16083.570000000007</v>
      </c>
      <c r="X92" s="6">
        <f t="shared" si="17"/>
        <v>-13999.979999999996</v>
      </c>
      <c r="Y92" s="6">
        <f t="shared" si="17"/>
        <v>0</v>
      </c>
      <c r="Z92" s="6">
        <f t="shared" si="17"/>
        <v>0</v>
      </c>
      <c r="AA92" s="6">
        <f t="shared" si="17"/>
        <v>0</v>
      </c>
      <c r="AB92" s="6">
        <f t="shared" si="17"/>
        <v>0</v>
      </c>
      <c r="AC92" s="6">
        <f t="shared" si="17"/>
        <v>0</v>
      </c>
      <c r="AD92" s="6">
        <f t="shared" si="17"/>
        <v>-40382.679999999935</v>
      </c>
      <c r="AE92" s="6">
        <f t="shared" si="17"/>
        <v>-73897.410000000149</v>
      </c>
      <c r="AF92" s="6">
        <f t="shared" si="17"/>
        <v>13782.259999999995</v>
      </c>
      <c r="AG92" s="6">
        <f t="shared" si="17"/>
        <v>0</v>
      </c>
      <c r="AH92" s="6">
        <f t="shared" si="17"/>
        <v>0</v>
      </c>
      <c r="AI92" s="6">
        <f t="shared" si="10"/>
        <v>1525077.1400000006</v>
      </c>
    </row>
    <row r="93" spans="1:35" x14ac:dyDescent="0.25">
      <c r="A93" s="3" t="s">
        <v>121</v>
      </c>
      <c r="B93" s="7">
        <f t="shared" ref="B93:AH93" si="18">(B92)+(0)</f>
        <v>515821.50000000047</v>
      </c>
      <c r="C93" s="7">
        <f t="shared" si="18"/>
        <v>490.44</v>
      </c>
      <c r="D93" s="7">
        <f t="shared" si="18"/>
        <v>-4944.9799999999996</v>
      </c>
      <c r="E93" s="7">
        <f t="shared" si="18"/>
        <v>-0.14000000000669388</v>
      </c>
      <c r="F93" s="7">
        <f t="shared" si="18"/>
        <v>750436.83000000031</v>
      </c>
      <c r="G93" s="7">
        <f t="shared" si="18"/>
        <v>-7251</v>
      </c>
      <c r="H93" s="7">
        <f t="shared" si="18"/>
        <v>0</v>
      </c>
      <c r="I93" s="7">
        <f t="shared" si="18"/>
        <v>11112.429999999993</v>
      </c>
      <c r="J93" s="7">
        <f t="shared" si="18"/>
        <v>0</v>
      </c>
      <c r="K93" s="7">
        <f t="shared" si="18"/>
        <v>375030.91</v>
      </c>
      <c r="L93" s="7">
        <f t="shared" si="18"/>
        <v>11663.269999999997</v>
      </c>
      <c r="M93" s="7">
        <f t="shared" si="18"/>
        <v>14046.000000000007</v>
      </c>
      <c r="N93" s="7">
        <f t="shared" si="18"/>
        <v>0</v>
      </c>
      <c r="O93" s="7">
        <f t="shared" si="18"/>
        <v>-10546.699999999953</v>
      </c>
      <c r="P93" s="7">
        <f t="shared" si="18"/>
        <v>0</v>
      </c>
      <c r="Q93" s="7">
        <f t="shared" si="18"/>
        <v>0</v>
      </c>
      <c r="R93" s="7">
        <f t="shared" si="18"/>
        <v>0</v>
      </c>
      <c r="S93" s="7">
        <f t="shared" si="18"/>
        <v>-5.0000000002910383E-2</v>
      </c>
      <c r="T93" s="7">
        <f t="shared" si="18"/>
        <v>-199.99000000000524</v>
      </c>
      <c r="U93" s="7">
        <f t="shared" si="18"/>
        <v>0</v>
      </c>
      <c r="V93" s="7">
        <f t="shared" si="18"/>
        <v>0</v>
      </c>
      <c r="W93" s="7">
        <f t="shared" si="18"/>
        <v>-16083.570000000007</v>
      </c>
      <c r="X93" s="7">
        <f t="shared" si="18"/>
        <v>-13999.979999999996</v>
      </c>
      <c r="Y93" s="7">
        <f t="shared" si="18"/>
        <v>0</v>
      </c>
      <c r="Z93" s="7">
        <f t="shared" si="18"/>
        <v>0</v>
      </c>
      <c r="AA93" s="7">
        <f t="shared" si="18"/>
        <v>0</v>
      </c>
      <c r="AB93" s="7">
        <f t="shared" si="18"/>
        <v>0</v>
      </c>
      <c r="AC93" s="7">
        <f t="shared" si="18"/>
        <v>0</v>
      </c>
      <c r="AD93" s="7">
        <f t="shared" si="18"/>
        <v>-40382.679999999935</v>
      </c>
      <c r="AE93" s="7">
        <f t="shared" si="18"/>
        <v>-73897.410000000149</v>
      </c>
      <c r="AF93" s="7">
        <f t="shared" si="18"/>
        <v>13782.259999999995</v>
      </c>
      <c r="AG93" s="7">
        <f t="shared" si="18"/>
        <v>0</v>
      </c>
      <c r="AH93" s="7">
        <f t="shared" si="18"/>
        <v>0</v>
      </c>
      <c r="AI93" s="7">
        <f t="shared" si="10"/>
        <v>1525077.1400000006</v>
      </c>
    </row>
    <row r="94" spans="1:35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7" spans="1:35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</sheetData>
  <sheetProtection algorithmName="SHA-512" hashValue="0lvKfWAevS5Cc6pYCrLIzf0u5Q3RjZy3DrDyo15tstfyVS7Y86IeB5RRxqjuVDNOowNmcqCVHS891EFFsjQyzw==" saltValue="mOOOv6DNlWZWNHmpFBgp7Q==" spinCount="100000" sheet="1" objects="1" scenarios="1"/>
  <mergeCells count="4">
    <mergeCell ref="A97:AI97"/>
    <mergeCell ref="A1:AI1"/>
    <mergeCell ref="A2:AI2"/>
    <mergeCell ref="A3:AI3"/>
  </mergeCells>
  <pageMargins left="0.7" right="0.7" top="0.75" bottom="0.75" header="0.3" footer="0.3"/>
  <pageSetup paperSize="5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2025-04-04T17:49:10Z</cp:lastPrinted>
  <dcterms:created xsi:type="dcterms:W3CDTF">2025-04-04T17:48:24Z</dcterms:created>
  <dcterms:modified xsi:type="dcterms:W3CDTF">2025-04-04T18:51:59Z</dcterms:modified>
</cp:coreProperties>
</file>