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anthony_hughey_dayton_kyschools_us/Documents/Documents/DAYTON/"/>
    </mc:Choice>
  </mc:AlternateContent>
  <xr:revisionPtr revIDLastSave="20" documentId="8_{3D53AAD0-93FE-4B67-9AD6-A428DDD1FDEE}" xr6:coauthVersionLast="36" xr6:coauthVersionMax="36" xr10:uidLastSave="{030D12D3-80ED-4111-ABC9-74A9231E99E8}"/>
  <bookViews>
    <workbookView xWindow="0" yWindow="0" windowWidth="24000" windowHeight="8400" firstSheet="3" activeTab="3" xr2:uid="{00000000-000D-0000-FFFF-FFFF00000000}"/>
  </bookViews>
  <sheets>
    <sheet name="Summary" sheetId="1" state="hidden" r:id="rId1"/>
    <sheet name="KDEForms" sheetId="2" state="hidden" r:id="rId2"/>
    <sheet name="SalarySchedule" sheetId="3" state="hidden" r:id="rId3"/>
    <sheet name="030" sheetId="4" r:id="rId4"/>
  </sheets>
  <calcPr calcId="191029"/>
</workbook>
</file>

<file path=xl/calcChain.xml><?xml version="1.0" encoding="utf-8"?>
<calcChain xmlns="http://schemas.openxmlformats.org/spreadsheetml/2006/main">
  <c r="F153" i="4" l="1"/>
  <c r="F151" i="4"/>
  <c r="F145" i="4"/>
  <c r="F155" i="4"/>
  <c r="H49" i="4" l="1"/>
  <c r="H50" i="4"/>
  <c r="G12" i="4" l="1"/>
  <c r="C68" i="4" l="1"/>
  <c r="C65" i="4"/>
  <c r="I84" i="2"/>
  <c r="G81" i="2"/>
  <c r="G84" i="2" s="1"/>
  <c r="A74" i="2"/>
  <c r="A73" i="2"/>
  <c r="G69" i="2"/>
  <c r="G65" i="2" s="1"/>
  <c r="D54" i="2"/>
  <c r="A48" i="2"/>
  <c r="I16" i="2"/>
  <c r="G13" i="2"/>
  <c r="G16" i="2" s="1"/>
  <c r="A6" i="2"/>
  <c r="A5" i="2"/>
  <c r="H110" i="1"/>
  <c r="H111" i="1" s="1"/>
  <c r="G110" i="1"/>
  <c r="G111" i="1" s="1"/>
  <c r="F110" i="1"/>
  <c r="F111" i="1" s="1"/>
  <c r="E110" i="1"/>
  <c r="E111" i="1" s="1"/>
  <c r="C98" i="1"/>
  <c r="C97" i="1"/>
  <c r="C96" i="1"/>
  <c r="E93" i="1"/>
  <c r="C91" i="1"/>
  <c r="C52" i="2" s="1"/>
  <c r="E83" i="1"/>
  <c r="E81" i="1"/>
  <c r="D82" i="1"/>
  <c r="E82" i="1" s="1"/>
  <c r="B97" i="1" s="1"/>
  <c r="D78" i="1"/>
  <c r="E78" i="1" s="1"/>
  <c r="D77" i="1"/>
  <c r="E77" i="1" s="1"/>
  <c r="D76" i="1"/>
  <c r="E76" i="1" s="1"/>
  <c r="D75" i="1"/>
  <c r="E75" i="1" s="1"/>
  <c r="D74" i="1"/>
  <c r="E74" i="1" s="1"/>
  <c r="E57" i="1"/>
  <c r="D67" i="1"/>
  <c r="E67" i="1" s="1"/>
  <c r="D66" i="1"/>
  <c r="E66" i="1" s="1"/>
  <c r="D65" i="1"/>
  <c r="E65" i="1" s="1"/>
  <c r="D62" i="1"/>
  <c r="E62" i="1" s="1"/>
  <c r="D59" i="1"/>
  <c r="E59" i="1" s="1"/>
  <c r="D50" i="1"/>
  <c r="A51" i="1"/>
  <c r="I49" i="1"/>
  <c r="J47" i="1"/>
  <c r="C40" i="1"/>
  <c r="C39" i="1"/>
  <c r="C38" i="1"/>
  <c r="C37" i="1"/>
  <c r="C36" i="1"/>
  <c r="C35" i="1"/>
  <c r="C34" i="1"/>
  <c r="C33" i="1"/>
  <c r="C32" i="1"/>
  <c r="C31" i="1"/>
  <c r="C29" i="1"/>
  <c r="C28" i="1"/>
  <c r="C27" i="1"/>
  <c r="C26" i="1"/>
  <c r="B30" i="1"/>
  <c r="C30" i="1" s="1"/>
  <c r="I21" i="1"/>
  <c r="I1" i="1"/>
  <c r="A1" i="1"/>
  <c r="D153" i="4"/>
  <c r="D152" i="4"/>
  <c r="D151" i="4"/>
  <c r="D150" i="4"/>
  <c r="D149" i="4"/>
  <c r="D148" i="4"/>
  <c r="D147" i="4"/>
  <c r="D146" i="4"/>
  <c r="D145" i="4"/>
  <c r="E117" i="4"/>
  <c r="E116" i="4"/>
  <c r="E115" i="4"/>
  <c r="J95" i="4"/>
  <c r="G81" i="4"/>
  <c r="I81" i="4" s="1"/>
  <c r="D80" i="4"/>
  <c r="D79" i="4"/>
  <c r="E76" i="4"/>
  <c r="D76" i="4"/>
  <c r="H42" i="4"/>
  <c r="E41" i="4"/>
  <c r="H19" i="4"/>
  <c r="F28" i="4" s="1"/>
  <c r="G18" i="4"/>
  <c r="G17" i="4"/>
  <c r="G16" i="4"/>
  <c r="G15" i="4"/>
  <c r="G14" i="4"/>
  <c r="G13" i="4"/>
  <c r="C11" i="4"/>
  <c r="A5" i="4"/>
  <c r="A2" i="4"/>
  <c r="J1" i="4"/>
  <c r="I141" i="3"/>
  <c r="E141" i="3"/>
  <c r="C141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I94" i="3"/>
  <c r="E94" i="3"/>
  <c r="C94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B83" i="3"/>
  <c r="AA83" i="3"/>
  <c r="Z83" i="3"/>
  <c r="Y83" i="3"/>
  <c r="B101" i="4" s="1"/>
  <c r="J101" i="4" s="1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B103" i="4" s="1"/>
  <c r="J103" i="4" s="1"/>
  <c r="G78" i="3"/>
  <c r="F78" i="3"/>
  <c r="E78" i="3"/>
  <c r="D78" i="3"/>
  <c r="C78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B76" i="3"/>
  <c r="AA76" i="3"/>
  <c r="Z76" i="3"/>
  <c r="Y76" i="3"/>
  <c r="X76" i="3"/>
  <c r="W76" i="3"/>
  <c r="V76" i="3"/>
  <c r="U76" i="3"/>
  <c r="T76" i="3"/>
  <c r="S76" i="3"/>
  <c r="B102" i="4" s="1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B68" i="3"/>
  <c r="AA68" i="3"/>
  <c r="Z68" i="3"/>
  <c r="Y68" i="3"/>
  <c r="B100" i="4" s="1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99" i="4" s="1"/>
  <c r="J99" i="4" s="1"/>
  <c r="C56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C47" i="3"/>
  <c r="C46" i="3"/>
  <c r="C45" i="3"/>
  <c r="C44" i="3"/>
  <c r="C43" i="3"/>
  <c r="C42" i="3"/>
  <c r="C41" i="3"/>
  <c r="C40" i="3"/>
  <c r="C39" i="3"/>
  <c r="C38" i="3"/>
  <c r="C37" i="3"/>
  <c r="H43" i="4"/>
  <c r="C36" i="3"/>
  <c r="C35" i="3"/>
  <c r="C34" i="3"/>
  <c r="H67" i="4"/>
  <c r="C33" i="3"/>
  <c r="C32" i="3"/>
  <c r="H44" i="4"/>
  <c r="C31" i="3"/>
  <c r="C30" i="3"/>
  <c r="C29" i="3"/>
  <c r="C28" i="3"/>
  <c r="C27" i="3"/>
  <c r="C26" i="3"/>
  <c r="C25" i="3"/>
  <c r="C24" i="3"/>
  <c r="C23" i="3"/>
  <c r="C22" i="3"/>
  <c r="C21" i="3"/>
  <c r="C20" i="3"/>
  <c r="H56" i="4"/>
  <c r="C19" i="3"/>
  <c r="C18" i="3"/>
  <c r="C17" i="3"/>
  <c r="C16" i="3"/>
  <c r="H61" i="4"/>
  <c r="C15" i="3"/>
  <c r="C14" i="3"/>
  <c r="H59" i="4"/>
  <c r="H57" i="4"/>
  <c r="C13" i="3"/>
  <c r="H58" i="4"/>
  <c r="C12" i="3"/>
  <c r="H62" i="4"/>
  <c r="C11" i="3"/>
  <c r="C10" i="3"/>
  <c r="C9" i="3"/>
  <c r="C8" i="3"/>
  <c r="C7" i="3"/>
  <c r="D4" i="3"/>
  <c r="H63" i="4" l="1"/>
  <c r="H53" i="4"/>
  <c r="H45" i="4"/>
  <c r="H47" i="4"/>
  <c r="H60" i="4"/>
  <c r="H46" i="4"/>
  <c r="H54" i="4"/>
  <c r="H48" i="4"/>
  <c r="B42" i="1"/>
  <c r="B44" i="1" s="1"/>
  <c r="C44" i="1" s="1"/>
  <c r="G80" i="4"/>
  <c r="I80" i="4" s="1"/>
  <c r="G79" i="4"/>
  <c r="I79" i="4" s="1"/>
  <c r="E118" i="4"/>
  <c r="G19" i="4"/>
  <c r="D56" i="1" s="1"/>
  <c r="E56" i="1" s="1"/>
  <c r="E58" i="1" s="1"/>
  <c r="G76" i="4"/>
  <c r="I76" i="4" s="1"/>
  <c r="F80" i="4"/>
  <c r="G117" i="4"/>
  <c r="I117" i="4" s="1"/>
  <c r="J100" i="4"/>
  <c r="H64" i="4"/>
  <c r="H55" i="4"/>
  <c r="F76" i="4"/>
  <c r="F79" i="4"/>
  <c r="F31" i="4"/>
  <c r="D63" i="1" s="1"/>
  <c r="E63" i="1" s="1"/>
  <c r="D61" i="1"/>
  <c r="E61" i="1" s="1"/>
  <c r="F26" i="4"/>
  <c r="G115" i="4"/>
  <c r="I115" i="4" s="1"/>
  <c r="J102" i="4"/>
  <c r="F33" i="4"/>
  <c r="D82" i="4"/>
  <c r="B97" i="4"/>
  <c r="B98" i="4"/>
  <c r="J98" i="4" s="1"/>
  <c r="D51" i="1"/>
  <c r="D91" i="1"/>
  <c r="E91" i="1" s="1"/>
  <c r="F13" i="2"/>
  <c r="F81" i="2"/>
  <c r="D79" i="1"/>
  <c r="E52" i="2"/>
  <c r="E53" i="2" s="1"/>
  <c r="F77" i="4" l="1"/>
  <c r="B104" i="4"/>
  <c r="J79" i="4"/>
  <c r="G116" i="4"/>
  <c r="I116" i="4" s="1"/>
  <c r="J80" i="4"/>
  <c r="F78" i="4"/>
  <c r="D58" i="1"/>
  <c r="D60" i="1"/>
  <c r="J97" i="4"/>
  <c r="J115" i="4"/>
  <c r="J76" i="4"/>
  <c r="F81" i="4"/>
  <c r="J81" i="4" s="1"/>
  <c r="J117" i="4"/>
  <c r="E54" i="2"/>
  <c r="E79" i="1"/>
  <c r="D80" i="1"/>
  <c r="E51" i="1"/>
  <c r="D52" i="1"/>
  <c r="B53" i="2"/>
  <c r="D64" i="1"/>
  <c r="E64" i="1" s="1"/>
  <c r="G78" i="4"/>
  <c r="I78" i="4" s="1"/>
  <c r="J116" i="4" l="1"/>
  <c r="J78" i="4"/>
  <c r="F147" i="4"/>
  <c r="F150" i="4"/>
  <c r="G114" i="4"/>
  <c r="D118" i="4"/>
  <c r="E60" i="1"/>
  <c r="D68" i="1"/>
  <c r="G77" i="4"/>
  <c r="E82" i="4"/>
  <c r="F82" i="4"/>
  <c r="C53" i="2"/>
  <c r="B54" i="2"/>
  <c r="D90" i="1"/>
  <c r="E52" i="1"/>
  <c r="E80" i="1"/>
  <c r="F149" i="4" l="1"/>
  <c r="F148" i="4"/>
  <c r="F146" i="4"/>
  <c r="I77" i="4"/>
  <c r="G82" i="4"/>
  <c r="C54" i="2"/>
  <c r="F53" i="2"/>
  <c r="F54" i="2" s="1"/>
  <c r="E90" i="1"/>
  <c r="E81" i="2"/>
  <c r="E84" i="2" s="1"/>
  <c r="E13" i="2"/>
  <c r="E16" i="2" s="1"/>
  <c r="F118" i="4"/>
  <c r="E68" i="1"/>
  <c r="F152" i="4"/>
  <c r="D69" i="1"/>
  <c r="G118" i="4"/>
  <c r="I114" i="4"/>
  <c r="I118" i="4" s="1"/>
  <c r="D73" i="1" l="1"/>
  <c r="E73" i="1" s="1"/>
  <c r="J114" i="4"/>
  <c r="J118" i="4" s="1"/>
  <c r="D71" i="1" s="1"/>
  <c r="D72" i="1" s="1"/>
  <c r="E69" i="1"/>
  <c r="I82" i="4"/>
  <c r="J77" i="4"/>
  <c r="J82" i="4" s="1"/>
  <c r="D53" i="1" s="1"/>
  <c r="E71" i="1" l="1"/>
  <c r="E72" i="1" s="1"/>
  <c r="B98" i="1" s="1"/>
  <c r="D13" i="2"/>
  <c r="D16" i="2" s="1"/>
  <c r="D81" i="2"/>
  <c r="D84" i="2" s="1"/>
  <c r="E53" i="1"/>
  <c r="E54" i="1" s="1"/>
  <c r="B96" i="1" s="1"/>
  <c r="F154" i="4"/>
  <c r="D54" i="1"/>
  <c r="D55" i="1" l="1"/>
  <c r="E55" i="1" l="1"/>
  <c r="D85" i="1"/>
  <c r="C81" i="2"/>
  <c r="C13" i="2"/>
  <c r="H14" i="2" l="1"/>
  <c r="C16" i="2"/>
  <c r="H13" i="2"/>
  <c r="H16" i="2" s="1"/>
  <c r="G42" i="2" s="1"/>
  <c r="G38" i="2" s="1"/>
  <c r="H82" i="2"/>
  <c r="C84" i="2"/>
  <c r="H81" i="2"/>
  <c r="H84" i="2" s="1"/>
  <c r="E85" i="1"/>
  <c r="D94" i="1"/>
  <c r="E94" i="1" s="1"/>
  <c r="H86" i="2" l="1"/>
  <c r="H18" i="2"/>
</calcChain>
</file>

<file path=xl/sharedStrings.xml><?xml version="1.0" encoding="utf-8"?>
<sst xmlns="http://schemas.openxmlformats.org/spreadsheetml/2006/main" count="680" uniqueCount="322">
  <si>
    <t>Dayton Ind Board of Ed</t>
  </si>
  <si>
    <t>Dayton, KY</t>
  </si>
  <si>
    <t>SCHOOL BASED ALLOCATIONS</t>
  </si>
  <si>
    <t>School</t>
  </si>
  <si>
    <t>SCHOOLS:</t>
  </si>
  <si>
    <t>Enter Prof Dev</t>
  </si>
  <si>
    <t>DISTRICT</t>
  </si>
  <si>
    <t>ID Number</t>
  </si>
  <si>
    <t>Allocation</t>
  </si>
  <si>
    <t>In This Column</t>
  </si>
  <si>
    <t>SCHOOL YEAR</t>
  </si>
  <si>
    <t>030</t>
  </si>
  <si>
    <t xml:space="preserve">LINCOLN ELEMENTARY SCHOOL     </t>
  </si>
  <si>
    <t>Salary Avg @</t>
  </si>
  <si>
    <t>Social Security @</t>
  </si>
  <si>
    <t>Medicare @</t>
  </si>
  <si>
    <t>Other Retirement @</t>
  </si>
  <si>
    <t>Workers Comp. @</t>
  </si>
  <si>
    <t>Unemployment @</t>
  </si>
  <si>
    <t>for 1st $6,000</t>
  </si>
  <si>
    <t>KTRS Match @</t>
  </si>
  <si>
    <t>PROJECTED ENROLLMENT END OF FIRST MONTH</t>
  </si>
  <si>
    <t>GRADE</t>
  </si>
  <si>
    <t>ELEMENTARY</t>
  </si>
  <si>
    <t>TOTAL</t>
  </si>
  <si>
    <t>LINCOLN ELEMENTARY SCHOOL</t>
  </si>
  <si>
    <t>KG-Total</t>
  </si>
  <si>
    <t>P-1</t>
  </si>
  <si>
    <t>P-2</t>
  </si>
  <si>
    <t>P-3</t>
  </si>
  <si>
    <t>PRIM excl K/G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</si>
  <si>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</si>
  <si>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</si>
  <si>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</si>
  <si>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</si>
  <si>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</si>
  <si>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</si>
  <si>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</si>
  <si>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</si>
  <si>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</si>
  <si>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SP ED</t>
  </si>
  <si>
    <t>KG FTE %</t>
  </si>
  <si>
    <t>FTE</t>
  </si>
  <si>
    <t>HOMEBOUND NOT INCLUDED</t>
  </si>
  <si>
    <t>CALCULATION OF SCHOOL ALLOCATIONS</t>
  </si>
  <si>
    <t>ALLOCATION COMPONENT</t>
  </si>
  <si>
    <t>Projected FTE Enrollment</t>
  </si>
  <si>
    <t>Proj FTE ADA @</t>
  </si>
  <si>
    <t>SEC. 4</t>
  </si>
  <si>
    <t>Certified Staff, excl. SP. Ed.</t>
  </si>
  <si>
    <t>Avg of Actual Salary</t>
  </si>
  <si>
    <t>Certified Staff Fringe Benefit</t>
  </si>
  <si>
    <t>Minimum Staff Required</t>
  </si>
  <si>
    <t>Regular Teachers Allocated</t>
  </si>
  <si>
    <t>Pupil/Teacher Ratio Req. Tch.</t>
  </si>
  <si>
    <t>SCHOOL VICE PRINC</t>
  </si>
  <si>
    <t>ELEMENTARY CLASSROOM</t>
  </si>
  <si>
    <t xml:space="preserve">MIDDLE SCHOOL </t>
  </si>
  <si>
    <t>LIBRARIAN</t>
  </si>
  <si>
    <t>HIGH SCHOOL CLASSROOM</t>
  </si>
  <si>
    <t>PRIMARY CLASSROOM</t>
  </si>
  <si>
    <t>SCHOOL PRINCIPAL</t>
  </si>
  <si>
    <t>SCHOOL GUIDANCE COUNSELOR</t>
  </si>
  <si>
    <t>KINDERGARTEN</t>
  </si>
  <si>
    <t>Total Certified Staff, excl. Sp. Ed.</t>
  </si>
  <si>
    <t>Pupil/Staff Ratio</t>
  </si>
  <si>
    <t>SEC. 5</t>
  </si>
  <si>
    <t>Classified Staff, excl categ.</t>
  </si>
  <si>
    <t>Average of Actual Classified Salary</t>
  </si>
  <si>
    <t>Class. Staff Fringe Benefit</t>
  </si>
  <si>
    <t>INST AIDE (BMIA)</t>
  </si>
  <si>
    <t>INSTRUCT ASSIST</t>
  </si>
  <si>
    <t>LEAD CUSTODIAN</t>
  </si>
  <si>
    <t>SECRETARY</t>
  </si>
  <si>
    <t>CUSTODIAN</t>
  </si>
  <si>
    <t>Total Classified Stf, excl. Sp. Ed. &amp; Custodians</t>
  </si>
  <si>
    <t>Custodians</t>
  </si>
  <si>
    <t>Average Salary</t>
  </si>
  <si>
    <t>Total for Custodians</t>
  </si>
  <si>
    <t>SEC. 4/5</t>
  </si>
  <si>
    <t>TOTAL Fringe Benefits</t>
  </si>
  <si>
    <t>SEC. 6 @</t>
  </si>
  <si>
    <t>Instructional Supplies &amp; Materials</t>
  </si>
  <si>
    <t>Base SEEK =</t>
  </si>
  <si>
    <t>SEEK PER FTE ADA =</t>
  </si>
  <si>
    <t>SEC. 7</t>
  </si>
  <si>
    <t>Additional Funds Sec 7</t>
  </si>
  <si>
    <t>Total Allocation</t>
  </si>
  <si>
    <t>SUMMARY OF UNASSIGNED PERSONNEL</t>
  </si>
  <si>
    <t>UNASSIGNED CERTIFIED</t>
  </si>
  <si>
    <t>UNASSIGNED CLASSIFIED</t>
  </si>
  <si>
    <t>NUMBER</t>
  </si>
  <si>
    <t>PERSONNEL</t>
  </si>
  <si>
    <t>SALARY</t>
  </si>
  <si>
    <t>TOTALS</t>
  </si>
  <si>
    <t>SCHOOL COUNCIL ALLOCATION CERTIFICATION</t>
  </si>
  <si>
    <t>Section 4</t>
  </si>
  <si>
    <t>Section 5</t>
  </si>
  <si>
    <t>Section 6</t>
  </si>
  <si>
    <t/>
  </si>
  <si>
    <t>Section 7</t>
  </si>
  <si>
    <t>Section 9</t>
  </si>
  <si>
    <t>CERTIFIED</t>
  </si>
  <si>
    <t>CLASSIFIED</t>
  </si>
  <si>
    <t>INSTRUCTIONAL</t>
  </si>
  <si>
    <t>PER</t>
  </si>
  <si>
    <t>OTHER</t>
  </si>
  <si>
    <t>TOTAL ALLOC.</t>
  </si>
  <si>
    <t>PROFESSIONAL</t>
  </si>
  <si>
    <t>STAFF</t>
  </si>
  <si>
    <t>MATERIAL</t>
  </si>
  <si>
    <t>PUPIL</t>
  </si>
  <si>
    <t>FUNDS</t>
  </si>
  <si>
    <t>BY SCHOOL</t>
  </si>
  <si>
    <t>DEVELOPMENT</t>
  </si>
  <si>
    <t>SCHOOL NAME</t>
  </si>
  <si>
    <t>ALLOCATION</t>
  </si>
  <si>
    <t>AMOUNT</t>
  </si>
  <si>
    <t>LESS SECTION 9</t>
  </si>
  <si>
    <t>TOTALS BY CATEGORY</t>
  </si>
  <si>
    <t>TOTAL AMOUNT AVAILABLE FOR ALLOCATION</t>
  </si>
  <si>
    <t>THIS REPORT INDICATES:</t>
  </si>
  <si>
    <t>MAY 1 ALLOCATION</t>
  </si>
  <si>
    <t>(SUPERINTENDENT'S SIGNATURE)</t>
  </si>
  <si>
    <t>(DATE SIGNED)</t>
  </si>
  <si>
    <t>702 KAR 3:246</t>
  </si>
  <si>
    <t>SECTION 3</t>
  </si>
  <si>
    <t>TOTAL FUND 1 EXPENDITURES FROM LATEST BUDGET</t>
  </si>
  <si>
    <t>LESS EXPENDITURES FOR DISTRICT WIDE PROGRAMS</t>
  </si>
  <si>
    <t>(To include pay for extended employment and extra duty for all</t>
  </si>
  <si>
    <t>employees as well as contingencies.)</t>
  </si>
  <si>
    <t>AMOUNT TO BE ALLOCATED TO SCHOOLS</t>
  </si>
  <si>
    <t>PROJECTED</t>
  </si>
  <si>
    <t>ALLOTMENT</t>
  </si>
  <si>
    <t>ACTUAL</t>
  </si>
  <si>
    <t>$ DIFFERENCE</t>
  </si>
  <si>
    <t>SCHOOL</t>
  </si>
  <si>
    <t>END 2ND MO</t>
  </si>
  <si>
    <t>@</t>
  </si>
  <si>
    <t>ADA FIRST</t>
  </si>
  <si>
    <t>IN SECTION 6</t>
  </si>
  <si>
    <t>ADA</t>
  </si>
  <si>
    <t>TWO MONTHS</t>
  </si>
  <si>
    <t>702 KAR 3:245</t>
  </si>
  <si>
    <t>END OF SECOND MONTH ALLOCATION ADJUSTMENT</t>
  </si>
  <si>
    <t>Certified % Change</t>
  </si>
  <si>
    <t>Step Increase</t>
  </si>
  <si>
    <t>Classified % Change</t>
  </si>
  <si>
    <t>CERTIFIED SALARY SCHEDULE</t>
  </si>
  <si>
    <t>21</t>
  </si>
  <si>
    <t>31</t>
  </si>
  <si>
    <t>CLASSIFIED HOURLY RATE SCHEDULE</t>
  </si>
  <si>
    <t>BMIA</t>
  </si>
  <si>
    <t>BUSD</t>
  </si>
  <si>
    <t>BUSM</t>
  </si>
  <si>
    <t>COSB</t>
  </si>
  <si>
    <t>CUST</t>
  </si>
  <si>
    <t>DAYC</t>
  </si>
  <si>
    <t>DAYS</t>
  </si>
  <si>
    <t>FINO</t>
  </si>
  <si>
    <t>FO2</t>
  </si>
  <si>
    <t>FSD1</t>
  </si>
  <si>
    <t>FSDV</t>
  </si>
  <si>
    <t>FSMA</t>
  </si>
  <si>
    <t>FSPA</t>
  </si>
  <si>
    <t>FSWO</t>
  </si>
  <si>
    <t>HLSA</t>
  </si>
  <si>
    <t>LCUS</t>
  </si>
  <si>
    <t>MWRI</t>
  </si>
  <si>
    <t>NURS</t>
  </si>
  <si>
    <t>REGI</t>
  </si>
  <si>
    <t>SEC2</t>
  </si>
  <si>
    <t>SOCW</t>
  </si>
  <si>
    <t>SSBK</t>
  </si>
  <si>
    <t>SUSE</t>
  </si>
  <si>
    <t>TEC2</t>
  </si>
  <si>
    <t>TECH</t>
  </si>
  <si>
    <t>CLASSIFIED ANNUAL SALARY SCHEDULE</t>
  </si>
  <si>
    <t>SCHOOL COUNCIL ALLOCATION</t>
  </si>
  <si>
    <t>SECTION 4</t>
  </si>
  <si>
    <t>STATUTORY</t>
  </si>
  <si>
    <t>CAP</t>
  </si>
  <si>
    <t>STUDENTS</t>
  </si>
  <si>
    <t>Kindergarten</t>
  </si>
  <si>
    <t>Primary 1</t>
  </si>
  <si>
    <t>Primary 2</t>
  </si>
  <si>
    <t>Primary 3</t>
  </si>
  <si>
    <t>Grade 4</t>
  </si>
  <si>
    <t>Grade 5</t>
  </si>
  <si>
    <t>Grade 6</t>
  </si>
  <si>
    <t>SBDM Position</t>
  </si>
  <si>
    <t>Minimum</t>
  </si>
  <si>
    <t>Allocation Level</t>
  </si>
  <si>
    <t>Per Pupil</t>
  </si>
  <si>
    <t>Ratio Type</t>
  </si>
  <si>
    <t>F</t>
  </si>
  <si>
    <t>R</t>
  </si>
  <si>
    <t>CERTIFIED STAFF LISTING</t>
  </si>
  <si>
    <t>BUDGET</t>
  </si>
  <si>
    <t>SBDM</t>
  </si>
  <si>
    <t>PORTION</t>
  </si>
  <si>
    <t>NAME</t>
  </si>
  <si>
    <t>EXP</t>
  </si>
  <si>
    <t>RANK</t>
  </si>
  <si>
    <t>POSITION</t>
  </si>
  <si>
    <t>CODE</t>
  </si>
  <si>
    <t>STAFFED</t>
  </si>
  <si>
    <t>CTL NO</t>
  </si>
  <si>
    <t>DESCRIPTION</t>
  </si>
  <si>
    <t xml:space="preserve">0301077 </t>
  </si>
  <si>
    <t>CHENOT, TIMOTHY</t>
  </si>
  <si>
    <t xml:space="preserve">VICE PRIN </t>
  </si>
  <si>
    <t>0</t>
  </si>
  <si>
    <t xml:space="preserve">                                                                                </t>
  </si>
  <si>
    <t xml:space="preserve">0301118 </t>
  </si>
  <si>
    <t>CLAYTON, TAMARA</t>
  </si>
  <si>
    <t>ELEM TEACH</t>
  </si>
  <si>
    <t>23</t>
  </si>
  <si>
    <t>CLIFTON, TROY</t>
  </si>
  <si>
    <t>ELLISON, JACQUELINE</t>
  </si>
  <si>
    <t>HARRIS, SHIRLEY</t>
  </si>
  <si>
    <t>LEOPOLD, RYAN</t>
  </si>
  <si>
    <t>TUCKER, CHELSEA</t>
  </si>
  <si>
    <t>YOUNG, CAMI</t>
  </si>
  <si>
    <t xml:space="preserve">LIBR      </t>
  </si>
  <si>
    <t>25</t>
  </si>
  <si>
    <t>CHENOT, HOLLY</t>
  </si>
  <si>
    <t xml:space="preserve">PRI TEACH </t>
  </si>
  <si>
    <t>CLIFTON, SHERRY</t>
  </si>
  <si>
    <t>GRIFFITH, JULIE</t>
  </si>
  <si>
    <t>HERNANDEZ, GILLIAN</t>
  </si>
  <si>
    <t>PRESTON, MEGAN</t>
  </si>
  <si>
    <t>STAFFORD, JENNIFER</t>
  </si>
  <si>
    <t>STUEMPEL, HEATHER</t>
  </si>
  <si>
    <t>WISEMAN, NICOLE</t>
  </si>
  <si>
    <t>DRAGAN, HEATHER</t>
  </si>
  <si>
    <t xml:space="preserve">PRIN      </t>
  </si>
  <si>
    <t xml:space="preserve">0301031 </t>
  </si>
  <si>
    <t>MINSER, AMANDA</t>
  </si>
  <si>
    <t xml:space="preserve">COUNS     </t>
  </si>
  <si>
    <t xml:space="preserve">0301012 </t>
  </si>
  <si>
    <t>HEMMERLE, MADELINE</t>
  </si>
  <si>
    <t>KINDERGART</t>
  </si>
  <si>
    <t>WARTMAN-REEDY, SARAH</t>
  </si>
  <si>
    <t>YOUNG, HEATHER</t>
  </si>
  <si>
    <t>SUMMARY OF CERTIFIED STAFFING</t>
  </si>
  <si>
    <t>Over/Under</t>
  </si>
  <si>
    <t>Position</t>
  </si>
  <si>
    <t>Allocated</t>
  </si>
  <si>
    <t>Staffed</t>
  </si>
  <si>
    <t>Staffed Salary</t>
  </si>
  <si>
    <t>Count</t>
  </si>
  <si>
    <t>Value</t>
  </si>
  <si>
    <t>Amount</t>
  </si>
  <si>
    <t>Salary</t>
  </si>
  <si>
    <t>TOTAL UNASSIGNED</t>
  </si>
  <si>
    <t>@ USED REF TEACHING POSITION FOR ADM.</t>
  </si>
  <si>
    <t>SECTION 5</t>
  </si>
  <si>
    <t>CLASSIFIED STAFF</t>
  </si>
  <si>
    <t>DETAIL ON CLASSIFIED STAFF SBDM ALLOTMENT</t>
  </si>
  <si>
    <t>ORG</t>
  </si>
  <si>
    <t>YEARS</t>
  </si>
  <si>
    <t>HOURS</t>
  </si>
  <si>
    <t>ANNUAL</t>
  </si>
  <si>
    <t>HOURLY</t>
  </si>
  <si>
    <t>LEVEL</t>
  </si>
  <si>
    <t>EXP.</t>
  </si>
  <si>
    <t>PER DAY</t>
  </si>
  <si>
    <t>WAGE</t>
  </si>
  <si>
    <t>COOPER, JESSICA</t>
  </si>
  <si>
    <t>1</t>
  </si>
  <si>
    <t>30</t>
  </si>
  <si>
    <t>3</t>
  </si>
  <si>
    <t>MULLINS, JENNIFER</t>
  </si>
  <si>
    <t>2</t>
  </si>
  <si>
    <t>UNSELL, AMANDA</t>
  </si>
  <si>
    <t xml:space="preserve">0301087 </t>
  </si>
  <si>
    <t>REYNOLDS, ERIC</t>
  </si>
  <si>
    <t>BLOSSER, MEGAN</t>
  </si>
  <si>
    <t>15</t>
  </si>
  <si>
    <t>LEVY, CONNIE</t>
  </si>
  <si>
    <t>MCBRIDE, LORRIE</t>
  </si>
  <si>
    <t>NOTE: STAFFED AND ALLOCATION SHOULD BE THE SAME. IF STAFFED IS HIGHER THE SURPLUS POSITIONS SHOULD BE MOVED TO UNASSIGNED</t>
  </si>
  <si>
    <t>SUMMARY OF CLASSIFIED STAFFING</t>
  </si>
  <si>
    <t>UNASSIGNED CLASSIFIED STAFF</t>
  </si>
  <si>
    <t>SCHOOL BUDGET REPORT TO SUPERINTENDENT</t>
  </si>
  <si>
    <t>OBJECT</t>
  </si>
  <si>
    <t>BOARD</t>
  </si>
  <si>
    <t>COUNCIL</t>
  </si>
  <si>
    <t>DETERMINATION</t>
  </si>
  <si>
    <t xml:space="preserve">0110  </t>
  </si>
  <si>
    <t xml:space="preserve">0130  </t>
  </si>
  <si>
    <t>FRINGE BENEFITS</t>
  </si>
  <si>
    <t>GRAND TOTAL ALL COSTS</t>
  </si>
  <si>
    <t>GRAND TOTAL ALLOCATION</t>
  </si>
  <si>
    <t>THIS FORM IS TO BE RETURNED TO THE SUPERINTENDENT WITH THE COLUMN FOR "COUNCIL DETERMINATION" COMPLETED.</t>
  </si>
  <si>
    <t>THE TOTAL FOR "COUNCIL DETERMINATION" SHALL NOT EXCEED THE GRAND TOTAL ALLOCATED.  THE COMPLETED FORM IS DUE MAY 1.</t>
  </si>
  <si>
    <t>(SCHOOL PRINCIPAL'S SIGNATURE)</t>
  </si>
  <si>
    <t>(DATE APPROVED BY THE SCHOOL COUNCIL)</t>
  </si>
  <si>
    <t>(DATE RECEIVED BY SUPREINTENDENT)</t>
  </si>
  <si>
    <t>2023-2024</t>
  </si>
  <si>
    <t>SECTION 7</t>
  </si>
  <si>
    <t>0301059</t>
  </si>
  <si>
    <t>STAFFING NOT INCLUDED IN ALLOCATION - PRESCHOOL, FED GRANTS, ITINERANTS</t>
  </si>
  <si>
    <t>Those staff excluded from allocation:  preschool, sped, itinerants</t>
  </si>
  <si>
    <t>SECTION 7 STAFF</t>
  </si>
  <si>
    <t>SECTION 6 SUPPLIES ($ TO SPEND)</t>
  </si>
  <si>
    <t>SECTION 7  OTHER</t>
  </si>
  <si>
    <t>Scales, Tucker, Watson, Yates, Rodgers, Seyberth, Eddy, Harris, Hack, 1 vacant presc aide J.Hall (.5), nurse (.6), nurse aide (.6)</t>
  </si>
  <si>
    <t>POTTER, SAMANTHA</t>
  </si>
  <si>
    <t>ANDERTON, VINCENT</t>
  </si>
  <si>
    <t>0101077</t>
  </si>
  <si>
    <t>0101118</t>
  </si>
  <si>
    <t>0101059</t>
  </si>
  <si>
    <t>MIDDLE SCHOOL</t>
  </si>
  <si>
    <t>0110</t>
  </si>
  <si>
    <t>0101031</t>
  </si>
  <si>
    <t>0101121</t>
  </si>
  <si>
    <t>0130</t>
  </si>
  <si>
    <t>0101087</t>
  </si>
  <si>
    <t>0101987</t>
  </si>
  <si>
    <t>(6-30-24 ADA 345 x $100/PUPIL)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</si>
</sst>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_);\(\$#,##0.0\)"/>
    <numFmt numFmtId="165" formatCode="0.0000%"/>
    <numFmt numFmtId="166" formatCode="#,##0.0_);\(#,##0.0\)"/>
    <numFmt numFmtId="167" formatCode="\$#,##0.00_);\(\$#,##0.00\)"/>
    <numFmt numFmtId="168" formatCode="\$#,##0_);\(\$#,##0\)"/>
    <numFmt numFmtId="169" formatCode="\$#,###.#0_);\(\$#,###.#0_)"/>
    <numFmt numFmtId="170" formatCode="\$##,#0_;\(\$#,##0_ \)"/>
    <numFmt numFmtId="171" formatCode="\$#,###.##;\(\$#,###.##\)"/>
    <numFmt numFmtId="172" formatCode="\$#,###.##\);\(\$#,###.##\)"/>
    <numFmt numFmtId="173" formatCode="\$#,###;\(\$#,###\)"/>
    <numFmt numFmtId="174" formatCode="dd\-mmm\-yy_)"/>
    <numFmt numFmtId="175" formatCode="0.0"/>
    <numFmt numFmtId="176" formatCode="#0.00"/>
    <numFmt numFmtId="177" formatCode="#0.0"/>
    <numFmt numFmtId="178" formatCode="0;\-0;;@"/>
    <numFmt numFmtId="179" formatCode="_(* #,##0.0_);_(* \(#,##0.0\);_(* &quot;-&quot;??_);_(@_)"/>
    <numFmt numFmtId="180" formatCode="_(* #,##0_);_(* \(#,##0\);_(* &quot;-&quot;??_);_(@_)"/>
    <numFmt numFmtId="181" formatCode="_(&quot;$&quot;* #,##0_);_(&quot;$&quot;* \(#,##0\);_(&quot;$&quot;* &quot;-&quot;??_);_(@_)"/>
  </numFmts>
  <fonts count="22" x14ac:knownFonts="1">
    <font>
      <sz val="11"/>
      <name val="Calibri"/>
      <family val="2"/>
      <scheme val="minor"/>
    </font>
    <font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color rgb="FF8A2BE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b/>
      <sz val="12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3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D3D3D3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82">
    <xf numFmtId="0" fontId="0" fillId="0" borderId="0" xfId="0"/>
    <xf numFmtId="0" fontId="1" fillId="0" borderId="0" xfId="0" applyNumberFormat="1" applyFont="1"/>
    <xf numFmtId="15" fontId="1" fillId="0" borderId="0" xfId="0" applyNumberFormat="1" applyFont="1"/>
    <xf numFmtId="0" fontId="3" fillId="0" borderId="0" xfId="0" applyNumberFormat="1" applyFont="1"/>
    <xf numFmtId="0" fontId="3" fillId="0" borderId="1" xfId="0" applyNumberFormat="1" applyFont="1" applyBorder="1" applyAlignment="1">
      <alignment horizontal="right"/>
    </xf>
    <xf numFmtId="0" fontId="4" fillId="0" borderId="2" xfId="0" applyNumberFormat="1" applyFont="1" applyBorder="1"/>
    <xf numFmtId="0" fontId="0" fillId="0" borderId="3" xfId="0" applyBorder="1"/>
    <xf numFmtId="0" fontId="5" fillId="0" borderId="4" xfId="0" applyNumberFormat="1" applyFont="1" applyBorder="1" applyAlignment="1">
      <alignment horizontal="right"/>
    </xf>
    <xf numFmtId="0" fontId="3" fillId="0" borderId="0" xfId="0" quotePrefix="1" applyNumberFormat="1" applyFont="1"/>
    <xf numFmtId="0" fontId="4" fillId="0" borderId="0" xfId="0" quotePrefix="1" applyNumberFormat="1" applyFont="1"/>
    <xf numFmtId="164" fontId="3" fillId="0" borderId="0" xfId="0" applyNumberFormat="1" applyFont="1"/>
    <xf numFmtId="0" fontId="6" fillId="0" borderId="0" xfId="0" applyNumberFormat="1" applyFont="1"/>
    <xf numFmtId="165" fontId="7" fillId="0" borderId="4" xfId="0" applyNumberFormat="1" applyFont="1" applyBorder="1"/>
    <xf numFmtId="0" fontId="2" fillId="0" borderId="0" xfId="0" applyNumberFormat="1" applyFont="1"/>
    <xf numFmtId="0" fontId="3" fillId="0" borderId="5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0" fillId="0" borderId="8" xfId="0" applyBorder="1"/>
    <xf numFmtId="0" fontId="3" fillId="0" borderId="9" xfId="0" quotePrefix="1" applyNumberFormat="1" applyFont="1" applyBorder="1" applyAlignment="1">
      <alignment horizontal="center"/>
    </xf>
    <xf numFmtId="0" fontId="3" fillId="0" borderId="9" xfId="0" applyNumberFormat="1" applyFont="1" applyBorder="1"/>
    <xf numFmtId="0" fontId="3" fillId="0" borderId="8" xfId="0" applyNumberFormat="1" applyFont="1" applyBorder="1"/>
    <xf numFmtId="0" fontId="8" fillId="2" borderId="8" xfId="0" applyNumberFormat="1" applyFont="1" applyFill="1" applyBorder="1"/>
    <xf numFmtId="0" fontId="5" fillId="2" borderId="9" xfId="0" applyNumberFormat="1" applyFont="1" applyFill="1" applyBorder="1"/>
    <xf numFmtId="0" fontId="3" fillId="0" borderId="8" xfId="0" quotePrefix="1" applyNumberFormat="1" applyFont="1" applyBorder="1"/>
    <xf numFmtId="10" fontId="3" fillId="0" borderId="9" xfId="0" applyNumberFormat="1" applyFont="1" applyBorder="1"/>
    <xf numFmtId="0" fontId="5" fillId="0" borderId="0" xfId="0" applyNumberFormat="1" applyFont="1"/>
    <xf numFmtId="0" fontId="0" fillId="0" borderId="10" xfId="0" applyBorder="1"/>
    <xf numFmtId="0" fontId="9" fillId="0" borderId="10" xfId="0" applyNumberFormat="1" applyFont="1" applyBorder="1"/>
    <xf numFmtId="0" fontId="10" fillId="0" borderId="0" xfId="0" applyNumberFormat="1" applyFont="1"/>
    <xf numFmtId="39" fontId="6" fillId="0" borderId="0" xfId="0" applyNumberFormat="1" applyFont="1"/>
    <xf numFmtId="166" fontId="6" fillId="0" borderId="0" xfId="0" applyNumberFormat="1" applyFont="1"/>
    <xf numFmtId="10" fontId="10" fillId="0" borderId="11" xfId="0" applyNumberFormat="1" applyFont="1" applyBorder="1"/>
    <xf numFmtId="0" fontId="6" fillId="0" borderId="11" xfId="0" applyNumberFormat="1" applyFont="1" applyBorder="1"/>
    <xf numFmtId="39" fontId="6" fillId="0" borderId="11" xfId="0" applyNumberFormat="1" applyFont="1" applyBorder="1"/>
    <xf numFmtId="166" fontId="6" fillId="0" borderId="11" xfId="0" applyNumberFormat="1" applyFont="1" applyBorder="1"/>
    <xf numFmtId="167" fontId="6" fillId="0" borderId="0" xfId="0" applyNumberFormat="1" applyFont="1"/>
    <xf numFmtId="168" fontId="6" fillId="0" borderId="0" xfId="0" applyNumberFormat="1" applyFont="1"/>
    <xf numFmtId="0" fontId="10" fillId="2" borderId="0" xfId="0" applyNumberFormat="1" applyFont="1" applyFill="1"/>
    <xf numFmtId="39" fontId="10" fillId="2" borderId="0" xfId="0" applyNumberFormat="1" applyFont="1" applyFill="1"/>
    <xf numFmtId="0" fontId="0" fillId="0" borderId="11" xfId="0" applyBorder="1"/>
    <xf numFmtId="0" fontId="10" fillId="0" borderId="7" xfId="0" applyNumberFormat="1" applyFont="1" applyBorder="1"/>
    <xf numFmtId="0" fontId="6" fillId="0" borderId="7" xfId="0" applyNumberFormat="1" applyFont="1" applyBorder="1"/>
    <xf numFmtId="167" fontId="6" fillId="0" borderId="7" xfId="0" applyNumberFormat="1" applyFont="1" applyBorder="1"/>
    <xf numFmtId="168" fontId="6" fillId="0" borderId="7" xfId="0" applyNumberFormat="1" applyFont="1" applyBorder="1"/>
    <xf numFmtId="167" fontId="10" fillId="0" borderId="0" xfId="0" applyNumberFormat="1" applyFont="1"/>
    <xf numFmtId="168" fontId="6" fillId="0" borderId="11" xfId="0" applyNumberFormat="1" applyFont="1" applyBorder="1"/>
    <xf numFmtId="167" fontId="6" fillId="0" borderId="11" xfId="0" applyNumberFormat="1" applyFont="1" applyBorder="1"/>
    <xf numFmtId="0" fontId="6" fillId="0" borderId="10" xfId="0" applyNumberFormat="1" applyFont="1" applyBorder="1"/>
    <xf numFmtId="164" fontId="3" fillId="0" borderId="10" xfId="0" applyNumberFormat="1" applyFont="1" applyBorder="1"/>
    <xf numFmtId="167" fontId="3" fillId="0" borderId="10" xfId="0" applyNumberFormat="1" applyFont="1" applyBorder="1"/>
    <xf numFmtId="0" fontId="3" fillId="0" borderId="7" xfId="0" applyNumberFormat="1" applyFont="1" applyBorder="1"/>
    <xf numFmtId="0" fontId="0" fillId="0" borderId="7" xfId="0" applyBorder="1"/>
    <xf numFmtId="168" fontId="5" fillId="0" borderId="12" xfId="0" applyNumberFormat="1" applyFont="1" applyBorder="1"/>
    <xf numFmtId="168" fontId="5" fillId="0" borderId="13" xfId="0" applyNumberFormat="1" applyFont="1" applyBorder="1"/>
    <xf numFmtId="168" fontId="3" fillId="0" borderId="0" xfId="0" applyNumberFormat="1" applyFont="1"/>
    <xf numFmtId="167" fontId="3" fillId="0" borderId="0" xfId="0" applyNumberFormat="1" applyFont="1"/>
    <xf numFmtId="10" fontId="3" fillId="0" borderId="11" xfId="0" applyNumberFormat="1" applyFont="1" applyBorder="1"/>
    <xf numFmtId="167" fontId="3" fillId="0" borderId="11" xfId="0" applyNumberFormat="1" applyFont="1" applyBorder="1" applyAlignment="1">
      <alignment horizontal="left"/>
    </xf>
    <xf numFmtId="167" fontId="3" fillId="0" borderId="11" xfId="0" applyNumberFormat="1" applyFont="1" applyBorder="1"/>
    <xf numFmtId="0" fontId="10" fillId="0" borderId="10" xfId="0" applyNumberFormat="1" applyFont="1" applyBorder="1"/>
    <xf numFmtId="0" fontId="3" fillId="0" borderId="14" xfId="0" applyNumberFormat="1" applyFont="1" applyBorder="1"/>
    <xf numFmtId="168" fontId="3" fillId="0" borderId="10" xfId="0" applyNumberFormat="1" applyFont="1" applyBorder="1"/>
    <xf numFmtId="0" fontId="3" fillId="0" borderId="11" xfId="0" applyNumberFormat="1" applyFont="1" applyBorder="1"/>
    <xf numFmtId="168" fontId="3" fillId="0" borderId="11" xfId="0" applyNumberFormat="1" applyFont="1" applyBorder="1"/>
    <xf numFmtId="37" fontId="3" fillId="0" borderId="0" xfId="0" applyNumberFormat="1" applyFont="1"/>
    <xf numFmtId="0" fontId="11" fillId="0" borderId="0" xfId="0" applyNumberFormat="1" applyFont="1"/>
    <xf numFmtId="0" fontId="0" fillId="0" borderId="15" xfId="0" applyBorder="1"/>
    <xf numFmtId="0" fontId="0" fillId="0" borderId="16" xfId="0" applyBorder="1"/>
    <xf numFmtId="0" fontId="3" fillId="0" borderId="17" xfId="0" applyNumberFormat="1" applyFont="1" applyBorder="1"/>
    <xf numFmtId="0" fontId="0" fillId="0" borderId="18" xfId="0" applyBorder="1"/>
    <xf numFmtId="0" fontId="3" fillId="0" borderId="15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/>
    <xf numFmtId="0" fontId="0" fillId="0" borderId="21" xfId="0" applyBorder="1"/>
    <xf numFmtId="0" fontId="3" fillId="0" borderId="20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39" fontId="3" fillId="0" borderId="23" xfId="0" applyNumberFormat="1" applyFont="1" applyBorder="1"/>
    <xf numFmtId="167" fontId="3" fillId="0" borderId="23" xfId="0" applyNumberFormat="1" applyFont="1" applyBorder="1"/>
    <xf numFmtId="167" fontId="3" fillId="0" borderId="25" xfId="0" applyNumberFormat="1" applyFont="1" applyBorder="1"/>
    <xf numFmtId="0" fontId="5" fillId="0" borderId="26" xfId="0" applyNumberFormat="1" applyFont="1" applyBorder="1"/>
    <xf numFmtId="39" fontId="3" fillId="0" borderId="27" xfId="0" applyNumberFormat="1" applyFont="1" applyBorder="1"/>
    <xf numFmtId="167" fontId="3" fillId="0" borderId="27" xfId="0" applyNumberFormat="1" applyFont="1" applyBorder="1"/>
    <xf numFmtId="167" fontId="3" fillId="0" borderId="28" xfId="0" applyNumberFormat="1" applyFont="1" applyBorder="1"/>
    <xf numFmtId="0" fontId="0" fillId="0" borderId="29" xfId="0" applyBorder="1"/>
    <xf numFmtId="0" fontId="0" fillId="0" borderId="17" xfId="0" applyBorder="1"/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12" fillId="0" borderId="4" xfId="0" applyNumberFormat="1" applyFont="1" applyBorder="1" applyAlignment="1">
      <alignment horizontal="center"/>
    </xf>
    <xf numFmtId="0" fontId="13" fillId="0" borderId="19" xfId="0" applyNumberFormat="1" applyFont="1" applyBorder="1" applyAlignment="1">
      <alignment horizontal="center"/>
    </xf>
    <xf numFmtId="0" fontId="13" fillId="0" borderId="32" xfId="0" applyNumberFormat="1" applyFont="1" applyBorder="1" applyAlignment="1">
      <alignment horizontal="center"/>
    </xf>
    <xf numFmtId="0" fontId="12" fillId="0" borderId="20" xfId="0" applyNumberFormat="1" applyFont="1" applyBorder="1"/>
    <xf numFmtId="0" fontId="13" fillId="0" borderId="22" xfId="0" applyNumberFormat="1" applyFont="1" applyBorder="1" applyAlignment="1">
      <alignment horizontal="center"/>
    </xf>
    <xf numFmtId="0" fontId="0" fillId="0" borderId="22" xfId="0" applyBorder="1"/>
    <xf numFmtId="169" fontId="14" fillId="0" borderId="33" xfId="0" applyNumberFormat="1" applyFont="1" applyBorder="1"/>
    <xf numFmtId="0" fontId="0" fillId="0" borderId="34" xfId="0" applyBorder="1"/>
    <xf numFmtId="169" fontId="14" fillId="0" borderId="35" xfId="0" applyNumberFormat="1" applyFont="1" applyBorder="1"/>
    <xf numFmtId="0" fontId="0" fillId="0" borderId="32" xfId="0" applyBorder="1"/>
    <xf numFmtId="169" fontId="14" fillId="0" borderId="32" xfId="0" applyNumberFormat="1" applyFont="1" applyBorder="1"/>
    <xf numFmtId="169" fontId="14" fillId="2" borderId="32" xfId="0" applyNumberFormat="1" applyFont="1" applyFill="1" applyBorder="1"/>
    <xf numFmtId="0" fontId="7" fillId="0" borderId="20" xfId="0" applyNumberFormat="1" applyFont="1" applyBorder="1"/>
    <xf numFmtId="169" fontId="14" fillId="0" borderId="20" xfId="0" applyNumberFormat="1" applyFont="1" applyBorder="1"/>
    <xf numFmtId="169" fontId="14" fillId="0" borderId="22" xfId="0" applyNumberFormat="1" applyFont="1" applyBorder="1"/>
    <xf numFmtId="0" fontId="0" fillId="2" borderId="36" xfId="0" applyFill="1" applyBorder="1"/>
    <xf numFmtId="169" fontId="14" fillId="0" borderId="21" xfId="0" applyNumberFormat="1" applyFont="1" applyBorder="1"/>
    <xf numFmtId="0" fontId="0" fillId="2" borderId="19" xfId="0" applyFill="1" applyBorder="1"/>
    <xf numFmtId="0" fontId="0" fillId="0" borderId="19" xfId="0" applyBorder="1"/>
    <xf numFmtId="0" fontId="0" fillId="0" borderId="37" xfId="0" applyBorder="1"/>
    <xf numFmtId="0" fontId="0" fillId="2" borderId="22" xfId="0" applyFill="1" applyBorder="1"/>
    <xf numFmtId="0" fontId="7" fillId="0" borderId="29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12" fillId="0" borderId="0" xfId="0" applyNumberFormat="1" applyFont="1"/>
    <xf numFmtId="170" fontId="3" fillId="0" borderId="39" xfId="0" applyNumberFormat="1" applyFont="1" applyBorder="1"/>
    <xf numFmtId="171" fontId="3" fillId="0" borderId="39" xfId="0" applyNumberFormat="1" applyFont="1" applyBorder="1"/>
    <xf numFmtId="0" fontId="7" fillId="0" borderId="0" xfId="0" applyNumberFormat="1" applyFont="1"/>
    <xf numFmtId="0" fontId="13" fillId="0" borderId="29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18" xfId="0" applyNumberFormat="1" applyFont="1" applyBorder="1" applyAlignment="1">
      <alignment horizontal="center"/>
    </xf>
    <xf numFmtId="0" fontId="13" fillId="0" borderId="37" xfId="0" applyNumberFormat="1" applyFont="1" applyBorder="1" applyAlignment="1">
      <alignment horizontal="center"/>
    </xf>
    <xf numFmtId="0" fontId="14" fillId="0" borderId="37" xfId="0" applyNumberFormat="1" applyFont="1" applyBorder="1" applyAlignment="1">
      <alignment horizontal="center"/>
    </xf>
    <xf numFmtId="0" fontId="13" fillId="0" borderId="40" xfId="0" applyNumberFormat="1" applyFont="1" applyBorder="1"/>
    <xf numFmtId="169" fontId="14" fillId="0" borderId="40" xfId="0" applyNumberFormat="1" applyFont="1" applyBorder="1"/>
    <xf numFmtId="169" fontId="13" fillId="0" borderId="40" xfId="0" applyNumberFormat="1" applyFont="1" applyBorder="1"/>
    <xf numFmtId="172" fontId="14" fillId="0" borderId="40" xfId="0" applyNumberFormat="1" applyFont="1" applyBorder="1"/>
    <xf numFmtId="173" fontId="3" fillId="0" borderId="0" xfId="0" applyNumberFormat="1" applyFont="1"/>
    <xf numFmtId="173" fontId="3" fillId="0" borderId="39" xfId="0" applyNumberFormat="1" applyFont="1" applyBorder="1"/>
    <xf numFmtId="173" fontId="3" fillId="0" borderId="11" xfId="0" applyNumberFormat="1" applyFont="1" applyBorder="1"/>
    <xf numFmtId="0" fontId="0" fillId="0" borderId="1" xfId="0" applyBorder="1"/>
    <xf numFmtId="0" fontId="13" fillId="0" borderId="4" xfId="0" applyNumberFormat="1" applyFont="1" applyBorder="1" applyAlignment="1">
      <alignment horizontal="center"/>
    </xf>
    <xf numFmtId="169" fontId="13" fillId="0" borderId="33" xfId="0" applyNumberFormat="1" applyFont="1" applyBorder="1"/>
    <xf numFmtId="0" fontId="0" fillId="0" borderId="35" xfId="0" applyBorder="1"/>
    <xf numFmtId="0" fontId="0" fillId="2" borderId="32" xfId="0" applyFill="1" applyBorder="1"/>
    <xf numFmtId="0" fontId="9" fillId="0" borderId="0" xfId="0" applyNumberFormat="1" applyFont="1"/>
    <xf numFmtId="10" fontId="9" fillId="0" borderId="0" xfId="0" applyNumberFormat="1" applyFont="1"/>
    <xf numFmtId="0" fontId="9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center"/>
    </xf>
    <xf numFmtId="0" fontId="0" fillId="2" borderId="0" xfId="0" applyFill="1"/>
    <xf numFmtId="0" fontId="8" fillId="2" borderId="0" xfId="0" applyNumberFormat="1" applyFont="1" applyFill="1" applyAlignment="1">
      <alignment horizontal="right"/>
    </xf>
    <xf numFmtId="0" fontId="9" fillId="2" borderId="0" xfId="0" applyNumberFormat="1" applyFont="1" applyFill="1" applyAlignment="1">
      <alignment horizontal="right"/>
    </xf>
    <xf numFmtId="167" fontId="16" fillId="0" borderId="0" xfId="0" applyNumberFormat="1" applyFont="1"/>
    <xf numFmtId="0" fontId="8" fillId="2" borderId="0" xfId="0" applyNumberFormat="1" applyFont="1" applyFill="1"/>
    <xf numFmtId="0" fontId="13" fillId="0" borderId="41" xfId="0" applyNumberFormat="1" applyFont="1" applyBorder="1"/>
    <xf numFmtId="0" fontId="13" fillId="0" borderId="7" xfId="0" applyNumberFormat="1" applyFont="1" applyBorder="1" applyAlignment="1">
      <alignment horizontal="center"/>
    </xf>
    <xf numFmtId="0" fontId="13" fillId="0" borderId="42" xfId="0" applyNumberFormat="1" applyFont="1" applyBorder="1" applyAlignment="1">
      <alignment horizontal="center"/>
    </xf>
    <xf numFmtId="0" fontId="13" fillId="0" borderId="43" xfId="0" applyNumberFormat="1" applyFont="1" applyBorder="1"/>
    <xf numFmtId="0" fontId="13" fillId="0" borderId="11" xfId="0" applyNumberFormat="1" applyFont="1" applyBorder="1" applyAlignment="1">
      <alignment horizontal="center"/>
    </xf>
    <xf numFmtId="0" fontId="13" fillId="0" borderId="44" xfId="0" applyNumberFormat="1" applyFont="1" applyBorder="1" applyAlignment="1">
      <alignment horizontal="center"/>
    </xf>
    <xf numFmtId="37" fontId="6" fillId="0" borderId="0" xfId="0" applyNumberFormat="1" applyFont="1"/>
    <xf numFmtId="166" fontId="6" fillId="0" borderId="45" xfId="0" applyNumberFormat="1" applyFont="1" applyBorder="1"/>
    <xf numFmtId="37" fontId="6" fillId="0" borderId="45" xfId="0" applyNumberFormat="1" applyFont="1" applyBorder="1"/>
    <xf numFmtId="0" fontId="7" fillId="0" borderId="11" xfId="0" applyNumberFormat="1" applyFont="1" applyBorder="1"/>
    <xf numFmtId="0" fontId="7" fillId="0" borderId="11" xfId="0" applyNumberFormat="1" applyFont="1" applyBorder="1" applyAlignment="1">
      <alignment horizontal="center"/>
    </xf>
    <xf numFmtId="175" fontId="6" fillId="0" borderId="0" xfId="0" applyNumberFormat="1" applyFont="1"/>
    <xf numFmtId="0" fontId="6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0" fillId="0" borderId="42" xfId="0" applyBorder="1"/>
    <xf numFmtId="0" fontId="9" fillId="0" borderId="11" xfId="0" applyNumberFormat="1" applyFont="1" applyBorder="1" applyAlignment="1">
      <alignment horizontal="center"/>
    </xf>
    <xf numFmtId="0" fontId="9" fillId="0" borderId="4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7" fontId="12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0" fontId="0" fillId="0" borderId="45" xfId="0" applyBorder="1"/>
    <xf numFmtId="0" fontId="6" fillId="0" borderId="45" xfId="0" applyNumberFormat="1" applyFont="1" applyBorder="1" applyAlignment="1">
      <alignment horizontal="center"/>
    </xf>
    <xf numFmtId="0" fontId="6" fillId="0" borderId="47" xfId="0" applyNumberFormat="1" applyFont="1" applyBorder="1" applyAlignment="1">
      <alignment horizontal="center"/>
    </xf>
    <xf numFmtId="0" fontId="0" fillId="0" borderId="40" xfId="0" applyBorder="1"/>
    <xf numFmtId="0" fontId="6" fillId="0" borderId="40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39" fontId="18" fillId="0" borderId="0" xfId="0" applyNumberFormat="1" applyFont="1" applyAlignment="1">
      <alignment horizontal="center"/>
    </xf>
    <xf numFmtId="39" fontId="18" fillId="0" borderId="0" xfId="0" applyNumberFormat="1" applyFont="1"/>
    <xf numFmtId="168" fontId="18" fillId="0" borderId="0" xfId="0" applyNumberFormat="1" applyFont="1"/>
    <xf numFmtId="168" fontId="18" fillId="0" borderId="8" xfId="0" applyNumberFormat="1" applyFont="1" applyBorder="1"/>
    <xf numFmtId="0" fontId="17" fillId="0" borderId="48" xfId="0" applyNumberFormat="1" applyFont="1" applyBorder="1"/>
    <xf numFmtId="39" fontId="19" fillId="0" borderId="40" xfId="0" applyNumberFormat="1" applyFont="1" applyBorder="1" applyAlignment="1">
      <alignment horizontal="center"/>
    </xf>
    <xf numFmtId="39" fontId="19" fillId="0" borderId="40" xfId="0" applyNumberFormat="1" applyFont="1" applyBorder="1"/>
    <xf numFmtId="168" fontId="19" fillId="0" borderId="40" xfId="0" applyNumberFormat="1" applyFont="1" applyBorder="1"/>
    <xf numFmtId="168" fontId="19" fillId="0" borderId="49" xfId="0" applyNumberFormat="1" applyFont="1" applyBorder="1"/>
    <xf numFmtId="0" fontId="0" fillId="0" borderId="52" xfId="0" applyBorder="1"/>
    <xf numFmtId="0" fontId="0" fillId="0" borderId="53" xfId="0" applyBorder="1"/>
    <xf numFmtId="39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0" fontId="0" fillId="0" borderId="55" xfId="0" applyBorder="1"/>
    <xf numFmtId="0" fontId="0" fillId="0" borderId="57" xfId="0" applyBorder="1"/>
    <xf numFmtId="39" fontId="6" fillId="0" borderId="57" xfId="0" applyNumberFormat="1" applyFont="1" applyBorder="1" applyAlignment="1">
      <alignment horizontal="center"/>
    </xf>
    <xf numFmtId="37" fontId="6" fillId="0" borderId="57" xfId="0" applyNumberFormat="1" applyFont="1" applyBorder="1" applyAlignment="1">
      <alignment horizontal="center"/>
    </xf>
    <xf numFmtId="0" fontId="0" fillId="0" borderId="58" xfId="0" applyBorder="1"/>
    <xf numFmtId="0" fontId="7" fillId="0" borderId="52" xfId="0" applyNumberFormat="1" applyFont="1" applyBorder="1" applyAlignment="1">
      <alignment horizontal="center"/>
    </xf>
    <xf numFmtId="0" fontId="9" fillId="0" borderId="52" xfId="0" applyNumberFormat="1" applyFont="1" applyBorder="1" applyAlignment="1">
      <alignment horizontal="center"/>
    </xf>
    <xf numFmtId="0" fontId="7" fillId="0" borderId="39" xfId="0" applyNumberFormat="1" applyFont="1" applyBorder="1" applyAlignment="1">
      <alignment horizontal="center"/>
    </xf>
    <xf numFmtId="0" fontId="0" fillId="0" borderId="39" xfId="0" applyBorder="1"/>
    <xf numFmtId="0" fontId="9" fillId="0" borderId="39" xfId="0" applyNumberFormat="1" applyFont="1" applyBorder="1" applyAlignment="1">
      <alignment horizontal="center"/>
    </xf>
    <xf numFmtId="0" fontId="9" fillId="0" borderId="60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left"/>
    </xf>
    <xf numFmtId="37" fontId="18" fillId="0" borderId="0" xfId="0" applyNumberFormat="1" applyFont="1"/>
    <xf numFmtId="37" fontId="18" fillId="0" borderId="8" xfId="0" applyNumberFormat="1" applyFont="1" applyBorder="1"/>
    <xf numFmtId="167" fontId="19" fillId="0" borderId="40" xfId="0" applyNumberFormat="1" applyFont="1" applyBorder="1"/>
    <xf numFmtId="0" fontId="8" fillId="0" borderId="61" xfId="0" applyNumberFormat="1" applyFont="1" applyBorder="1" applyAlignment="1">
      <alignment horizontal="center"/>
    </xf>
    <xf numFmtId="0" fontId="8" fillId="0" borderId="41" xfId="0" applyNumberFormat="1" applyFont="1" applyBorder="1"/>
    <xf numFmtId="0" fontId="0" fillId="2" borderId="61" xfId="0" applyFill="1" applyBorder="1"/>
    <xf numFmtId="0" fontId="8" fillId="0" borderId="62" xfId="0" applyNumberFormat="1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2" borderId="62" xfId="0" applyFill="1" applyBorder="1"/>
    <xf numFmtId="0" fontId="8" fillId="0" borderId="43" xfId="0" applyNumberFormat="1" applyFont="1" applyBorder="1"/>
    <xf numFmtId="0" fontId="18" fillId="0" borderId="63" xfId="0" quotePrefix="1" applyNumberFormat="1" applyFont="1" applyBorder="1"/>
    <xf numFmtId="0" fontId="3" fillId="0" borderId="26" xfId="0" applyNumberFormat="1" applyFont="1" applyBorder="1"/>
    <xf numFmtId="0" fontId="0" fillId="0" borderId="64" xfId="0" applyBorder="1"/>
    <xf numFmtId="168" fontId="18" fillId="0" borderId="63" xfId="0" applyNumberFormat="1" applyFont="1" applyBorder="1"/>
    <xf numFmtId="0" fontId="0" fillId="2" borderId="63" xfId="0" applyFill="1" applyBorder="1"/>
    <xf numFmtId="0" fontId="0" fillId="0" borderId="26" xfId="0" applyBorder="1"/>
    <xf numFmtId="0" fontId="0" fillId="0" borderId="63" xfId="0" applyBorder="1"/>
    <xf numFmtId="168" fontId="6" fillId="0" borderId="63" xfId="0" applyNumberFormat="1" applyFont="1" applyBorder="1"/>
    <xf numFmtId="37" fontId="6" fillId="0" borderId="63" xfId="0" applyNumberFormat="1" applyFont="1" applyBorder="1"/>
    <xf numFmtId="0" fontId="5" fillId="0" borderId="10" xfId="0" applyNumberFormat="1" applyFont="1" applyBorder="1"/>
    <xf numFmtId="0" fontId="3" fillId="0" borderId="10" xfId="0" applyNumberFormat="1" applyFont="1" applyBorder="1"/>
    <xf numFmtId="0" fontId="21" fillId="0" borderId="0" xfId="0" quotePrefix="1" applyFont="1"/>
    <xf numFmtId="0" fontId="0" fillId="0" borderId="0" xfId="0" applyFont="1"/>
    <xf numFmtId="0" fontId="17" fillId="0" borderId="41" xfId="0" applyNumberFormat="1" applyFont="1" applyBorder="1" applyAlignment="1">
      <alignment horizontal="center"/>
    </xf>
    <xf numFmtId="0" fontId="17" fillId="0" borderId="43" xfId="0" applyNumberFormat="1" applyFont="1" applyBorder="1" applyAlignment="1">
      <alignment horizontal="center"/>
    </xf>
    <xf numFmtId="0" fontId="18" fillId="0" borderId="0" xfId="0" quotePrefix="1" applyNumberFormat="1" applyFont="1"/>
    <xf numFmtId="0" fontId="21" fillId="0" borderId="51" xfId="0" applyNumberFormat="1" applyFont="1" applyBorder="1" applyAlignment="1">
      <alignment horizontal="center"/>
    </xf>
    <xf numFmtId="0" fontId="21" fillId="0" borderId="59" xfId="0" applyNumberFormat="1" applyFont="1" applyBorder="1" applyAlignment="1">
      <alignment horizontal="center"/>
    </xf>
    <xf numFmtId="0" fontId="18" fillId="0" borderId="0" xfId="0" applyNumberFormat="1" applyFont="1"/>
    <xf numFmtId="0" fontId="19" fillId="0" borderId="51" xfId="0" applyNumberFormat="1" applyFont="1" applyBorder="1"/>
    <xf numFmtId="0" fontId="0" fillId="0" borderId="54" xfId="0" applyFont="1" applyBorder="1"/>
    <xf numFmtId="0" fontId="19" fillId="0" borderId="56" xfId="0" applyNumberFormat="1" applyFont="1" applyBorder="1"/>
    <xf numFmtId="0" fontId="17" fillId="0" borderId="7" xfId="0" applyNumberFormat="1" applyFont="1" applyBorder="1" applyAlignment="1">
      <alignment horizontal="center"/>
    </xf>
    <xf numFmtId="0" fontId="17" fillId="0" borderId="11" xfId="0" applyNumberFormat="1" applyFont="1" applyBorder="1" applyAlignment="1">
      <alignment horizontal="center"/>
    </xf>
    <xf numFmtId="0" fontId="21" fillId="0" borderId="0" xfId="0" applyNumberFormat="1" applyFont="1"/>
    <xf numFmtId="0" fontId="0" fillId="0" borderId="46" xfId="0" applyFont="1" applyBorder="1"/>
    <xf numFmtId="0" fontId="18" fillId="0" borderId="48" xfId="0" applyNumberFormat="1" applyFont="1" applyBorder="1" applyAlignment="1">
      <alignment horizontal="center"/>
    </xf>
    <xf numFmtId="0" fontId="21" fillId="0" borderId="50" xfId="0" applyNumberFormat="1" applyFont="1" applyBorder="1"/>
    <xf numFmtId="0" fontId="21" fillId="0" borderId="52" xfId="0" applyNumberFormat="1" applyFont="1" applyBorder="1" applyAlignment="1">
      <alignment horizontal="center"/>
    </xf>
    <xf numFmtId="0" fontId="21" fillId="0" borderId="39" xfId="0" applyNumberFormat="1" applyFont="1" applyBorder="1" applyAlignment="1">
      <alignment horizontal="center"/>
    </xf>
    <xf numFmtId="176" fontId="18" fillId="0" borderId="0" xfId="0" applyNumberFormat="1" applyFont="1" applyAlignment="1">
      <alignment horizontal="center"/>
    </xf>
    <xf numFmtId="0" fontId="0" fillId="0" borderId="52" xfId="0" applyFont="1" applyBorder="1"/>
    <xf numFmtId="0" fontId="0" fillId="0" borderId="57" xfId="0" applyFont="1" applyBorder="1"/>
    <xf numFmtId="0" fontId="19" fillId="0" borderId="61" xfId="0" applyNumberFormat="1" applyFont="1" applyBorder="1" applyAlignment="1">
      <alignment horizontal="center"/>
    </xf>
    <xf numFmtId="0" fontId="19" fillId="0" borderId="62" xfId="0" applyNumberFormat="1" applyFont="1" applyBorder="1" applyAlignment="1">
      <alignment horizontal="center"/>
    </xf>
    <xf numFmtId="0" fontId="0" fillId="0" borderId="63" xfId="0" applyFont="1" applyBorder="1"/>
    <xf numFmtId="0" fontId="19" fillId="0" borderId="63" xfId="0" applyNumberFormat="1" applyFont="1" applyBorder="1"/>
    <xf numFmtId="0" fontId="19" fillId="2" borderId="63" xfId="0" applyNumberFormat="1" applyFont="1" applyFill="1" applyBorder="1"/>
    <xf numFmtId="0" fontId="0" fillId="0" borderId="26" xfId="0" applyFont="1" applyBorder="1"/>
    <xf numFmtId="176" fontId="0" fillId="0" borderId="0" xfId="0" applyNumberFormat="1"/>
    <xf numFmtId="0" fontId="12" fillId="3" borderId="0" xfId="0" applyNumberFormat="1" applyFont="1" applyFill="1"/>
    <xf numFmtId="43" fontId="18" fillId="0" borderId="0" xfId="1" applyFont="1"/>
    <xf numFmtId="176" fontId="0" fillId="0" borderId="0" xfId="0" applyNumberFormat="1" applyFont="1"/>
    <xf numFmtId="0" fontId="18" fillId="2" borderId="63" xfId="0" applyFont="1" applyFill="1" applyBorder="1"/>
    <xf numFmtId="180" fontId="18" fillId="0" borderId="0" xfId="1" applyNumberFormat="1" applyFont="1" applyAlignment="1">
      <alignment horizontal="center"/>
    </xf>
    <xf numFmtId="0" fontId="18" fillId="0" borderId="54" xfId="0" applyFont="1" applyBorder="1"/>
    <xf numFmtId="0" fontId="18" fillId="0" borderId="0" xfId="0" applyFont="1"/>
    <xf numFmtId="181" fontId="19" fillId="0" borderId="55" xfId="2" applyNumberFormat="1" applyFont="1" applyBorder="1"/>
    <xf numFmtId="179" fontId="19" fillId="0" borderId="0" xfId="1" applyNumberFormat="1" applyFont="1" applyAlignment="1"/>
    <xf numFmtId="179" fontId="19" fillId="0" borderId="0" xfId="1" applyNumberFormat="1" applyFont="1"/>
    <xf numFmtId="180" fontId="19" fillId="0" borderId="0" xfId="1" applyNumberFormat="1" applyFont="1"/>
    <xf numFmtId="0" fontId="3" fillId="3" borderId="26" xfId="0" applyNumberFormat="1" applyFont="1" applyFill="1" applyBorder="1"/>
    <xf numFmtId="0" fontId="0" fillId="3" borderId="64" xfId="0" applyFill="1" applyBorder="1"/>
    <xf numFmtId="168" fontId="6" fillId="3" borderId="6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Alignment="1">
      <alignment wrapText="1"/>
    </xf>
    <xf numFmtId="0" fontId="12" fillId="0" borderId="0" xfId="0" applyNumberFormat="1" applyFont="1" applyAlignment="1">
      <alignment horizontal="center"/>
    </xf>
    <xf numFmtId="0" fontId="7" fillId="0" borderId="38" xfId="0" applyNumberFormat="1" applyFont="1" applyBorder="1" applyAlignment="1">
      <alignment horizontal="center"/>
    </xf>
    <xf numFmtId="0" fontId="15" fillId="0" borderId="0" xfId="0" applyNumberFormat="1" applyFont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174" fontId="1" fillId="0" borderId="0" xfId="0" applyNumberFormat="1" applyFont="1" applyAlignment="1">
      <alignment horizontal="center"/>
    </xf>
    <xf numFmtId="0" fontId="0" fillId="0" borderId="45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workbookViewId="0">
      <selection activeCell="G16" sqref="G16"/>
    </sheetView>
  </sheetViews>
  <sheetFormatPr defaultRowHeight="15" x14ac:dyDescent="0.25"/>
  <cols>
    <col min="2" max="2" width="12.42578125" customWidth="1"/>
    <col min="3" max="5" width="18.28515625" customWidth="1"/>
    <col min="6" max="9" width="16.28515625" customWidth="1"/>
    <col min="10" max="13" width="17.28515625" customWidth="1"/>
    <col min="14" max="38" width="16.28515625" customWidth="1"/>
  </cols>
  <sheetData>
    <row r="1" spans="1:9" x14ac:dyDescent="0.25">
      <c r="A1" s="1" t="str">
        <f ca="1">CELL("filename")</f>
        <v>https://daytonkyschools-my.sharepoint.com/personal/anthony_hughey_dayton_kyschools_us/Documents/Documents/DAYTON/[DHS SBDM FY26 - BOARD.xlsx]030</v>
      </c>
      <c r="I1" s="2">
        <f ca="1">NOW()</f>
        <v>45768.368190624999</v>
      </c>
    </row>
    <row r="2" spans="1:9" ht="15.75" x14ac:dyDescent="0.25">
      <c r="D2" s="267" t="s">
        <v>0</v>
      </c>
      <c r="E2" s="267"/>
      <c r="F2" s="267"/>
    </row>
    <row r="3" spans="1:9" ht="15.75" x14ac:dyDescent="0.25">
      <c r="D3" s="267" t="s">
        <v>1</v>
      </c>
      <c r="E3" s="267"/>
      <c r="F3" s="267"/>
    </row>
    <row r="4" spans="1:9" ht="15.75" x14ac:dyDescent="0.25">
      <c r="D4" s="267" t="s">
        <v>2</v>
      </c>
      <c r="E4" s="267"/>
      <c r="F4" s="267"/>
    </row>
    <row r="6" spans="1:9" x14ac:dyDescent="0.25">
      <c r="A6" s="3" t="s">
        <v>3</v>
      </c>
      <c r="B6" s="3" t="s">
        <v>4</v>
      </c>
      <c r="D6" s="3" t="s">
        <v>5</v>
      </c>
      <c r="E6" s="4" t="s">
        <v>6</v>
      </c>
      <c r="F6" s="5" t="s">
        <v>0</v>
      </c>
      <c r="G6" s="6"/>
    </row>
    <row r="7" spans="1:9" x14ac:dyDescent="0.25">
      <c r="A7" s="3" t="s">
        <v>7</v>
      </c>
      <c r="D7" s="3" t="s">
        <v>8</v>
      </c>
    </row>
    <row r="8" spans="1:9" x14ac:dyDescent="0.25">
      <c r="D8" s="3" t="s">
        <v>9</v>
      </c>
      <c r="E8" s="3" t="s">
        <v>10</v>
      </c>
      <c r="G8" s="7" t="s">
        <v>300</v>
      </c>
    </row>
    <row r="9" spans="1:9" x14ac:dyDescent="0.25">
      <c r="A9" s="8" t="s">
        <v>11</v>
      </c>
      <c r="B9" s="9" t="s">
        <v>12</v>
      </c>
      <c r="D9" s="10">
        <v>0</v>
      </c>
    </row>
    <row r="12" spans="1:9" ht="15.75" x14ac:dyDescent="0.25">
      <c r="E12" s="11" t="s">
        <v>13</v>
      </c>
      <c r="G12" s="12">
        <v>0.95</v>
      </c>
    </row>
    <row r="13" spans="1:9" ht="15.75" x14ac:dyDescent="0.25">
      <c r="E13" s="11" t="s">
        <v>14</v>
      </c>
      <c r="G13" s="12">
        <v>6.2E-2</v>
      </c>
    </row>
    <row r="14" spans="1:9" ht="15.75" x14ac:dyDescent="0.25">
      <c r="E14" s="11" t="s">
        <v>15</v>
      </c>
      <c r="G14" s="12">
        <v>1.4500000000000001E-2</v>
      </c>
    </row>
    <row r="15" spans="1:9" ht="15.75" x14ac:dyDescent="0.25">
      <c r="E15" s="11" t="s">
        <v>16</v>
      </c>
      <c r="G15" s="12">
        <v>0.19889999999999999</v>
      </c>
    </row>
    <row r="16" spans="1:9" ht="15.75" x14ac:dyDescent="0.25">
      <c r="E16" s="11" t="s">
        <v>17</v>
      </c>
      <c r="G16" s="12">
        <v>3.3E-3</v>
      </c>
    </row>
    <row r="17" spans="1:9" ht="15.75" x14ac:dyDescent="0.25">
      <c r="E17" s="11" t="s">
        <v>18</v>
      </c>
      <c r="G17" s="12">
        <v>0.01</v>
      </c>
      <c r="H17" s="3" t="s">
        <v>19</v>
      </c>
    </row>
    <row r="18" spans="1:9" ht="15.75" x14ac:dyDescent="0.25">
      <c r="E18" s="11" t="s">
        <v>20</v>
      </c>
      <c r="G18" s="12">
        <v>0.03</v>
      </c>
    </row>
    <row r="21" spans="1:9" ht="15.75" x14ac:dyDescent="0.25">
      <c r="B21" s="13" t="s">
        <v>21</v>
      </c>
      <c r="I21" s="13" t="str">
        <f>$G$8</f>
        <v>2023-2024</v>
      </c>
    </row>
    <row r="23" spans="1:9" x14ac:dyDescent="0.25">
      <c r="A23" s="14" t="s">
        <v>22</v>
      </c>
      <c r="B23" s="15" t="s">
        <v>23</v>
      </c>
      <c r="C23" s="16" t="s">
        <v>24</v>
      </c>
    </row>
    <row r="24" spans="1:9" x14ac:dyDescent="0.25">
      <c r="A24" s="17"/>
      <c r="B24" s="18" t="s">
        <v>11</v>
      </c>
      <c r="C24" s="19"/>
    </row>
    <row r="25" spans="1:9" x14ac:dyDescent="0.25">
      <c r="A25" s="17"/>
      <c r="B25" s="19" t="s">
        <v>25</v>
      </c>
      <c r="C25" s="19"/>
    </row>
    <row r="26" spans="1:9" x14ac:dyDescent="0.25">
      <c r="A26" s="20" t="s">
        <v>26</v>
      </c>
      <c r="B26" s="19">
        <v>50</v>
      </c>
      <c r="C26" s="19">
        <f t="shared" ref="C26:C40" si="0">SUM(B26)</f>
        <v>50</v>
      </c>
    </row>
    <row r="27" spans="1:9" x14ac:dyDescent="0.25">
      <c r="A27" s="20" t="s">
        <v>27</v>
      </c>
      <c r="B27" s="19">
        <v>50</v>
      </c>
      <c r="C27" s="19">
        <f t="shared" si="0"/>
        <v>50</v>
      </c>
    </row>
    <row r="28" spans="1:9" x14ac:dyDescent="0.25">
      <c r="A28" s="20" t="s">
        <v>28</v>
      </c>
      <c r="B28" s="19">
        <v>50</v>
      </c>
      <c r="C28" s="19">
        <f t="shared" si="0"/>
        <v>50</v>
      </c>
    </row>
    <row r="29" spans="1:9" x14ac:dyDescent="0.25">
      <c r="A29" s="20" t="s">
        <v>29</v>
      </c>
      <c r="B29" s="19">
        <v>54</v>
      </c>
      <c r="C29" s="19">
        <f t="shared" si="0"/>
        <v>54</v>
      </c>
    </row>
    <row r="30" spans="1:9" x14ac:dyDescent="0.25">
      <c r="A30" s="21" t="s">
        <v>30</v>
      </c>
      <c r="B30" s="22">
        <f>SUM(B27:B29)</f>
        <v>154</v>
      </c>
      <c r="C30" s="22">
        <f t="shared" si="0"/>
        <v>154</v>
      </c>
    </row>
    <row r="31" spans="1:9" x14ac:dyDescent="0.25">
      <c r="A31" s="23" t="s">
        <v>31</v>
      </c>
      <c r="B31" s="19">
        <v>61</v>
      </c>
      <c r="C31" s="19">
        <f t="shared" si="0"/>
        <v>61</v>
      </c>
    </row>
    <row r="32" spans="1:9" x14ac:dyDescent="0.25">
      <c r="A32" s="23" t="s">
        <v>32</v>
      </c>
      <c r="B32" s="19">
        <v>74</v>
      </c>
      <c r="C32" s="19">
        <f t="shared" si="0"/>
        <v>74</v>
      </c>
    </row>
    <row r="33" spans="1:10" x14ac:dyDescent="0.25">
      <c r="A33" s="23" t="s">
        <v>33</v>
      </c>
      <c r="B33" s="19">
        <v>62</v>
      </c>
      <c r="C33" s="19">
        <f t="shared" si="0"/>
        <v>62</v>
      </c>
    </row>
    <row r="34" spans="1:10" x14ac:dyDescent="0.25">
      <c r="A34" s="23" t="s">
        <v>34</v>
      </c>
      <c r="B34" s="19">
        <v>0</v>
      </c>
      <c r="C34" s="19">
        <f t="shared" si="0"/>
        <v>0</v>
      </c>
    </row>
    <row r="35" spans="1:10" x14ac:dyDescent="0.25">
      <c r="A35" s="23" t="s">
        <v>35</v>
      </c>
      <c r="B35" s="19">
        <v>0</v>
      </c>
      <c r="C35" s="19">
        <f t="shared" si="0"/>
        <v>0</v>
      </c>
    </row>
    <row r="36" spans="1:10" x14ac:dyDescent="0.25">
      <c r="A36" s="23" t="s">
        <v>36</v>
      </c>
      <c r="B36" s="19">
        <v>0</v>
      </c>
      <c r="C36" s="19">
        <f t="shared" si="0"/>
        <v>0</v>
      </c>
    </row>
    <row r="37" spans="1:10" x14ac:dyDescent="0.25">
      <c r="A37" s="23" t="s">
        <v>37</v>
      </c>
      <c r="B37" s="19">
        <v>0</v>
      </c>
      <c r="C37" s="19">
        <f t="shared" si="0"/>
        <v>0</v>
      </c>
    </row>
    <row r="38" spans="1:10" x14ac:dyDescent="0.25">
      <c r="A38" s="23" t="s">
        <v>38</v>
      </c>
      <c r="B38" s="19">
        <v>0</v>
      </c>
      <c r="C38" s="19">
        <f t="shared" si="0"/>
        <v>0</v>
      </c>
    </row>
    <row r="39" spans="1:10" x14ac:dyDescent="0.25">
      <c r="A39" s="23" t="s">
        <v>39</v>
      </c>
      <c r="B39" s="19">
        <v>0</v>
      </c>
      <c r="C39" s="19">
        <f t="shared" si="0"/>
        <v>0</v>
      </c>
    </row>
    <row r="40" spans="1:10" x14ac:dyDescent="0.25">
      <c r="A40" s="20" t="s">
        <v>40</v>
      </c>
      <c r="B40" s="19">
        <v>0</v>
      </c>
      <c r="C40" s="19">
        <f t="shared" si="0"/>
        <v>0</v>
      </c>
    </row>
    <row r="41" spans="1:10" x14ac:dyDescent="0.25">
      <c r="A41" s="20" t="s">
        <v>41</v>
      </c>
      <c r="B41" s="24">
        <v>1</v>
      </c>
      <c r="C41" s="24"/>
    </row>
    <row r="42" spans="1:10" x14ac:dyDescent="0.25">
      <c r="A42" s="20" t="s">
        <v>24</v>
      </c>
      <c r="B42" s="19">
        <f>SUM(B30:B40) + B26</f>
        <v>401</v>
      </c>
      <c r="C42" s="19"/>
    </row>
    <row r="43" spans="1:10" x14ac:dyDescent="0.25">
      <c r="A43" s="3"/>
      <c r="B43" s="3"/>
      <c r="C43" s="3"/>
    </row>
    <row r="44" spans="1:10" x14ac:dyDescent="0.25">
      <c r="A44" s="25" t="s">
        <v>42</v>
      </c>
      <c r="B44" s="3">
        <f>B42</f>
        <v>401</v>
      </c>
      <c r="C44" s="3">
        <f>SUM(B44)</f>
        <v>401</v>
      </c>
    </row>
    <row r="47" spans="1:10" x14ac:dyDescent="0.25">
      <c r="G47" s="3" t="s">
        <v>43</v>
      </c>
      <c r="J47" s="10">
        <f>+E44+F47</f>
        <v>0</v>
      </c>
    </row>
    <row r="49" spans="1:9" ht="15.75" x14ac:dyDescent="0.25">
      <c r="B49" s="13" t="s">
        <v>44</v>
      </c>
      <c r="I49" s="13" t="str">
        <f>$G$8</f>
        <v>2023-2024</v>
      </c>
    </row>
    <row r="50" spans="1:9" x14ac:dyDescent="0.25">
      <c r="A50" s="26"/>
      <c r="B50" s="27" t="s">
        <v>45</v>
      </c>
      <c r="C50" s="27"/>
      <c r="D50" s="27" t="str">
        <f>B25</f>
        <v>LINCOLN ELEMENTARY SCHOOL</v>
      </c>
      <c r="E50" s="27" t="s">
        <v>24</v>
      </c>
    </row>
    <row r="51" spans="1:9" ht="15.75" x14ac:dyDescent="0.25">
      <c r="A51" s="28" t="str">
        <f>G8</f>
        <v>2023-2024</v>
      </c>
      <c r="B51" s="11" t="s">
        <v>46</v>
      </c>
      <c r="C51" s="11"/>
      <c r="D51" s="29">
        <f>B44</f>
        <v>401</v>
      </c>
      <c r="E51" s="30">
        <f>SUM(D51)</f>
        <v>401</v>
      </c>
    </row>
    <row r="52" spans="1:9" ht="15.75" x14ac:dyDescent="0.25">
      <c r="A52" s="31">
        <v>0.93</v>
      </c>
      <c r="B52" s="32" t="s">
        <v>47</v>
      </c>
      <c r="C52" s="32"/>
      <c r="D52" s="33">
        <f>ROUND(D51*$A52,1)</f>
        <v>372.9</v>
      </c>
      <c r="E52" s="34">
        <f>SUM(D52)</f>
        <v>372.9</v>
      </c>
    </row>
    <row r="53" spans="1:9" ht="15.75" x14ac:dyDescent="0.25">
      <c r="A53" s="28" t="s">
        <v>48</v>
      </c>
      <c r="B53" s="11" t="s">
        <v>49</v>
      </c>
      <c r="C53" s="11"/>
      <c r="D53" s="35">
        <f>'030'!J82</f>
        <v>1304589</v>
      </c>
      <c r="E53" s="36">
        <f>SUM(D53)</f>
        <v>1304589</v>
      </c>
    </row>
    <row r="54" spans="1:9" ht="15.75" x14ac:dyDescent="0.25">
      <c r="B54" s="11" t="s">
        <v>50</v>
      </c>
      <c r="C54" s="11"/>
      <c r="D54" s="35">
        <f>IF(D68 &gt; 0, ROUND(D53/D68,10), 0)</f>
        <v>20257.5931677019</v>
      </c>
      <c r="E54" s="35">
        <f>IF(E68 &gt; 0, ROUND(E53/E68,10), 0)</f>
        <v>20257.5931677019</v>
      </c>
    </row>
    <row r="55" spans="1:9" ht="15.75" x14ac:dyDescent="0.25">
      <c r="B55" s="11" t="s">
        <v>51</v>
      </c>
      <c r="C55" s="11"/>
      <c r="D55" s="35">
        <f>'030'!F147 + '030'!F150 + '030'!F152 + '030'!F153</f>
        <v>62790.179199999999</v>
      </c>
      <c r="E55" s="36">
        <f>SUM(D55)</f>
        <v>62790.179199999999</v>
      </c>
    </row>
    <row r="56" spans="1:9" ht="15.75" x14ac:dyDescent="0.25">
      <c r="B56" s="37" t="s">
        <v>52</v>
      </c>
      <c r="C56" s="37"/>
      <c r="D56" s="38">
        <f>'030'!G19</f>
        <v>14.7</v>
      </c>
      <c r="E56" s="38">
        <f>SUM(D56)</f>
        <v>14.7</v>
      </c>
    </row>
    <row r="57" spans="1:9" ht="15.75" x14ac:dyDescent="0.25">
      <c r="B57" s="37" t="s">
        <v>53</v>
      </c>
      <c r="C57" s="37"/>
      <c r="D57" s="38">
        <v>0</v>
      </c>
      <c r="E57" s="38">
        <f>SUM(D57)</f>
        <v>0</v>
      </c>
    </row>
    <row r="58" spans="1:9" ht="15.75" x14ac:dyDescent="0.25">
      <c r="B58" s="11" t="s">
        <v>54</v>
      </c>
      <c r="C58" s="11"/>
      <c r="D58" s="29">
        <f>IF(D56=0,0,51/D56)</f>
        <v>3.4693877551020411</v>
      </c>
      <c r="E58" s="29">
        <f>IF(E56=0,0,51/E56)</f>
        <v>3.4693877551020411</v>
      </c>
    </row>
    <row r="59" spans="1:9" ht="15.75" x14ac:dyDescent="0.25">
      <c r="B59" s="11" t="s">
        <v>55</v>
      </c>
      <c r="D59" s="29">
        <f>'030'!F23</f>
        <v>1</v>
      </c>
      <c r="E59" s="29">
        <f t="shared" ref="E59:E68" si="1">SUM(D59)</f>
        <v>1</v>
      </c>
    </row>
    <row r="60" spans="1:9" ht="15.75" x14ac:dyDescent="0.25">
      <c r="B60" s="11" t="s">
        <v>56</v>
      </c>
      <c r="D60" s="29">
        <f>'030'!F26</f>
        <v>17</v>
      </c>
      <c r="E60" s="29">
        <f t="shared" si="1"/>
        <v>17</v>
      </c>
    </row>
    <row r="61" spans="1:9" ht="15.75" x14ac:dyDescent="0.25">
      <c r="B61" s="11" t="s">
        <v>57</v>
      </c>
      <c r="D61" s="29">
        <f>'030'!F28</f>
        <v>13.2</v>
      </c>
      <c r="E61" s="29">
        <f t="shared" si="1"/>
        <v>13.2</v>
      </c>
    </row>
    <row r="62" spans="1:9" ht="15.75" x14ac:dyDescent="0.25">
      <c r="B62" s="11" t="s">
        <v>58</v>
      </c>
      <c r="D62" s="29">
        <f>'030'!F29</f>
        <v>1</v>
      </c>
      <c r="E62" s="29">
        <f t="shared" si="1"/>
        <v>1</v>
      </c>
    </row>
    <row r="63" spans="1:9" ht="15.75" x14ac:dyDescent="0.25">
      <c r="B63" s="11" t="s">
        <v>59</v>
      </c>
      <c r="D63" s="29">
        <f>'030'!F31</f>
        <v>13.2</v>
      </c>
      <c r="E63" s="29">
        <f t="shared" si="1"/>
        <v>13.2</v>
      </c>
    </row>
    <row r="64" spans="1:9" ht="15.75" x14ac:dyDescent="0.25">
      <c r="B64" s="11" t="s">
        <v>60</v>
      </c>
      <c r="D64" s="29">
        <f>'030'!F33</f>
        <v>17</v>
      </c>
      <c r="E64" s="29">
        <f t="shared" si="1"/>
        <v>17</v>
      </c>
    </row>
    <row r="65" spans="1:5" ht="15.75" x14ac:dyDescent="0.25">
      <c r="B65" s="11" t="s">
        <v>61</v>
      </c>
      <c r="D65" s="29">
        <f>'030'!F34</f>
        <v>1</v>
      </c>
      <c r="E65" s="29">
        <f t="shared" si="1"/>
        <v>1</v>
      </c>
    </row>
    <row r="66" spans="1:5" ht="15.75" x14ac:dyDescent="0.25">
      <c r="B66" s="11" t="s">
        <v>62</v>
      </c>
      <c r="D66" s="29">
        <f>'030'!F35</f>
        <v>1</v>
      </c>
      <c r="E66" s="29">
        <f t="shared" si="1"/>
        <v>1</v>
      </c>
    </row>
    <row r="67" spans="1:5" ht="15.75" x14ac:dyDescent="0.25">
      <c r="B67" s="11" t="s">
        <v>63</v>
      </c>
      <c r="D67" s="29">
        <f>'030'!F36</f>
        <v>0</v>
      </c>
      <c r="E67" s="29">
        <f t="shared" si="1"/>
        <v>0</v>
      </c>
    </row>
    <row r="68" spans="1:5" ht="15.75" x14ac:dyDescent="0.25">
      <c r="B68" s="11" t="s">
        <v>64</v>
      </c>
      <c r="D68" s="29">
        <f>SUM(D59:D67)</f>
        <v>64.400000000000006</v>
      </c>
      <c r="E68" s="29">
        <f t="shared" si="1"/>
        <v>64.400000000000006</v>
      </c>
    </row>
    <row r="69" spans="1:5" ht="15.75" x14ac:dyDescent="0.25">
      <c r="A69" s="39"/>
      <c r="B69" s="32" t="s">
        <v>65</v>
      </c>
      <c r="C69" s="39"/>
      <c r="D69" s="33">
        <f>IF(D68=0,0,D51/D68)</f>
        <v>6.2267080745341605</v>
      </c>
      <c r="E69" s="33">
        <f>IF(E68=0,0,E51/E68)</f>
        <v>6.2267080745341605</v>
      </c>
    </row>
    <row r="71" spans="1:5" ht="15.75" x14ac:dyDescent="0.25">
      <c r="A71" s="40" t="s">
        <v>66</v>
      </c>
      <c r="B71" s="41" t="s">
        <v>67</v>
      </c>
      <c r="C71" s="41"/>
      <c r="D71" s="42">
        <f>'030'!J118</f>
        <v>232021</v>
      </c>
      <c r="E71" s="43">
        <f>SUM(D71)</f>
        <v>232021</v>
      </c>
    </row>
    <row r="72" spans="1:5" ht="15.75" x14ac:dyDescent="0.25">
      <c r="B72" s="11" t="s">
        <v>68</v>
      </c>
      <c r="C72" s="11"/>
      <c r="D72" s="35">
        <f>IF(D79 &gt; 0, ROUND(D71/D79,10), 0)</f>
        <v>33145.857142857101</v>
      </c>
      <c r="E72" s="35">
        <f>IF(E79 &gt; 0, ROUND(E71/E79,10), 0)</f>
        <v>33145.857142857101</v>
      </c>
    </row>
    <row r="73" spans="1:5" ht="15.75" x14ac:dyDescent="0.25">
      <c r="B73" s="11" t="s">
        <v>69</v>
      </c>
      <c r="C73" s="11"/>
      <c r="D73" s="44">
        <f>'030'!F146 + '030'!F149 + '030'!F151 + '030'!F145 + '030'!F148</f>
        <v>63919.286699999997</v>
      </c>
      <c r="E73" s="44">
        <f t="shared" ref="E73:E79" si="2">SUM(D73)</f>
        <v>63919.286699999997</v>
      </c>
    </row>
    <row r="74" spans="1:5" ht="15.75" x14ac:dyDescent="0.25">
      <c r="B74" s="11" t="s">
        <v>70</v>
      </c>
      <c r="D74" s="29">
        <f>'030'!F24</f>
        <v>1</v>
      </c>
      <c r="E74" s="29">
        <f t="shared" si="2"/>
        <v>1</v>
      </c>
    </row>
    <row r="75" spans="1:5" ht="15.75" x14ac:dyDescent="0.25">
      <c r="B75" s="11" t="s">
        <v>71</v>
      </c>
      <c r="D75" s="29">
        <f>'030'!F25</f>
        <v>1</v>
      </c>
      <c r="E75" s="29">
        <f t="shared" si="2"/>
        <v>1</v>
      </c>
    </row>
    <row r="76" spans="1:5" ht="15.75" x14ac:dyDescent="0.25">
      <c r="B76" s="11" t="s">
        <v>72</v>
      </c>
      <c r="D76" s="29">
        <f>'030'!F27</f>
        <v>1</v>
      </c>
      <c r="E76" s="29">
        <f t="shared" si="2"/>
        <v>1</v>
      </c>
    </row>
    <row r="77" spans="1:5" ht="15.75" x14ac:dyDescent="0.25">
      <c r="B77" s="11" t="s">
        <v>73</v>
      </c>
      <c r="D77" s="29">
        <f>'030'!F30</f>
        <v>2</v>
      </c>
      <c r="E77" s="29">
        <f t="shared" si="2"/>
        <v>2</v>
      </c>
    </row>
    <row r="78" spans="1:5" ht="15.75" x14ac:dyDescent="0.25">
      <c r="B78" s="11" t="s">
        <v>74</v>
      </c>
      <c r="D78" s="29">
        <f>'030'!F32</f>
        <v>2</v>
      </c>
      <c r="E78" s="29">
        <f t="shared" si="2"/>
        <v>2</v>
      </c>
    </row>
    <row r="79" spans="1:5" ht="30" customHeight="1" x14ac:dyDescent="0.25">
      <c r="B79" s="268" t="s">
        <v>75</v>
      </c>
      <c r="C79" s="268"/>
      <c r="D79" s="29">
        <f>SUM(D74:D78)</f>
        <v>7</v>
      </c>
      <c r="E79" s="29">
        <f t="shared" si="2"/>
        <v>7</v>
      </c>
    </row>
    <row r="80" spans="1:5" ht="15.75" x14ac:dyDescent="0.25">
      <c r="B80" s="11" t="s">
        <v>65</v>
      </c>
      <c r="D80" s="29">
        <f>IF(D79=0,0,D51/D79)</f>
        <v>57.285714285714285</v>
      </c>
      <c r="E80" s="29">
        <f>IF(E79=0,0,E51/E79)</f>
        <v>57.285714285714285</v>
      </c>
    </row>
    <row r="81" spans="1:5" ht="15.75" x14ac:dyDescent="0.25">
      <c r="B81" s="11" t="s">
        <v>76</v>
      </c>
      <c r="D81" s="29">
        <v>0</v>
      </c>
      <c r="E81" s="29">
        <f>SUM(D81)</f>
        <v>0</v>
      </c>
    </row>
    <row r="82" spans="1:5" ht="15.75" x14ac:dyDescent="0.25">
      <c r="B82" s="11" t="s">
        <v>77</v>
      </c>
      <c r="D82" s="29">
        <f>IF(D83 &gt; 0, D83/D81, 0)</f>
        <v>0</v>
      </c>
      <c r="E82" s="29">
        <f>SUM(D82)</f>
        <v>0</v>
      </c>
    </row>
    <row r="83" spans="1:5" ht="15.75" x14ac:dyDescent="0.25">
      <c r="A83" s="39"/>
      <c r="B83" s="32" t="s">
        <v>78</v>
      </c>
      <c r="C83" s="39"/>
      <c r="D83" s="45">
        <v>0</v>
      </c>
      <c r="E83" s="46">
        <f>SUM(D83)</f>
        <v>0</v>
      </c>
    </row>
    <row r="85" spans="1:5" ht="15.75" x14ac:dyDescent="0.25">
      <c r="A85" s="40" t="s">
        <v>79</v>
      </c>
      <c r="B85" s="47" t="s">
        <v>80</v>
      </c>
      <c r="C85" s="47"/>
      <c r="D85" s="48">
        <f>D55 + D73</f>
        <v>126709.4659</v>
      </c>
      <c r="E85" s="49">
        <f>SUM(D85)</f>
        <v>126709.4659</v>
      </c>
    </row>
    <row r="89" spans="1:5" ht="15.75" x14ac:dyDescent="0.25">
      <c r="A89" s="40" t="s">
        <v>81</v>
      </c>
      <c r="B89" s="50" t="s">
        <v>82</v>
      </c>
      <c r="C89" s="50"/>
      <c r="D89" s="51"/>
      <c r="E89" s="51"/>
    </row>
    <row r="90" spans="1:5" x14ac:dyDescent="0.25">
      <c r="B90" s="52" t="s">
        <v>83</v>
      </c>
      <c r="C90" s="53">
        <v>100</v>
      </c>
      <c r="D90" s="54">
        <f>ROUND((D52*D91),0)</f>
        <v>1305</v>
      </c>
      <c r="E90" s="55">
        <f>SUM(D90)</f>
        <v>1305</v>
      </c>
    </row>
    <row r="91" spans="1:5" x14ac:dyDescent="0.25">
      <c r="A91" s="56">
        <v>3.5000000000000003E-2</v>
      </c>
      <c r="B91" s="39" t="s">
        <v>84</v>
      </c>
      <c r="C91" s="57">
        <f>C90* A91</f>
        <v>3.5000000000000004</v>
      </c>
      <c r="D91" s="58">
        <f>C91</f>
        <v>3.5000000000000004</v>
      </c>
      <c r="E91" s="58">
        <f>SUM(D91)</f>
        <v>3.5000000000000004</v>
      </c>
    </row>
    <row r="92" spans="1:5" x14ac:dyDescent="0.25">
      <c r="A92" s="51"/>
    </row>
    <row r="93" spans="1:5" ht="15.75" x14ac:dyDescent="0.25">
      <c r="A93" s="59" t="s">
        <v>85</v>
      </c>
      <c r="B93" s="60" t="s">
        <v>86</v>
      </c>
      <c r="C93" s="60"/>
      <c r="D93" s="61">
        <v>0</v>
      </c>
      <c r="E93" s="49">
        <f>SUM(D93)</f>
        <v>0</v>
      </c>
    </row>
    <row r="94" spans="1:5" x14ac:dyDescent="0.25">
      <c r="A94" s="39"/>
      <c r="B94" s="62" t="s">
        <v>87</v>
      </c>
      <c r="C94" s="62"/>
      <c r="D94" s="63">
        <f>D53 + D71 + D83 + D85 + D90 + D93</f>
        <v>1664624.4659</v>
      </c>
      <c r="E94" s="58">
        <f>SUM(D94)</f>
        <v>1664624.4659</v>
      </c>
    </row>
    <row r="96" spans="1:5" x14ac:dyDescent="0.25">
      <c r="B96" s="54">
        <f>ROUND(E54*$G$12,0)</f>
        <v>19245</v>
      </c>
      <c r="C96" s="64" t="str">
        <f>$G$12*100 &amp; "% DISTRICT AVERAGE TEACHERS' SALARY"</f>
        <v>95% DISTRICT AVERAGE TEACHERS' SALARY</v>
      </c>
    </row>
    <row r="97" spans="2:9" x14ac:dyDescent="0.25">
      <c r="B97" s="54">
        <f>ROUND(E82*$G$12,0)</f>
        <v>0</v>
      </c>
      <c r="C97" s="64" t="str">
        <f>$G$12*100 &amp; "% DISTRICT AVERAGE CUSTODIAN'S SALARY"</f>
        <v>95% DISTRICT AVERAGE CUSTODIAN'S SALARY</v>
      </c>
    </row>
    <row r="98" spans="2:9" x14ac:dyDescent="0.25">
      <c r="B98" s="64">
        <f>ROUND(E72*$G$12,0)</f>
        <v>31489</v>
      </c>
      <c r="C98" t="str">
        <f>$G$12*100 &amp; "% DISTRICT AVERAGE OTHER CLASSIFIED SALARY"</f>
        <v>95% DISTRICT AVERAGE OTHER CLASSIFIED SALARY</v>
      </c>
    </row>
    <row r="104" spans="2:9" ht="18.75" x14ac:dyDescent="0.3">
      <c r="C104" s="65" t="s">
        <v>88</v>
      </c>
    </row>
    <row r="106" spans="2:9" x14ac:dyDescent="0.25">
      <c r="C106" s="66"/>
      <c r="D106" s="67"/>
      <c r="E106" s="265" t="s">
        <v>89</v>
      </c>
      <c r="F106" s="266"/>
      <c r="G106" s="265" t="s">
        <v>90</v>
      </c>
      <c r="H106" s="266"/>
    </row>
    <row r="107" spans="2:9" x14ac:dyDescent="0.25">
      <c r="C107" s="68" t="s">
        <v>3</v>
      </c>
      <c r="D107" s="69"/>
      <c r="E107" s="70" t="s">
        <v>91</v>
      </c>
      <c r="F107" s="71"/>
      <c r="G107" s="71" t="s">
        <v>91</v>
      </c>
      <c r="H107" s="71"/>
      <c r="I107" s="72"/>
    </row>
    <row r="108" spans="2:9" x14ac:dyDescent="0.25">
      <c r="C108" s="73"/>
      <c r="D108" s="74"/>
      <c r="E108" s="75" t="s">
        <v>92</v>
      </c>
      <c r="F108" s="76" t="s">
        <v>93</v>
      </c>
      <c r="G108" s="76" t="s">
        <v>92</v>
      </c>
      <c r="H108" s="76" t="s">
        <v>93</v>
      </c>
    </row>
    <row r="109" spans="2:9" x14ac:dyDescent="0.25">
      <c r="C109" s="77"/>
      <c r="D109" s="78"/>
      <c r="E109" s="79"/>
      <c r="F109" s="79"/>
      <c r="G109" s="79"/>
      <c r="H109" s="79"/>
    </row>
    <row r="110" spans="2:9" x14ac:dyDescent="0.25">
      <c r="C110" s="77" t="s">
        <v>12</v>
      </c>
      <c r="E110" s="80">
        <f>'030'!D87</f>
        <v>0</v>
      </c>
      <c r="F110" s="81">
        <f>'030'!J87</f>
        <v>0</v>
      </c>
      <c r="G110" s="80">
        <f>'030'!C125</f>
        <v>0</v>
      </c>
      <c r="H110" s="82">
        <f>'030'!J125</f>
        <v>0</v>
      </c>
    </row>
    <row r="111" spans="2:9" x14ac:dyDescent="0.25">
      <c r="C111" s="83" t="s">
        <v>94</v>
      </c>
      <c r="D111" s="26"/>
      <c r="E111" s="84">
        <f>SUM(E110)</f>
        <v>0</v>
      </c>
      <c r="F111" s="85">
        <f>SUM(F110)</f>
        <v>0</v>
      </c>
      <c r="G111" s="84">
        <f>SUM(G110)</f>
        <v>0</v>
      </c>
      <c r="H111" s="86">
        <f>SUM(H110)</f>
        <v>0</v>
      </c>
    </row>
  </sheetData>
  <mergeCells count="6">
    <mergeCell ref="G106:H106"/>
    <mergeCell ref="D2:F2"/>
    <mergeCell ref="D3:F3"/>
    <mergeCell ref="D4:F4"/>
    <mergeCell ref="B79:C79"/>
    <mergeCell ref="E106:F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96"/>
  <sheetViews>
    <sheetView workbookViewId="0"/>
  </sheetViews>
  <sheetFormatPr defaultRowHeight="15" x14ac:dyDescent="0.25"/>
  <cols>
    <col min="1" max="2" width="11.7109375" customWidth="1"/>
    <col min="3" max="4" width="13.7109375" customWidth="1"/>
    <col min="5" max="5" width="15.7109375" customWidth="1"/>
    <col min="6" max="7" width="13.7109375" customWidth="1"/>
    <col min="8" max="9" width="15.7109375" customWidth="1"/>
  </cols>
  <sheetData>
    <row r="3" spans="1:9" x14ac:dyDescent="0.25">
      <c r="A3" s="66"/>
      <c r="B3" s="87"/>
      <c r="C3" s="87"/>
      <c r="D3" s="87"/>
      <c r="E3" s="87"/>
      <c r="F3" s="87"/>
      <c r="G3" s="87"/>
      <c r="H3" s="87"/>
      <c r="I3" s="67"/>
    </row>
    <row r="4" spans="1:9" ht="15.75" x14ac:dyDescent="0.25">
      <c r="A4" s="272" t="s">
        <v>95</v>
      </c>
      <c r="B4" s="273"/>
      <c r="C4" s="273"/>
      <c r="D4" s="273"/>
      <c r="E4" s="273"/>
      <c r="F4" s="273"/>
      <c r="G4" s="273"/>
      <c r="H4" s="273"/>
      <c r="I4" s="274"/>
    </row>
    <row r="5" spans="1:9" ht="15.75" x14ac:dyDescent="0.25">
      <c r="A5" s="275" t="str">
        <f>Summary!G8 &amp; " CERTIFICATION"</f>
        <v>2023-2024 CERTIFICATION</v>
      </c>
      <c r="B5" s="276"/>
      <c r="C5" s="276"/>
      <c r="D5" s="276"/>
      <c r="E5" s="276"/>
      <c r="F5" s="276"/>
      <c r="G5" s="276"/>
      <c r="H5" s="276"/>
      <c r="I5" s="277"/>
    </row>
    <row r="6" spans="1:9" ht="15.75" x14ac:dyDescent="0.25">
      <c r="A6" s="275" t="str">
        <f>"DISTRICT " &amp; Summary!D2</f>
        <v>DISTRICT Dayton Ind Board of Ed</v>
      </c>
      <c r="B6" s="276"/>
      <c r="C6" s="276"/>
      <c r="D6" s="276"/>
      <c r="E6" s="276"/>
      <c r="F6" s="276"/>
      <c r="G6" s="276"/>
      <c r="H6" s="276"/>
      <c r="I6" s="277"/>
    </row>
    <row r="7" spans="1:9" x14ac:dyDescent="0.25">
      <c r="A7" s="88"/>
      <c r="B7" s="89"/>
      <c r="C7" s="89"/>
      <c r="D7" s="89"/>
      <c r="E7" s="89"/>
      <c r="F7" s="89"/>
      <c r="G7" s="89"/>
      <c r="H7" s="89"/>
      <c r="I7" s="69"/>
    </row>
    <row r="8" spans="1:9" x14ac:dyDescent="0.25">
      <c r="A8" s="88"/>
      <c r="B8" s="89"/>
      <c r="C8" s="89"/>
      <c r="D8" s="89"/>
      <c r="E8" s="89"/>
      <c r="F8" s="89"/>
      <c r="G8" s="89"/>
      <c r="H8" s="89"/>
      <c r="I8" s="69"/>
    </row>
    <row r="9" spans="1:9" ht="15.75" x14ac:dyDescent="0.25">
      <c r="A9" s="90"/>
      <c r="B9" s="91"/>
      <c r="C9" s="92" t="s">
        <v>96</v>
      </c>
      <c r="D9" s="92" t="s">
        <v>97</v>
      </c>
      <c r="E9" s="92" t="s">
        <v>98</v>
      </c>
      <c r="F9" s="92" t="s">
        <v>99</v>
      </c>
      <c r="G9" s="92" t="s">
        <v>100</v>
      </c>
      <c r="H9" s="92" t="s">
        <v>99</v>
      </c>
      <c r="I9" s="92" t="s">
        <v>101</v>
      </c>
    </row>
    <row r="10" spans="1:9" x14ac:dyDescent="0.25">
      <c r="A10" s="66"/>
      <c r="B10" s="67"/>
      <c r="C10" s="93" t="s">
        <v>102</v>
      </c>
      <c r="D10" s="93" t="s">
        <v>103</v>
      </c>
      <c r="E10" s="93" t="s">
        <v>104</v>
      </c>
      <c r="F10" s="93" t="s">
        <v>105</v>
      </c>
      <c r="G10" s="93" t="s">
        <v>106</v>
      </c>
      <c r="H10" s="93" t="s">
        <v>107</v>
      </c>
      <c r="I10" s="93" t="s">
        <v>108</v>
      </c>
    </row>
    <row r="11" spans="1:9" x14ac:dyDescent="0.25">
      <c r="A11" s="88"/>
      <c r="B11" s="69"/>
      <c r="C11" s="94" t="s">
        <v>109</v>
      </c>
      <c r="D11" s="94" t="s">
        <v>109</v>
      </c>
      <c r="E11" s="94" t="s">
        <v>110</v>
      </c>
      <c r="F11" s="94" t="s">
        <v>111</v>
      </c>
      <c r="G11" s="94" t="s">
        <v>112</v>
      </c>
      <c r="H11" s="94" t="s">
        <v>113</v>
      </c>
      <c r="I11" s="94" t="s">
        <v>114</v>
      </c>
    </row>
    <row r="12" spans="1:9" ht="15.75" x14ac:dyDescent="0.25">
      <c r="A12" s="95" t="s">
        <v>115</v>
      </c>
      <c r="B12" s="74"/>
      <c r="C12" s="96" t="s">
        <v>116</v>
      </c>
      <c r="D12" s="96" t="s">
        <v>116</v>
      </c>
      <c r="E12" s="96" t="s">
        <v>116</v>
      </c>
      <c r="F12" s="96" t="s">
        <v>117</v>
      </c>
      <c r="G12" s="96" t="s">
        <v>116</v>
      </c>
      <c r="H12" s="96" t="s">
        <v>118</v>
      </c>
      <c r="I12" s="97"/>
    </row>
    <row r="13" spans="1:9" x14ac:dyDescent="0.25">
      <c r="A13" s="98" t="s">
        <v>12</v>
      </c>
      <c r="B13" s="99"/>
      <c r="C13" s="98">
        <f>Summary!D53 + Summary!D55</f>
        <v>1367379.1791999999</v>
      </c>
      <c r="D13" s="100">
        <f>Summary!D71 + Summary!D73 + Summary!D83</f>
        <v>295940.2867</v>
      </c>
      <c r="E13" s="100">
        <f>Summary!D90</f>
        <v>1305</v>
      </c>
      <c r="F13" s="100">
        <f>Summary!C91</f>
        <v>3.5000000000000004</v>
      </c>
      <c r="G13" s="100">
        <f>Summary!D93</f>
        <v>0</v>
      </c>
      <c r="H13" s="100">
        <f>G13+SUM(C13:E13)</f>
        <v>1664624.4659</v>
      </c>
      <c r="I13" s="99"/>
    </row>
    <row r="14" spans="1:9" x14ac:dyDescent="0.25">
      <c r="A14" s="88"/>
      <c r="B14" s="69"/>
      <c r="C14" s="88"/>
      <c r="D14" s="101"/>
      <c r="E14" s="101"/>
      <c r="F14" s="101"/>
      <c r="G14" s="101"/>
      <c r="H14" s="102">
        <f>G14+SUM(C13:E13)</f>
        <v>1664624.4659</v>
      </c>
      <c r="I14" s="69"/>
    </row>
    <row r="15" spans="1:9" x14ac:dyDescent="0.25">
      <c r="A15" s="88"/>
      <c r="B15" s="69"/>
      <c r="C15" s="88"/>
      <c r="D15" s="101"/>
      <c r="E15" s="101"/>
      <c r="F15" s="103"/>
      <c r="G15" s="101"/>
      <c r="H15" s="101"/>
      <c r="I15" s="69"/>
    </row>
    <row r="16" spans="1:9" x14ac:dyDescent="0.25">
      <c r="A16" s="104" t="s">
        <v>119</v>
      </c>
      <c r="B16" s="74"/>
      <c r="C16" s="105">
        <f>SUM(C13)</f>
        <v>1367379.1791999999</v>
      </c>
      <c r="D16" s="106">
        <f>SUM(D13)</f>
        <v>295940.2867</v>
      </c>
      <c r="E16" s="106">
        <f>SUM(E13)</f>
        <v>1305</v>
      </c>
      <c r="F16" s="107"/>
      <c r="G16" s="106">
        <f>SUM(G13)</f>
        <v>0</v>
      </c>
      <c r="H16" s="106">
        <f>SUM(H13)</f>
        <v>1664624.4659</v>
      </c>
      <c r="I16" s="108">
        <f>SUM(I13)</f>
        <v>0</v>
      </c>
    </row>
    <row r="17" spans="1:9" x14ac:dyDescent="0.25">
      <c r="A17" s="66"/>
      <c r="B17" s="87"/>
      <c r="C17" s="87"/>
      <c r="D17" s="67"/>
      <c r="E17" s="109"/>
      <c r="F17" s="109"/>
      <c r="G17" s="109"/>
      <c r="H17" s="110"/>
      <c r="I17" s="110"/>
    </row>
    <row r="18" spans="1:9" x14ac:dyDescent="0.25">
      <c r="A18" s="104" t="s">
        <v>120</v>
      </c>
      <c r="B18" s="111"/>
      <c r="C18" s="111"/>
      <c r="D18" s="74"/>
      <c r="E18" s="112"/>
      <c r="F18" s="112"/>
      <c r="G18" s="112"/>
      <c r="H18" s="106">
        <f>Summary!E94</f>
        <v>1664624.4659</v>
      </c>
      <c r="I18" s="97"/>
    </row>
    <row r="19" spans="1:9" x14ac:dyDescent="0.25">
      <c r="A19" s="66"/>
      <c r="B19" s="87"/>
      <c r="C19" s="113" t="s">
        <v>121</v>
      </c>
      <c r="D19" s="87"/>
      <c r="E19" s="87"/>
      <c r="F19" s="87"/>
      <c r="G19" s="87"/>
      <c r="H19" s="87"/>
      <c r="I19" s="67"/>
    </row>
    <row r="20" spans="1:9" x14ac:dyDescent="0.25">
      <c r="A20" s="88"/>
      <c r="B20" s="89"/>
      <c r="C20" s="114" t="s">
        <v>122</v>
      </c>
      <c r="D20" s="89"/>
      <c r="E20" s="89"/>
      <c r="F20" s="89"/>
      <c r="G20" s="89"/>
      <c r="H20" s="89"/>
      <c r="I20" s="69"/>
    </row>
    <row r="21" spans="1:9" x14ac:dyDescent="0.25">
      <c r="A21" s="88"/>
      <c r="B21" s="89"/>
      <c r="C21" s="89"/>
      <c r="D21" s="89"/>
      <c r="E21" s="89"/>
      <c r="F21" s="89"/>
      <c r="G21" s="89"/>
      <c r="H21" s="89"/>
      <c r="I21" s="69"/>
    </row>
    <row r="22" spans="1:9" x14ac:dyDescent="0.25">
      <c r="A22" s="88"/>
      <c r="B22" s="89"/>
      <c r="C22" s="89"/>
      <c r="D22" s="89"/>
      <c r="E22" s="89"/>
      <c r="F22" s="89"/>
      <c r="G22" s="89"/>
      <c r="H22" s="89"/>
      <c r="I22" s="69"/>
    </row>
    <row r="23" spans="1:9" x14ac:dyDescent="0.25">
      <c r="A23" s="88"/>
      <c r="B23" s="89"/>
      <c r="C23" s="39"/>
      <c r="D23" s="39"/>
      <c r="E23" s="39"/>
      <c r="F23" s="89"/>
      <c r="G23" s="89"/>
      <c r="H23" s="89"/>
      <c r="I23" s="69"/>
    </row>
    <row r="24" spans="1:9" x14ac:dyDescent="0.25">
      <c r="A24" s="88"/>
      <c r="B24" s="89"/>
      <c r="C24" s="270" t="s">
        <v>123</v>
      </c>
      <c r="D24" s="270"/>
      <c r="E24" s="270"/>
      <c r="F24" s="89"/>
      <c r="G24" s="89"/>
      <c r="H24" s="89"/>
      <c r="I24" s="69"/>
    </row>
    <row r="25" spans="1:9" x14ac:dyDescent="0.25">
      <c r="A25" s="88"/>
      <c r="B25" s="89"/>
      <c r="C25" s="89"/>
      <c r="D25" s="89"/>
      <c r="E25" s="89"/>
      <c r="F25" s="89"/>
      <c r="G25" s="89"/>
      <c r="H25" s="89"/>
      <c r="I25" s="69"/>
    </row>
    <row r="26" spans="1:9" x14ac:dyDescent="0.25">
      <c r="A26" s="88"/>
      <c r="B26" s="89"/>
      <c r="C26" s="39"/>
      <c r="D26" s="39"/>
      <c r="E26" s="89"/>
      <c r="F26" s="89"/>
      <c r="G26" s="89"/>
      <c r="H26" s="89"/>
      <c r="I26" s="69"/>
    </row>
    <row r="27" spans="1:9" x14ac:dyDescent="0.25">
      <c r="A27" s="88"/>
      <c r="B27" s="89"/>
      <c r="C27" s="270" t="s">
        <v>124</v>
      </c>
      <c r="D27" s="270"/>
      <c r="E27" s="89"/>
      <c r="F27" s="89"/>
      <c r="G27" s="89"/>
      <c r="H27" s="89"/>
      <c r="I27" s="69"/>
    </row>
    <row r="28" spans="1:9" x14ac:dyDescent="0.25">
      <c r="A28" s="73"/>
      <c r="B28" s="111"/>
      <c r="C28" s="111"/>
      <c r="D28" s="111"/>
      <c r="E28" s="111"/>
      <c r="F28" s="111"/>
      <c r="G28" s="111"/>
      <c r="H28" s="111"/>
      <c r="I28" s="74"/>
    </row>
    <row r="31" spans="1:9" ht="16.5" x14ac:dyDescent="0.25">
      <c r="A31" s="271" t="s">
        <v>125</v>
      </c>
      <c r="B31" s="271"/>
      <c r="C31" s="271"/>
      <c r="D31" s="271"/>
      <c r="E31" s="271"/>
      <c r="F31" s="271"/>
      <c r="G31" s="271"/>
      <c r="H31" s="271"/>
      <c r="I31" s="271"/>
    </row>
    <row r="33" spans="1:9" ht="16.5" x14ac:dyDescent="0.25">
      <c r="A33" s="271" t="s">
        <v>126</v>
      </c>
      <c r="B33" s="271"/>
      <c r="C33" s="271"/>
      <c r="D33" s="271"/>
      <c r="E33" s="271"/>
      <c r="F33" s="271"/>
      <c r="G33" s="271"/>
      <c r="H33" s="271"/>
      <c r="I33" s="271"/>
    </row>
    <row r="36" spans="1:9" ht="15.75" x14ac:dyDescent="0.25">
      <c r="B36" s="115" t="s">
        <v>127</v>
      </c>
      <c r="G36" s="116">
        <v>8196266</v>
      </c>
    </row>
    <row r="38" spans="1:9" ht="15.75" x14ac:dyDescent="0.25">
      <c r="B38" s="115" t="s">
        <v>128</v>
      </c>
      <c r="G38" s="116">
        <f>G36-G42</f>
        <v>6531641.5340999998</v>
      </c>
    </row>
    <row r="39" spans="1:9" ht="15.75" x14ac:dyDescent="0.25">
      <c r="B39" s="115" t="s">
        <v>129</v>
      </c>
    </row>
    <row r="40" spans="1:9" ht="15.75" x14ac:dyDescent="0.25">
      <c r="B40" s="115" t="s">
        <v>130</v>
      </c>
    </row>
    <row r="42" spans="1:9" ht="15.75" x14ac:dyDescent="0.25">
      <c r="B42" s="115" t="s">
        <v>131</v>
      </c>
      <c r="G42" s="117">
        <f>H16</f>
        <v>1664624.4659</v>
      </c>
    </row>
    <row r="48" spans="1:9" x14ac:dyDescent="0.25">
      <c r="A48" s="118" t="str">
        <f>Summary!G8 &amp; " SECTION 6 SBDM ALLOCATION 2ND MONTH ADJUSTMENTS"</f>
        <v>2023-2024 SECTION 6 SBDM ALLOCATION 2ND MONTH ADJUSTMENTS</v>
      </c>
    </row>
    <row r="50" spans="1:9" x14ac:dyDescent="0.25">
      <c r="A50" s="66"/>
      <c r="B50" s="119" t="s">
        <v>132</v>
      </c>
      <c r="C50" s="119" t="s">
        <v>133</v>
      </c>
      <c r="D50" s="119" t="s">
        <v>134</v>
      </c>
      <c r="E50" s="119" t="s">
        <v>133</v>
      </c>
      <c r="F50" s="120" t="s">
        <v>135</v>
      </c>
    </row>
    <row r="51" spans="1:9" x14ac:dyDescent="0.25">
      <c r="A51" s="121" t="s">
        <v>136</v>
      </c>
      <c r="B51" s="122" t="s">
        <v>137</v>
      </c>
      <c r="C51" s="122" t="s">
        <v>138</v>
      </c>
      <c r="D51" s="122" t="s">
        <v>139</v>
      </c>
      <c r="E51" s="122" t="s">
        <v>138</v>
      </c>
      <c r="F51" s="123" t="s">
        <v>140</v>
      </c>
    </row>
    <row r="52" spans="1:9" x14ac:dyDescent="0.25">
      <c r="A52" s="73"/>
      <c r="B52" s="124" t="s">
        <v>141</v>
      </c>
      <c r="C52" s="125">
        <f>Summary!C91</f>
        <v>3.5000000000000004</v>
      </c>
      <c r="D52" s="124" t="s">
        <v>142</v>
      </c>
      <c r="E52" s="125">
        <f>Summary!C91</f>
        <v>3.5000000000000004</v>
      </c>
      <c r="F52" s="74"/>
    </row>
    <row r="53" spans="1:9" x14ac:dyDescent="0.25">
      <c r="A53" s="126" t="s">
        <v>12</v>
      </c>
      <c r="B53" s="127">
        <f>Summary!D51</f>
        <v>401</v>
      </c>
      <c r="C53" s="128">
        <f>B53*C52</f>
        <v>1403.5000000000002</v>
      </c>
      <c r="D53" s="127">
        <v>0</v>
      </c>
      <c r="E53" s="127">
        <f>D53*E52</f>
        <v>0</v>
      </c>
      <c r="F53" s="129">
        <f>E53-C53</f>
        <v>-1403.5000000000002</v>
      </c>
    </row>
    <row r="54" spans="1:9" x14ac:dyDescent="0.25">
      <c r="A54" s="118" t="s">
        <v>94</v>
      </c>
      <c r="B54" s="130">
        <f>SUM(B53)</f>
        <v>401</v>
      </c>
      <c r="C54" s="130">
        <f>SUM(C53)</f>
        <v>1403.5000000000002</v>
      </c>
      <c r="D54" s="130">
        <f>SUM(D53)</f>
        <v>0</v>
      </c>
      <c r="E54" s="130">
        <f>SUM(E53)</f>
        <v>0</v>
      </c>
      <c r="F54" s="130">
        <f>SUM(F53)</f>
        <v>-1403.5000000000002</v>
      </c>
    </row>
    <row r="58" spans="1:9" ht="16.5" x14ac:dyDescent="0.25">
      <c r="A58" s="271" t="s">
        <v>143</v>
      </c>
      <c r="B58" s="271"/>
      <c r="C58" s="271"/>
      <c r="D58" s="271"/>
      <c r="E58" s="271"/>
      <c r="F58" s="271"/>
      <c r="G58" s="271"/>
      <c r="H58" s="271"/>
      <c r="I58" s="271"/>
    </row>
    <row r="60" spans="1:9" ht="16.5" x14ac:dyDescent="0.25">
      <c r="A60" s="271" t="s">
        <v>126</v>
      </c>
      <c r="B60" s="271"/>
      <c r="C60" s="271"/>
      <c r="D60" s="271"/>
      <c r="E60" s="271"/>
      <c r="F60" s="271"/>
      <c r="G60" s="271"/>
      <c r="H60" s="271"/>
      <c r="I60" s="271"/>
    </row>
    <row r="63" spans="1:9" ht="15.75" x14ac:dyDescent="0.25">
      <c r="B63" s="115" t="s">
        <v>127</v>
      </c>
      <c r="G63" s="131">
        <v>8196266</v>
      </c>
    </row>
    <row r="65" spans="1:9" ht="15.75" x14ac:dyDescent="0.25">
      <c r="B65" s="115" t="s">
        <v>128</v>
      </c>
      <c r="G65" s="131">
        <f>G63-G69</f>
        <v>8196266</v>
      </c>
    </row>
    <row r="66" spans="1:9" ht="15.75" x14ac:dyDescent="0.25">
      <c r="B66" s="115" t="s">
        <v>129</v>
      </c>
    </row>
    <row r="67" spans="1:9" ht="15.75" x14ac:dyDescent="0.25">
      <c r="B67" s="115" t="s">
        <v>130</v>
      </c>
    </row>
    <row r="69" spans="1:9" ht="15.75" x14ac:dyDescent="0.25">
      <c r="B69" s="115" t="s">
        <v>131</v>
      </c>
      <c r="G69" s="132">
        <f>H83</f>
        <v>0</v>
      </c>
    </row>
    <row r="72" spans="1:9" ht="15.75" x14ac:dyDescent="0.25">
      <c r="A72" s="267" t="s">
        <v>95</v>
      </c>
      <c r="B72" s="267"/>
      <c r="C72" s="267"/>
      <c r="D72" s="267"/>
      <c r="E72" s="267"/>
      <c r="F72" s="267"/>
      <c r="G72" s="267"/>
      <c r="H72" s="267"/>
      <c r="I72" s="267"/>
    </row>
    <row r="73" spans="1:9" ht="15.75" x14ac:dyDescent="0.25">
      <c r="A73" s="269" t="str">
        <f>Summary!G8 &amp; " CERTIFICATION"</f>
        <v>2023-2024 CERTIFICATION</v>
      </c>
      <c r="B73" s="269"/>
      <c r="C73" s="269"/>
      <c r="D73" s="269"/>
      <c r="E73" s="269"/>
      <c r="F73" s="269"/>
      <c r="G73" s="269"/>
      <c r="H73" s="269"/>
      <c r="I73" s="269"/>
    </row>
    <row r="74" spans="1:9" ht="15.75" x14ac:dyDescent="0.25">
      <c r="A74" s="269" t="str">
        <f>"DISTRICT " &amp; Summary!D2</f>
        <v>DISTRICT Dayton Ind Board of Ed</v>
      </c>
      <c r="B74" s="269"/>
      <c r="C74" s="269"/>
      <c r="D74" s="269"/>
      <c r="E74" s="269"/>
      <c r="F74" s="269"/>
      <c r="G74" s="269"/>
      <c r="H74" s="269"/>
      <c r="I74" s="269"/>
    </row>
    <row r="77" spans="1:9" ht="15.75" x14ac:dyDescent="0.25">
      <c r="A77" s="133"/>
      <c r="B77" s="6"/>
      <c r="C77" s="92" t="s">
        <v>96</v>
      </c>
      <c r="D77" s="92" t="s">
        <v>97</v>
      </c>
      <c r="E77" s="92" t="s">
        <v>98</v>
      </c>
      <c r="F77" s="92" t="s">
        <v>99</v>
      </c>
      <c r="G77" s="92" t="s">
        <v>100</v>
      </c>
      <c r="H77" s="92" t="s">
        <v>99</v>
      </c>
      <c r="I77" s="92" t="s">
        <v>101</v>
      </c>
    </row>
    <row r="78" spans="1:9" x14ac:dyDescent="0.25">
      <c r="A78" s="66"/>
      <c r="B78" s="67"/>
      <c r="C78" s="134" t="s">
        <v>102</v>
      </c>
      <c r="D78" s="134" t="s">
        <v>103</v>
      </c>
      <c r="E78" s="134" t="s">
        <v>104</v>
      </c>
      <c r="F78" s="134" t="s">
        <v>105</v>
      </c>
      <c r="G78" s="134" t="s">
        <v>106</v>
      </c>
      <c r="H78" s="134" t="s">
        <v>107</v>
      </c>
      <c r="I78" s="134" t="s">
        <v>108</v>
      </c>
    </row>
    <row r="79" spans="1:9" x14ac:dyDescent="0.25">
      <c r="A79" s="88"/>
      <c r="B79" s="69"/>
      <c r="C79" s="134" t="s">
        <v>109</v>
      </c>
      <c r="D79" s="134" t="s">
        <v>109</v>
      </c>
      <c r="E79" s="134" t="s">
        <v>110</v>
      </c>
      <c r="F79" s="134" t="s">
        <v>111</v>
      </c>
      <c r="G79" s="134" t="s">
        <v>112</v>
      </c>
      <c r="H79" s="134" t="s">
        <v>113</v>
      </c>
      <c r="I79" s="134" t="s">
        <v>114</v>
      </c>
    </row>
    <row r="80" spans="1:9" ht="15.75" x14ac:dyDescent="0.25">
      <c r="A80" s="95" t="s">
        <v>115</v>
      </c>
      <c r="B80" s="74"/>
      <c r="C80" s="134" t="s">
        <v>116</v>
      </c>
      <c r="D80" s="134" t="s">
        <v>116</v>
      </c>
      <c r="E80" s="134" t="s">
        <v>116</v>
      </c>
      <c r="F80" s="134" t="s">
        <v>117</v>
      </c>
      <c r="G80" s="134" t="s">
        <v>116</v>
      </c>
      <c r="H80" s="134" t="s">
        <v>118</v>
      </c>
      <c r="I80" s="97"/>
    </row>
    <row r="81" spans="1:9" x14ac:dyDescent="0.25">
      <c r="A81" s="135" t="s">
        <v>12</v>
      </c>
      <c r="B81" s="99"/>
      <c r="C81" s="100">
        <f>Summary!D53 + Summary!D55</f>
        <v>1367379.1791999999</v>
      </c>
      <c r="D81" s="100">
        <f>Summary!D71 + Summary!D73 + Summary!D83</f>
        <v>295940.2867</v>
      </c>
      <c r="E81" s="100">
        <f>Summary!D90</f>
        <v>1305</v>
      </c>
      <c r="F81" s="100">
        <f>Summary!C91</f>
        <v>3.5000000000000004</v>
      </c>
      <c r="G81" s="100">
        <f>Summary!D93</f>
        <v>0</v>
      </c>
      <c r="H81" s="100">
        <f>G81+SUM(C81:E81)</f>
        <v>1664624.4659</v>
      </c>
      <c r="I81" s="136"/>
    </row>
    <row r="82" spans="1:9" x14ac:dyDescent="0.25">
      <c r="A82" s="88"/>
      <c r="B82" s="69"/>
      <c r="C82" s="101"/>
      <c r="D82" s="101"/>
      <c r="E82" s="101"/>
      <c r="F82" s="101"/>
      <c r="G82" s="101"/>
      <c r="H82" s="102">
        <f>G82+SUM(C81:E81)</f>
        <v>1664624.4659</v>
      </c>
      <c r="I82" s="101"/>
    </row>
    <row r="83" spans="1:9" x14ac:dyDescent="0.25">
      <c r="A83" s="88"/>
      <c r="B83" s="69"/>
      <c r="C83" s="101"/>
      <c r="D83" s="101"/>
      <c r="E83" s="101"/>
      <c r="F83" s="137"/>
      <c r="G83" s="101"/>
      <c r="H83" s="101"/>
      <c r="I83" s="101"/>
    </row>
    <row r="84" spans="1:9" x14ac:dyDescent="0.25">
      <c r="A84" s="104" t="s">
        <v>119</v>
      </c>
      <c r="B84" s="74"/>
      <c r="C84" s="106">
        <f>SUM(C81)</f>
        <v>1367379.1791999999</v>
      </c>
      <c r="D84" s="106">
        <f>SUM(D81)</f>
        <v>295940.2867</v>
      </c>
      <c r="E84" s="106">
        <f>SUM(E81)</f>
        <v>1305</v>
      </c>
      <c r="F84" s="107"/>
      <c r="G84" s="106">
        <f>SUM(G81)</f>
        <v>0</v>
      </c>
      <c r="H84" s="106">
        <f>SUM(H81)</f>
        <v>1664624.4659</v>
      </c>
      <c r="I84" s="106">
        <f>SUM(I81)</f>
        <v>0</v>
      </c>
    </row>
    <row r="85" spans="1:9" x14ac:dyDescent="0.25">
      <c r="A85" s="66"/>
      <c r="B85" s="87"/>
      <c r="C85" s="87"/>
      <c r="D85" s="67"/>
      <c r="E85" s="109"/>
      <c r="F85" s="109"/>
      <c r="G85" s="109"/>
      <c r="H85" s="110"/>
      <c r="I85" s="110"/>
    </row>
    <row r="86" spans="1:9" x14ac:dyDescent="0.25">
      <c r="A86" s="104" t="s">
        <v>120</v>
      </c>
      <c r="B86" s="111"/>
      <c r="C86" s="111"/>
      <c r="D86" s="74"/>
      <c r="E86" s="112"/>
      <c r="F86" s="112"/>
      <c r="G86" s="112"/>
      <c r="H86" s="106">
        <f>Summary!E94</f>
        <v>1664624.4659</v>
      </c>
      <c r="I86" s="97"/>
    </row>
    <row r="87" spans="1:9" x14ac:dyDescent="0.25">
      <c r="A87" s="66"/>
      <c r="B87" s="87"/>
      <c r="C87" s="113" t="s">
        <v>121</v>
      </c>
      <c r="D87" s="87"/>
      <c r="E87" s="87"/>
      <c r="F87" s="87"/>
      <c r="G87" s="87"/>
      <c r="H87" s="87"/>
      <c r="I87" s="67"/>
    </row>
    <row r="88" spans="1:9" x14ac:dyDescent="0.25">
      <c r="A88" s="88"/>
      <c r="B88" s="89"/>
      <c r="C88" s="89"/>
      <c r="D88" s="114" t="s">
        <v>144</v>
      </c>
      <c r="E88" s="89"/>
      <c r="F88" s="89"/>
      <c r="G88" s="89"/>
      <c r="H88" s="89"/>
      <c r="I88" s="69"/>
    </row>
    <row r="89" spans="1:9" x14ac:dyDescent="0.25">
      <c r="A89" s="88"/>
      <c r="B89" s="89"/>
      <c r="C89" s="89"/>
      <c r="D89" s="89"/>
      <c r="E89" s="89"/>
      <c r="F89" s="89"/>
      <c r="G89" s="89"/>
      <c r="H89" s="89"/>
      <c r="I89" s="69"/>
    </row>
    <row r="90" spans="1:9" x14ac:dyDescent="0.25">
      <c r="A90" s="88"/>
      <c r="B90" s="89"/>
      <c r="C90" s="89"/>
      <c r="D90" s="89"/>
      <c r="E90" s="89"/>
      <c r="F90" s="89"/>
      <c r="G90" s="89"/>
      <c r="H90" s="89"/>
      <c r="I90" s="69"/>
    </row>
    <row r="91" spans="1:9" x14ac:dyDescent="0.25">
      <c r="A91" s="88"/>
      <c r="B91" s="89"/>
      <c r="C91" s="39"/>
      <c r="D91" s="39"/>
      <c r="E91" s="39"/>
      <c r="F91" s="89"/>
      <c r="G91" s="89"/>
      <c r="H91" s="89"/>
      <c r="I91" s="69"/>
    </row>
    <row r="92" spans="1:9" x14ac:dyDescent="0.25">
      <c r="A92" s="88"/>
      <c r="B92" s="89"/>
      <c r="C92" s="270" t="s">
        <v>123</v>
      </c>
      <c r="D92" s="270"/>
      <c r="E92" s="270"/>
      <c r="F92" s="89"/>
      <c r="G92" s="89"/>
      <c r="H92" s="89"/>
      <c r="I92" s="69"/>
    </row>
    <row r="93" spans="1:9" x14ac:dyDescent="0.25">
      <c r="A93" s="88"/>
      <c r="B93" s="89"/>
      <c r="C93" s="89"/>
      <c r="D93" s="89"/>
      <c r="E93" s="89"/>
      <c r="F93" s="89"/>
      <c r="G93" s="89"/>
      <c r="H93" s="89"/>
      <c r="I93" s="69"/>
    </row>
    <row r="94" spans="1:9" x14ac:dyDescent="0.25">
      <c r="A94" s="88"/>
      <c r="B94" s="89"/>
      <c r="C94" s="39"/>
      <c r="D94" s="39"/>
      <c r="E94" s="89"/>
      <c r="F94" s="89"/>
      <c r="G94" s="89"/>
      <c r="H94" s="89"/>
      <c r="I94" s="69"/>
    </row>
    <row r="95" spans="1:9" x14ac:dyDescent="0.25">
      <c r="A95" s="88"/>
      <c r="B95" s="89"/>
      <c r="C95" s="270" t="s">
        <v>124</v>
      </c>
      <c r="D95" s="270"/>
      <c r="E95" s="89"/>
      <c r="F95" s="89"/>
      <c r="G95" s="89"/>
      <c r="H95" s="89"/>
      <c r="I95" s="69"/>
    </row>
    <row r="96" spans="1:9" x14ac:dyDescent="0.25">
      <c r="A96" s="73"/>
      <c r="B96" s="111"/>
      <c r="C96" s="111"/>
      <c r="D96" s="111"/>
      <c r="E96" s="111"/>
      <c r="F96" s="111"/>
      <c r="G96" s="111"/>
      <c r="H96" s="111"/>
      <c r="I96" s="74"/>
    </row>
  </sheetData>
  <mergeCells count="14">
    <mergeCell ref="A4:I4"/>
    <mergeCell ref="A5:I5"/>
    <mergeCell ref="A6:I6"/>
    <mergeCell ref="C24:E24"/>
    <mergeCell ref="C27:D27"/>
    <mergeCell ref="A73:I73"/>
    <mergeCell ref="A74:I74"/>
    <mergeCell ref="C92:E92"/>
    <mergeCell ref="C95:D95"/>
    <mergeCell ref="A31:I31"/>
    <mergeCell ref="A33:I33"/>
    <mergeCell ref="A58:I58"/>
    <mergeCell ref="A60:I60"/>
    <mergeCell ref="A72:I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B141"/>
  <sheetViews>
    <sheetView topLeftCell="A4" workbookViewId="0">
      <selection activeCell="F8" sqref="F8"/>
    </sheetView>
  </sheetViews>
  <sheetFormatPr defaultRowHeight="15" x14ac:dyDescent="0.25"/>
  <cols>
    <col min="3" max="3" width="3.28515625" bestFit="1" customWidth="1"/>
    <col min="4" max="22" width="9.7109375" bestFit="1" customWidth="1"/>
    <col min="23" max="24" width="10.5703125" bestFit="1" customWidth="1"/>
    <col min="25" max="28" width="9.7109375" bestFit="1" customWidth="1"/>
  </cols>
  <sheetData>
    <row r="1" spans="3:10" x14ac:dyDescent="0.25">
      <c r="D1" s="138" t="s">
        <v>0</v>
      </c>
    </row>
    <row r="2" spans="3:10" x14ac:dyDescent="0.25">
      <c r="D2" s="138" t="s">
        <v>1</v>
      </c>
      <c r="G2" s="138" t="s">
        <v>145</v>
      </c>
      <c r="H2" s="139">
        <v>0</v>
      </c>
      <c r="I2" s="140" t="s">
        <v>146</v>
      </c>
      <c r="J2" s="141">
        <v>0</v>
      </c>
    </row>
    <row r="3" spans="3:10" x14ac:dyDescent="0.25">
      <c r="G3" s="138" t="s">
        <v>147</v>
      </c>
      <c r="H3" s="139">
        <v>0</v>
      </c>
    </row>
    <row r="4" spans="3:10" x14ac:dyDescent="0.25">
      <c r="D4" t="str">
        <f>Summary!G8</f>
        <v>2023-2024</v>
      </c>
      <c r="E4" t="s">
        <v>148</v>
      </c>
    </row>
    <row r="6" spans="3:10" x14ac:dyDescent="0.25">
      <c r="C6" s="142"/>
      <c r="D6" s="143" t="s">
        <v>38</v>
      </c>
      <c r="E6" s="143" t="s">
        <v>149</v>
      </c>
      <c r="F6" s="143" t="s">
        <v>150</v>
      </c>
    </row>
    <row r="7" spans="3:10" x14ac:dyDescent="0.25">
      <c r="C7" s="144">
        <f>0</f>
        <v>0</v>
      </c>
      <c r="D7" s="145">
        <v>50672</v>
      </c>
      <c r="E7" s="145">
        <v>47926</v>
      </c>
      <c r="F7" s="145">
        <v>43648</v>
      </c>
    </row>
    <row r="8" spans="3:10" x14ac:dyDescent="0.25">
      <c r="C8" s="144">
        <f>1</f>
        <v>1</v>
      </c>
      <c r="D8" s="145">
        <v>51391</v>
      </c>
      <c r="E8" s="145">
        <v>48194</v>
      </c>
      <c r="F8" s="145">
        <v>43851</v>
      </c>
    </row>
    <row r="9" spans="3:10" x14ac:dyDescent="0.25">
      <c r="C9" s="144">
        <f>2</f>
        <v>2</v>
      </c>
      <c r="D9" s="145">
        <v>52184</v>
      </c>
      <c r="E9" s="145">
        <v>48461</v>
      </c>
      <c r="F9" s="145">
        <v>44261</v>
      </c>
    </row>
    <row r="10" spans="3:10" x14ac:dyDescent="0.25">
      <c r="C10" s="144">
        <f>3</f>
        <v>3</v>
      </c>
      <c r="D10" s="145">
        <v>53008</v>
      </c>
      <c r="E10" s="145">
        <v>48728</v>
      </c>
      <c r="F10" s="145">
        <v>44933</v>
      </c>
    </row>
    <row r="11" spans="3:10" x14ac:dyDescent="0.25">
      <c r="C11" s="144">
        <f>4</f>
        <v>4</v>
      </c>
      <c r="D11" s="145">
        <v>54072</v>
      </c>
      <c r="E11" s="145">
        <v>49956</v>
      </c>
      <c r="F11" s="145">
        <v>45787</v>
      </c>
    </row>
    <row r="12" spans="3:10" x14ac:dyDescent="0.25">
      <c r="C12" s="144">
        <f>5</f>
        <v>5</v>
      </c>
      <c r="D12" s="145">
        <v>54873</v>
      </c>
      <c r="E12" s="145">
        <v>50306</v>
      </c>
      <c r="F12" s="145">
        <v>46623</v>
      </c>
    </row>
    <row r="13" spans="3:10" x14ac:dyDescent="0.25">
      <c r="C13" s="144">
        <f>6</f>
        <v>6</v>
      </c>
      <c r="D13" s="145">
        <v>55902</v>
      </c>
      <c r="E13" s="145">
        <v>51280</v>
      </c>
      <c r="F13" s="145">
        <v>47394</v>
      </c>
    </row>
    <row r="14" spans="3:10" x14ac:dyDescent="0.25">
      <c r="C14" s="144">
        <f>7</f>
        <v>7</v>
      </c>
      <c r="D14" s="145">
        <v>56889</v>
      </c>
      <c r="E14" s="145">
        <v>52146</v>
      </c>
      <c r="F14" s="145">
        <v>48126</v>
      </c>
    </row>
    <row r="15" spans="3:10" x14ac:dyDescent="0.25">
      <c r="C15" s="144">
        <f>8</f>
        <v>8</v>
      </c>
      <c r="D15" s="145">
        <v>57898</v>
      </c>
      <c r="E15" s="145">
        <v>53034</v>
      </c>
      <c r="F15" s="145">
        <v>48876</v>
      </c>
    </row>
    <row r="16" spans="3:10" x14ac:dyDescent="0.25">
      <c r="C16" s="144">
        <f>9</f>
        <v>9</v>
      </c>
      <c r="D16" s="145">
        <v>58924</v>
      </c>
      <c r="E16" s="145">
        <v>53938</v>
      </c>
      <c r="F16" s="145">
        <v>49647</v>
      </c>
    </row>
    <row r="17" spans="3:6" x14ac:dyDescent="0.25">
      <c r="C17" s="144">
        <f>10</f>
        <v>10</v>
      </c>
      <c r="D17" s="145">
        <v>61439</v>
      </c>
      <c r="E17" s="145">
        <v>57008</v>
      </c>
      <c r="F17" s="145">
        <v>52600</v>
      </c>
    </row>
    <row r="18" spans="3:6" x14ac:dyDescent="0.25">
      <c r="C18" s="144">
        <f>11</f>
        <v>11</v>
      </c>
      <c r="D18" s="145">
        <v>61930</v>
      </c>
      <c r="E18" s="145">
        <v>57482</v>
      </c>
      <c r="F18" s="145">
        <v>53059</v>
      </c>
    </row>
    <row r="19" spans="3:6" x14ac:dyDescent="0.25">
      <c r="C19" s="144">
        <f>12</f>
        <v>12</v>
      </c>
      <c r="D19" s="145">
        <v>62576</v>
      </c>
      <c r="E19" s="145">
        <v>58101</v>
      </c>
      <c r="F19" s="145">
        <v>53640</v>
      </c>
    </row>
    <row r="20" spans="3:6" x14ac:dyDescent="0.25">
      <c r="C20" s="144">
        <f>13</f>
        <v>13</v>
      </c>
      <c r="D20" s="145">
        <v>63220</v>
      </c>
      <c r="E20" s="145">
        <v>58717</v>
      </c>
      <c r="F20" s="145">
        <v>54220</v>
      </c>
    </row>
    <row r="21" spans="3:6" x14ac:dyDescent="0.25">
      <c r="C21" s="144">
        <f>14</f>
        <v>14</v>
      </c>
      <c r="D21" s="145">
        <v>63933</v>
      </c>
      <c r="E21" s="145">
        <v>59336</v>
      </c>
      <c r="F21" s="145">
        <v>54801</v>
      </c>
    </row>
    <row r="22" spans="3:6" x14ac:dyDescent="0.25">
      <c r="C22" s="144">
        <f>15</f>
        <v>15</v>
      </c>
      <c r="D22" s="145">
        <v>64787</v>
      </c>
      <c r="E22" s="145">
        <v>60107</v>
      </c>
      <c r="F22" s="145">
        <v>55514</v>
      </c>
    </row>
    <row r="23" spans="3:6" x14ac:dyDescent="0.25">
      <c r="C23" s="144">
        <f>16</f>
        <v>16</v>
      </c>
      <c r="D23" s="145">
        <v>65659</v>
      </c>
      <c r="E23" s="145">
        <v>60412</v>
      </c>
      <c r="F23" s="145">
        <v>55800</v>
      </c>
    </row>
    <row r="24" spans="3:6" x14ac:dyDescent="0.25">
      <c r="C24" s="144">
        <f>17</f>
        <v>17</v>
      </c>
      <c r="D24" s="145">
        <v>66454</v>
      </c>
      <c r="E24" s="145">
        <v>61087</v>
      </c>
      <c r="F24" s="145">
        <v>56223</v>
      </c>
    </row>
    <row r="25" spans="3:6" x14ac:dyDescent="0.25">
      <c r="C25" s="144">
        <f>18</f>
        <v>18</v>
      </c>
      <c r="D25" s="145">
        <v>67310</v>
      </c>
      <c r="E25" s="145">
        <v>61914</v>
      </c>
      <c r="F25" s="145">
        <v>56952</v>
      </c>
    </row>
    <row r="26" spans="3:6" x14ac:dyDescent="0.25">
      <c r="C26" s="144">
        <f>19</f>
        <v>19</v>
      </c>
      <c r="D26" s="145">
        <v>68287</v>
      </c>
      <c r="E26" s="145">
        <v>62780</v>
      </c>
      <c r="F26" s="145">
        <v>58081</v>
      </c>
    </row>
    <row r="27" spans="3:6" x14ac:dyDescent="0.25">
      <c r="C27" s="144">
        <f>20</f>
        <v>20</v>
      </c>
      <c r="D27" s="145">
        <v>69245</v>
      </c>
      <c r="E27" s="145">
        <v>63851</v>
      </c>
      <c r="F27" s="145">
        <v>59152</v>
      </c>
    </row>
    <row r="28" spans="3:6" x14ac:dyDescent="0.25">
      <c r="C28" s="144">
        <f>21</f>
        <v>21</v>
      </c>
      <c r="D28" s="145">
        <v>70460</v>
      </c>
      <c r="E28" s="145">
        <v>64585</v>
      </c>
      <c r="F28" s="145">
        <v>59612</v>
      </c>
    </row>
    <row r="29" spans="3:6" x14ac:dyDescent="0.25">
      <c r="C29" s="144">
        <f>22</f>
        <v>22</v>
      </c>
      <c r="D29" s="145">
        <v>71750</v>
      </c>
      <c r="E29" s="145">
        <v>65753</v>
      </c>
      <c r="F29" s="145">
        <v>60396</v>
      </c>
    </row>
    <row r="30" spans="3:6" x14ac:dyDescent="0.25">
      <c r="C30" s="144">
        <f>23</f>
        <v>23</v>
      </c>
      <c r="D30" s="145">
        <v>72635</v>
      </c>
      <c r="E30" s="145">
        <v>66583</v>
      </c>
      <c r="F30" s="145">
        <v>61341</v>
      </c>
    </row>
    <row r="31" spans="3:6" x14ac:dyDescent="0.25">
      <c r="C31" s="144">
        <f>24</f>
        <v>24</v>
      </c>
      <c r="D31" s="145">
        <v>73501</v>
      </c>
      <c r="E31" s="145">
        <v>67389</v>
      </c>
      <c r="F31" s="145">
        <v>62078</v>
      </c>
    </row>
    <row r="32" spans="3:6" x14ac:dyDescent="0.25">
      <c r="C32" s="144">
        <f>25</f>
        <v>25</v>
      </c>
      <c r="D32" s="145">
        <v>74461</v>
      </c>
      <c r="E32" s="145">
        <v>68276</v>
      </c>
      <c r="F32" s="145">
        <v>62873</v>
      </c>
    </row>
    <row r="33" spans="3:6" x14ac:dyDescent="0.25">
      <c r="C33" s="144">
        <f>26</f>
        <v>26</v>
      </c>
      <c r="D33" s="145">
        <v>75372</v>
      </c>
      <c r="E33" s="145">
        <v>69121</v>
      </c>
      <c r="F33" s="145">
        <v>63735</v>
      </c>
    </row>
    <row r="34" spans="3:6" x14ac:dyDescent="0.25">
      <c r="C34" s="144">
        <f>27</f>
        <v>27</v>
      </c>
      <c r="D34" s="145">
        <v>76270</v>
      </c>
      <c r="E34" s="145">
        <v>69976</v>
      </c>
      <c r="F34" s="145">
        <v>64414</v>
      </c>
    </row>
    <row r="35" spans="3:6" x14ac:dyDescent="0.25">
      <c r="C35" s="144">
        <f>28</f>
        <v>28</v>
      </c>
      <c r="D35" s="145">
        <v>77077</v>
      </c>
      <c r="E35" s="145">
        <v>70739</v>
      </c>
      <c r="F35" s="145">
        <v>65032</v>
      </c>
    </row>
    <row r="36" spans="3:6" x14ac:dyDescent="0.25">
      <c r="C36" s="144">
        <f>29</f>
        <v>29</v>
      </c>
      <c r="D36" s="145">
        <v>77818</v>
      </c>
      <c r="E36" s="145">
        <v>71441</v>
      </c>
      <c r="F36" s="145">
        <v>65649</v>
      </c>
    </row>
    <row r="37" spans="3:6" x14ac:dyDescent="0.25">
      <c r="C37" s="144">
        <f>30</f>
        <v>30</v>
      </c>
      <c r="D37" s="145">
        <v>78295</v>
      </c>
      <c r="E37" s="145">
        <v>72005</v>
      </c>
      <c r="F37" s="145">
        <v>67332</v>
      </c>
    </row>
    <row r="38" spans="3:6" x14ac:dyDescent="0.25">
      <c r="C38" s="144">
        <f>31</f>
        <v>31</v>
      </c>
      <c r="D38" s="145">
        <v>78295</v>
      </c>
      <c r="E38" s="145">
        <v>72005</v>
      </c>
      <c r="F38" s="145">
        <v>67332</v>
      </c>
    </row>
    <row r="39" spans="3:6" x14ac:dyDescent="0.25">
      <c r="C39" s="144">
        <f>32</f>
        <v>32</v>
      </c>
      <c r="D39" s="145">
        <v>78295</v>
      </c>
      <c r="E39" s="145">
        <v>72005</v>
      </c>
      <c r="F39" s="145">
        <v>67332</v>
      </c>
    </row>
    <row r="40" spans="3:6" x14ac:dyDescent="0.25">
      <c r="C40" s="144">
        <f>33</f>
        <v>33</v>
      </c>
      <c r="D40" s="145">
        <v>78295</v>
      </c>
      <c r="E40" s="145">
        <v>72005</v>
      </c>
      <c r="F40" s="145">
        <v>67332</v>
      </c>
    </row>
    <row r="41" spans="3:6" x14ac:dyDescent="0.25">
      <c r="C41" s="144">
        <f>34</f>
        <v>34</v>
      </c>
      <c r="D41" s="145">
        <v>78295</v>
      </c>
      <c r="E41" s="145">
        <v>72005</v>
      </c>
      <c r="F41" s="145">
        <v>67332</v>
      </c>
    </row>
    <row r="42" spans="3:6" x14ac:dyDescent="0.25">
      <c r="C42" s="144">
        <f>35</f>
        <v>35</v>
      </c>
      <c r="D42" s="145">
        <v>78295</v>
      </c>
      <c r="E42" s="145">
        <v>72005</v>
      </c>
      <c r="F42" s="145">
        <v>67332</v>
      </c>
    </row>
    <row r="43" spans="3:6" x14ac:dyDescent="0.25">
      <c r="C43" s="144">
        <f>36</f>
        <v>36</v>
      </c>
      <c r="D43" s="145">
        <v>78295</v>
      </c>
      <c r="E43" s="145">
        <v>72005</v>
      </c>
      <c r="F43" s="145">
        <v>67332</v>
      </c>
    </row>
    <row r="44" spans="3:6" x14ac:dyDescent="0.25">
      <c r="C44" s="144">
        <f>37</f>
        <v>37</v>
      </c>
      <c r="D44" s="145">
        <v>78295</v>
      </c>
      <c r="E44" s="145">
        <v>72005</v>
      </c>
      <c r="F44" s="145">
        <v>67332</v>
      </c>
    </row>
    <row r="45" spans="3:6" x14ac:dyDescent="0.25">
      <c r="C45" s="144">
        <f>38</f>
        <v>38</v>
      </c>
      <c r="D45" s="145">
        <v>78295</v>
      </c>
      <c r="E45" s="145">
        <v>72005</v>
      </c>
      <c r="F45" s="145">
        <v>67332</v>
      </c>
    </row>
    <row r="46" spans="3:6" x14ac:dyDescent="0.25">
      <c r="C46" s="144">
        <f>39</f>
        <v>39</v>
      </c>
      <c r="D46" s="145">
        <v>78295</v>
      </c>
      <c r="E46" s="145">
        <v>72005</v>
      </c>
      <c r="F46" s="145">
        <v>67332</v>
      </c>
    </row>
    <row r="47" spans="3:6" x14ac:dyDescent="0.25">
      <c r="C47" s="144">
        <f>40</f>
        <v>40</v>
      </c>
      <c r="D47" s="145">
        <v>78295</v>
      </c>
      <c r="E47" s="145">
        <v>72005</v>
      </c>
      <c r="F47" s="145">
        <v>67332</v>
      </c>
    </row>
    <row r="50" spans="3:28" x14ac:dyDescent="0.25">
      <c r="E50" t="s">
        <v>151</v>
      </c>
    </row>
    <row r="52" spans="3:28" x14ac:dyDescent="0.25">
      <c r="C52" s="142"/>
      <c r="D52" s="143" t="s">
        <v>152</v>
      </c>
      <c r="E52" s="143" t="s">
        <v>153</v>
      </c>
      <c r="F52" s="143" t="s">
        <v>154</v>
      </c>
      <c r="G52" s="143" t="s">
        <v>155</v>
      </c>
      <c r="H52" s="143" t="s">
        <v>156</v>
      </c>
      <c r="I52" s="143" t="s">
        <v>157</v>
      </c>
      <c r="J52" s="143" t="s">
        <v>158</v>
      </c>
      <c r="K52" s="143" t="s">
        <v>159</v>
      </c>
      <c r="L52" s="143" t="s">
        <v>160</v>
      </c>
      <c r="M52" s="143" t="s">
        <v>161</v>
      </c>
      <c r="N52" s="143" t="s">
        <v>162</v>
      </c>
      <c r="O52" s="143" t="s">
        <v>163</v>
      </c>
      <c r="P52" s="143" t="s">
        <v>164</v>
      </c>
      <c r="Q52" s="143" t="s">
        <v>165</v>
      </c>
      <c r="R52" s="143" t="s">
        <v>166</v>
      </c>
      <c r="S52" s="143" t="s">
        <v>167</v>
      </c>
      <c r="T52" s="143" t="s">
        <v>168</v>
      </c>
      <c r="U52" s="143" t="s">
        <v>169</v>
      </c>
      <c r="V52" s="143" t="s">
        <v>170</v>
      </c>
      <c r="W52" s="143" t="s">
        <v>171</v>
      </c>
      <c r="X52" s="143" t="s">
        <v>172</v>
      </c>
      <c r="Y52" s="143" t="s">
        <v>173</v>
      </c>
      <c r="Z52" s="143" t="s">
        <v>174</v>
      </c>
      <c r="AA52" s="143" t="s">
        <v>175</v>
      </c>
      <c r="AB52" s="143" t="s">
        <v>176</v>
      </c>
    </row>
    <row r="53" spans="3:28" x14ac:dyDescent="0.25">
      <c r="C53" s="144">
        <f>0</f>
        <v>0</v>
      </c>
      <c r="D53" s="145">
        <f>13.68 * (1+H3)</f>
        <v>13.68</v>
      </c>
      <c r="E53" s="145">
        <f>17.02 * (1+H3)</f>
        <v>17.02</v>
      </c>
      <c r="F53" s="145">
        <f>10.49 * (1+H3)</f>
        <v>10.49</v>
      </c>
      <c r="G53" s="145">
        <f>20.445 * (1+H3)</f>
        <v>20.445</v>
      </c>
      <c r="H53" s="145">
        <f>12.65 * (1+H3)</f>
        <v>12.65</v>
      </c>
      <c r="I53" s="145">
        <f>13 * (1+H3)</f>
        <v>13</v>
      </c>
      <c r="J53" s="145">
        <f>17.5094 * (1+H3)</f>
        <v>17.509399999999999</v>
      </c>
      <c r="K53" s="145">
        <f>27.708 * (1+H3)</f>
        <v>27.707999999999998</v>
      </c>
      <c r="L53" s="145">
        <f>32.839 * (1+H3)</f>
        <v>32.838999999999999</v>
      </c>
      <c r="M53" s="145">
        <f>27.1221 * (1+H3)</f>
        <v>27.1221</v>
      </c>
      <c r="N53" s="145">
        <f>13.69 * (1+H3)</f>
        <v>13.69</v>
      </c>
      <c r="O53" s="145">
        <f>14.96 * (1+H3)</f>
        <v>14.96</v>
      </c>
      <c r="P53" s="145">
        <f>18.96 * (1+H3)</f>
        <v>18.96</v>
      </c>
      <c r="Q53" s="145">
        <f>13.19 * (1+H3)</f>
        <v>13.19</v>
      </c>
      <c r="R53" s="145">
        <f>15.03 * (1+H3)</f>
        <v>15.03</v>
      </c>
      <c r="S53" s="145">
        <f>13.55 * (1+H3)</f>
        <v>13.55</v>
      </c>
      <c r="T53" s="145">
        <f>15.82 * (1+H3)</f>
        <v>15.82</v>
      </c>
      <c r="U53" s="145">
        <f>42.043 * (1+H3)</f>
        <v>42.042999999999999</v>
      </c>
      <c r="V53" s="145">
        <f>14.53 * (1+H3)</f>
        <v>14.53</v>
      </c>
      <c r="W53" s="145">
        <f>15.08 * (1+H3)</f>
        <v>15.08</v>
      </c>
      <c r="X53" s="145">
        <f>262.5881 * (1+H3)</f>
        <v>262.5881</v>
      </c>
      <c r="Y53" s="145">
        <f>14.83 * (1+H3)</f>
        <v>14.83</v>
      </c>
      <c r="Z53" s="145">
        <f>16.59 * (1+H3)</f>
        <v>16.59</v>
      </c>
      <c r="AA53" s="145">
        <f>19.44 * (1+H3)</f>
        <v>19.440000000000001</v>
      </c>
      <c r="AB53" s="145">
        <f>31.7481 * (1+H3)</f>
        <v>31.748100000000001</v>
      </c>
    </row>
    <row r="54" spans="3:28" x14ac:dyDescent="0.25">
      <c r="C54" s="144">
        <f>1</f>
        <v>1</v>
      </c>
      <c r="D54" s="145">
        <f>13.87 * (1+H3)</f>
        <v>13.87</v>
      </c>
      <c r="E54" s="145">
        <f>17.26 * (1+H3)</f>
        <v>17.260000000000002</v>
      </c>
      <c r="F54" s="145">
        <f>10.69 * (1+H3)</f>
        <v>10.69</v>
      </c>
      <c r="G54" s="145">
        <f>20.6974 * (1+H3)</f>
        <v>20.697399999999998</v>
      </c>
      <c r="H54" s="145">
        <f>12.83 * (1+H3)</f>
        <v>12.83</v>
      </c>
      <c r="I54" s="145">
        <f>13.05 * (1+H3)</f>
        <v>13.05</v>
      </c>
      <c r="J54" s="145">
        <f>17.5598 * (1+H3)</f>
        <v>17.559799999999999</v>
      </c>
      <c r="K54" s="145">
        <f>27.7645 * (1+H3)</f>
        <v>27.764500000000002</v>
      </c>
      <c r="L54" s="145">
        <f>33.1038 * (1+H3)</f>
        <v>33.1038</v>
      </c>
      <c r="M54" s="145">
        <f>27.2857 * (1+H3)</f>
        <v>27.285699999999999</v>
      </c>
      <c r="N54" s="145">
        <f>13.95 * (1+H3)</f>
        <v>13.95</v>
      </c>
      <c r="O54" s="145">
        <f>15.46 * (1+H3)</f>
        <v>15.46</v>
      </c>
      <c r="P54" s="145">
        <f>19.46 * (1+H3)</f>
        <v>19.46</v>
      </c>
      <c r="Q54" s="145">
        <f>13.44 * (1+H3)</f>
        <v>13.44</v>
      </c>
      <c r="R54" s="145">
        <f>15.23 * (1+H3)</f>
        <v>15.23</v>
      </c>
      <c r="S54" s="145">
        <f>13.75 * (1+H3)</f>
        <v>13.75</v>
      </c>
      <c r="T54" s="145">
        <f>15.22 * (1+H3)</f>
        <v>15.22</v>
      </c>
      <c r="U54" s="145">
        <f>42.427 * (1+H3)</f>
        <v>42.427</v>
      </c>
      <c r="V54" s="145">
        <f>14.79 * (1+H3)</f>
        <v>14.79</v>
      </c>
      <c r="W54" s="145">
        <f>15.33 * (1+H3)</f>
        <v>15.33</v>
      </c>
      <c r="X54" s="145">
        <f>24.9113 * (1+H3)</f>
        <v>24.911300000000001</v>
      </c>
      <c r="Y54" s="145">
        <f>15.08 * (1+H3)</f>
        <v>15.08</v>
      </c>
      <c r="Z54" s="145">
        <f>16.84 * (1+H3)</f>
        <v>16.84</v>
      </c>
      <c r="AA54" s="145">
        <f>19.69 * (1+H3)</f>
        <v>19.690000000000001</v>
      </c>
      <c r="AB54" s="145">
        <f>32.0005 * (1+H3)</f>
        <v>32.000500000000002</v>
      </c>
    </row>
    <row r="55" spans="3:28" x14ac:dyDescent="0.25">
      <c r="C55" s="144">
        <f>2</f>
        <v>2</v>
      </c>
      <c r="D55" s="145">
        <f>14.07 * (1+H3)</f>
        <v>14.07</v>
      </c>
      <c r="E55" s="145">
        <f>17.51 * (1+H3)</f>
        <v>17.510000000000002</v>
      </c>
      <c r="F55" s="145">
        <f>10.89 * (1+H3)</f>
        <v>10.89</v>
      </c>
      <c r="G55" s="145">
        <f>20.9498 * (1+H3)</f>
        <v>20.9498</v>
      </c>
      <c r="H55" s="145">
        <f>13.01 * (1+H3)</f>
        <v>13.01</v>
      </c>
      <c r="I55" s="145">
        <f>13.1 * (1+H3)</f>
        <v>13.1</v>
      </c>
      <c r="J55" s="145">
        <f>17.6102 * (1+H3)</f>
        <v>17.610199999999999</v>
      </c>
      <c r="K55" s="145">
        <f>28.2128 * (1+H3)</f>
        <v>28.212800000000001</v>
      </c>
      <c r="L55" s="145">
        <f>33.3687 * (1+H3)</f>
        <v>33.368699999999997</v>
      </c>
      <c r="M55" s="145">
        <f>27.4487 * (1+H3)</f>
        <v>27.448699999999999</v>
      </c>
      <c r="N55" s="145">
        <f>14.2 * (1+H3)</f>
        <v>14.2</v>
      </c>
      <c r="O55" s="145">
        <f>15.97 * (1+H3)</f>
        <v>15.97</v>
      </c>
      <c r="P55" s="145">
        <f>19.97 * (1+H3)</f>
        <v>19.97</v>
      </c>
      <c r="Q55" s="145">
        <f>13.69 * (1+H3)</f>
        <v>13.69</v>
      </c>
      <c r="R55" s="145">
        <f>15.43 * (1+H3)</f>
        <v>15.43</v>
      </c>
      <c r="S55" s="145">
        <f>13.95 * (1+H3)</f>
        <v>13.95</v>
      </c>
      <c r="T55" s="145">
        <f>15.63 * (1+H3)</f>
        <v>15.63</v>
      </c>
      <c r="U55" s="145">
        <f>42.8111 * (1+H3)</f>
        <v>42.811100000000003</v>
      </c>
      <c r="V55" s="145">
        <f>15.04 * (1+H3)</f>
        <v>15.04</v>
      </c>
      <c r="W55" s="145">
        <f>15.58 * (1+H3)</f>
        <v>15.58</v>
      </c>
      <c r="X55" s="145">
        <f>25.0708 * (1+H3)</f>
        <v>25.070799999999998</v>
      </c>
      <c r="Y55" s="145">
        <f>15.33 * (1+H3)</f>
        <v>15.33</v>
      </c>
      <c r="Z55" s="145">
        <f>17.1 * (1+H3)</f>
        <v>17.100000000000001</v>
      </c>
      <c r="AA55" s="145">
        <f>19.94 * (1+H3)</f>
        <v>19.940000000000001</v>
      </c>
      <c r="AB55" s="145">
        <f>32.2529 * (1+H3)</f>
        <v>32.252899999999997</v>
      </c>
    </row>
    <row r="56" spans="3:28" x14ac:dyDescent="0.25">
      <c r="C56" s="144">
        <f>3</f>
        <v>3</v>
      </c>
      <c r="D56" s="145">
        <f>14.27 * (1+H3)</f>
        <v>14.27</v>
      </c>
      <c r="E56" s="145">
        <f>17.76 * (1+H3)</f>
        <v>17.760000000000002</v>
      </c>
      <c r="F56" s="145">
        <f>11.1 * (1+H3)</f>
        <v>11.1</v>
      </c>
      <c r="G56" s="145">
        <f>21.2022 * (1+H3)</f>
        <v>21.202200000000001</v>
      </c>
      <c r="H56" s="145">
        <f>13.2 * (1+H3)</f>
        <v>13.2</v>
      </c>
      <c r="I56" s="145">
        <f>13.15 * (1+H3)</f>
        <v>13.15</v>
      </c>
      <c r="J56" s="145">
        <f>17.6606 * (1+H3)</f>
        <v>17.660599999999999</v>
      </c>
      <c r="K56" s="145">
        <f>28.6168 * (1+H3)</f>
        <v>28.616800000000001</v>
      </c>
      <c r="L56" s="145">
        <f>33.6335 * (1+H3)</f>
        <v>33.633499999999998</v>
      </c>
      <c r="M56" s="145">
        <f>27.6117 * (1+H3)</f>
        <v>27.611699999999999</v>
      </c>
      <c r="N56" s="145">
        <f>14.45 * (1+H3)</f>
        <v>14.45</v>
      </c>
      <c r="O56" s="145">
        <f>16.47 * (1+H3)</f>
        <v>16.47</v>
      </c>
      <c r="P56" s="145">
        <f>20.47 * (1+H3)</f>
        <v>20.47</v>
      </c>
      <c r="Q56" s="145">
        <f>13.95 * (1+H3)</f>
        <v>13.95</v>
      </c>
      <c r="R56" s="145">
        <f>15.63 * (1+H3)</f>
        <v>15.63</v>
      </c>
      <c r="S56" s="145">
        <f>14.16 * (1+H3)</f>
        <v>14.16</v>
      </c>
      <c r="T56" s="145">
        <f>16.03 * (1+H3)</f>
        <v>16.03</v>
      </c>
      <c r="U56" s="145">
        <f>43.1951 * (1+H3)</f>
        <v>43.195099999999996</v>
      </c>
      <c r="V56" s="145">
        <f>15.29 * (1+H3)</f>
        <v>15.29</v>
      </c>
      <c r="W56" s="145">
        <f>15.83 * (1+H3)</f>
        <v>15.83</v>
      </c>
      <c r="X56" s="145">
        <f>25.231 * (1+H3)</f>
        <v>25.231000000000002</v>
      </c>
      <c r="Y56" s="145">
        <f>15.58 * (1+H3)</f>
        <v>15.58</v>
      </c>
      <c r="Z56" s="145">
        <f>17.35 * (1+H3)</f>
        <v>17.350000000000001</v>
      </c>
      <c r="AA56" s="145">
        <f>20.19 * (1+H3)</f>
        <v>20.190000000000001</v>
      </c>
      <c r="AB56" s="145">
        <f>32.5053 * (1+H3)</f>
        <v>32.505299999999998</v>
      </c>
    </row>
    <row r="57" spans="3:28" x14ac:dyDescent="0.25">
      <c r="C57" s="144">
        <f>4</f>
        <v>4</v>
      </c>
      <c r="D57" s="145">
        <f>14.47 * (1+H3)</f>
        <v>14.47</v>
      </c>
      <c r="E57" s="145">
        <f>18.02 * (1+H3)</f>
        <v>18.02</v>
      </c>
      <c r="F57" s="145">
        <f>11.3 * (1+H3)</f>
        <v>11.3</v>
      </c>
      <c r="G57" s="145">
        <f>21.4546 * (1+H3)</f>
        <v>21.454599999999999</v>
      </c>
      <c r="H57" s="145">
        <f>13.39 * (1+H3)</f>
        <v>13.39</v>
      </c>
      <c r="I57" s="145">
        <f>13.2 * (1+H3)</f>
        <v>13.2</v>
      </c>
      <c r="J57" s="145">
        <f>17.711 * (1+H3)</f>
        <v>17.710999999999999</v>
      </c>
      <c r="K57" s="145">
        <f>29.0212 * (1+H3)</f>
        <v>29.0212</v>
      </c>
      <c r="L57" s="145">
        <f>33.8983 * (1+H3)</f>
        <v>33.898299999999999</v>
      </c>
      <c r="M57" s="145">
        <f>29.2772 * (1+H3)</f>
        <v>29.277200000000001</v>
      </c>
      <c r="N57" s="145">
        <f>14.7 * (1+H3)</f>
        <v>14.7</v>
      </c>
      <c r="O57" s="145">
        <f>16.98 * (1+H3)</f>
        <v>16.98</v>
      </c>
      <c r="P57" s="145">
        <f>20.98 * (1+H3)</f>
        <v>20.98</v>
      </c>
      <c r="Q57" s="145">
        <f>14.2 * (1+H3)</f>
        <v>14.2</v>
      </c>
      <c r="R57" s="145">
        <f>15.83 * (1+H3)</f>
        <v>15.83</v>
      </c>
      <c r="S57" s="145">
        <f>14.36 * (1+H3)</f>
        <v>14.36</v>
      </c>
      <c r="T57" s="145">
        <f>16.44 * (1+H3)</f>
        <v>16.440000000000001</v>
      </c>
      <c r="U57" s="145">
        <f>43.5791 * (1+H3)</f>
        <v>43.579099999999997</v>
      </c>
      <c r="V57" s="145">
        <f>15.54 * (1+H3)</f>
        <v>15.54</v>
      </c>
      <c r="W57" s="145">
        <f>16.09 * (1+H3)</f>
        <v>16.09</v>
      </c>
      <c r="X57" s="145">
        <f>26.0565 * (1+H3)</f>
        <v>26.0565</v>
      </c>
      <c r="Y57" s="145">
        <f>15.84 * (1+H3)</f>
        <v>15.84</v>
      </c>
      <c r="Z57" s="145">
        <f>17.6 * (1+H3)</f>
        <v>17.600000000000001</v>
      </c>
      <c r="AA57" s="145">
        <f>20.44 * (1+H3)</f>
        <v>20.440000000000001</v>
      </c>
      <c r="AB57" s="145">
        <f>32.7577 * (1+H3)</f>
        <v>32.7577</v>
      </c>
    </row>
    <row r="58" spans="3:28" x14ac:dyDescent="0.25">
      <c r="C58" s="144">
        <f>5</f>
        <v>5</v>
      </c>
      <c r="D58" s="145">
        <f>14.67 * (1+H3)</f>
        <v>14.67</v>
      </c>
      <c r="E58" s="145">
        <f>18.28 * (1+H3)</f>
        <v>18.28</v>
      </c>
      <c r="F58" s="145">
        <f>11.55 * (1+H3)</f>
        <v>11.55</v>
      </c>
      <c r="G58" s="145">
        <f>21.7075 * (1+H3)</f>
        <v>21.7075</v>
      </c>
      <c r="H58" s="145">
        <f>13.59 * (1+H3)</f>
        <v>13.59</v>
      </c>
      <c r="I58" s="145">
        <f>13.25 * (1+H3)</f>
        <v>13.25</v>
      </c>
      <c r="J58" s="145">
        <f>17.7614 * (1+H3)</f>
        <v>17.761399999999998</v>
      </c>
      <c r="K58" s="145">
        <f>29.4247 * (1+H3)</f>
        <v>29.424700000000001</v>
      </c>
      <c r="L58" s="145">
        <f>34.1631 * (1+H3)</f>
        <v>34.1631</v>
      </c>
      <c r="M58" s="145">
        <f>29.4408 * (1+H3)</f>
        <v>29.440799999999999</v>
      </c>
      <c r="N58" s="145">
        <f>14.96 * (1+H3)</f>
        <v>14.96</v>
      </c>
      <c r="O58" s="145">
        <f>17.48 * (1+H3)</f>
        <v>17.48</v>
      </c>
      <c r="P58" s="145">
        <f>21.48 * (1+H3)</f>
        <v>21.48</v>
      </c>
      <c r="Q58" s="145">
        <f>14.45 * (1+H3)</f>
        <v>14.45</v>
      </c>
      <c r="R58" s="145">
        <f>16.03 * (1+H3)</f>
        <v>16.03</v>
      </c>
      <c r="S58" s="145">
        <f>14.56 * (1+H3)</f>
        <v>14.56</v>
      </c>
      <c r="T58" s="145">
        <f>16.84 * (1+H3)</f>
        <v>16.84</v>
      </c>
      <c r="U58" s="145">
        <f>43.9631 * (1+H3)</f>
        <v>43.963099999999997</v>
      </c>
      <c r="V58" s="145">
        <f>15.8 * (1+H3)</f>
        <v>15.8</v>
      </c>
      <c r="W58" s="145">
        <f>16.34 * (1+H3)</f>
        <v>16.34</v>
      </c>
      <c r="X58" s="145">
        <f>26.2155 * (1+H3)</f>
        <v>26.215499999999999</v>
      </c>
      <c r="Y58" s="145">
        <f>16.09 * (1+H3)</f>
        <v>16.09</v>
      </c>
      <c r="Z58" s="145">
        <f>17.85 * (1+H3)</f>
        <v>17.850000000000001</v>
      </c>
      <c r="AA58" s="145">
        <f>20.69 * (1+H3)</f>
        <v>20.69</v>
      </c>
      <c r="AB58" s="145">
        <f>33.0106 * (1+H3)</f>
        <v>33.010599999999997</v>
      </c>
    </row>
    <row r="59" spans="3:28" x14ac:dyDescent="0.25">
      <c r="C59" s="144">
        <f>6</f>
        <v>6</v>
      </c>
      <c r="D59" s="145">
        <f>14.88 * (1+H3)</f>
        <v>14.88</v>
      </c>
      <c r="E59" s="145">
        <f>18.54 * (1+H3)</f>
        <v>18.54</v>
      </c>
      <c r="F59" s="145">
        <f>11.8 * (1+H3)</f>
        <v>11.8</v>
      </c>
      <c r="G59" s="145">
        <f>21.9599 * (1+H3)</f>
        <v>21.959900000000001</v>
      </c>
      <c r="H59" s="145">
        <f>13.78 * (1+H3)</f>
        <v>13.78</v>
      </c>
      <c r="I59" s="145">
        <f>13.3 * (1+H3)</f>
        <v>13.3</v>
      </c>
      <c r="J59" s="145">
        <f>17.8118 * (1+H3)</f>
        <v>17.811800000000002</v>
      </c>
      <c r="K59" s="145">
        <f>29.7785 * (1+H3)</f>
        <v>29.778500000000001</v>
      </c>
      <c r="L59" s="145">
        <f>34.428 * (1+H3)</f>
        <v>34.427999999999997</v>
      </c>
      <c r="M59" s="145">
        <f>29.6032 * (1+H3)</f>
        <v>29.603200000000001</v>
      </c>
      <c r="N59" s="145">
        <f>15.21 * (1+H3)</f>
        <v>15.21</v>
      </c>
      <c r="O59" s="145">
        <f>17.73 * (1+H3)</f>
        <v>17.73</v>
      </c>
      <c r="P59" s="145">
        <f>21.73 * (1+H3)</f>
        <v>21.73</v>
      </c>
      <c r="Q59" s="145">
        <f>14.7 * (1+H3)</f>
        <v>14.7</v>
      </c>
      <c r="R59" s="145">
        <f>16.13 * (1+H3)</f>
        <v>16.13</v>
      </c>
      <c r="S59" s="145">
        <f>14.71 * (1+H3)</f>
        <v>14.71</v>
      </c>
      <c r="T59" s="145">
        <f>17.24 * (1+H3)</f>
        <v>17.239999999999998</v>
      </c>
      <c r="U59" s="145">
        <f>44.3472 * (1+H3)</f>
        <v>44.347200000000001</v>
      </c>
      <c r="V59" s="145">
        <f>16.05 * (1+H3)</f>
        <v>16.05</v>
      </c>
      <c r="W59" s="145">
        <f>16.59 * (1+H3)</f>
        <v>16.59</v>
      </c>
      <c r="X59" s="145">
        <f>26.3762 * (1+H3)</f>
        <v>26.376200000000001</v>
      </c>
      <c r="Y59" s="145">
        <f>16.34 * (1+H3)</f>
        <v>16.34</v>
      </c>
      <c r="Z59" s="145">
        <f>18.11 * (1+H3)</f>
        <v>18.11</v>
      </c>
      <c r="AA59" s="145">
        <f>20.94 * (1+H3)</f>
        <v>20.94</v>
      </c>
      <c r="AB59" s="145">
        <f>33.263 * (1+H3)</f>
        <v>33.262999999999998</v>
      </c>
    </row>
    <row r="60" spans="3:28" x14ac:dyDescent="0.25">
      <c r="C60" s="144">
        <f>7</f>
        <v>7</v>
      </c>
      <c r="D60" s="145">
        <f>15.09 * (1+H3)</f>
        <v>15.09</v>
      </c>
      <c r="E60" s="145">
        <f>18.81 * (1+H3)</f>
        <v>18.809999999999999</v>
      </c>
      <c r="F60" s="145">
        <f>12.06 * (1+H3)</f>
        <v>12.06</v>
      </c>
      <c r="G60" s="145">
        <f>22.4648 * (1+H3)</f>
        <v>22.4648</v>
      </c>
      <c r="H60" s="145">
        <f>13.98 * (1+H3)</f>
        <v>13.98</v>
      </c>
      <c r="I60" s="145">
        <f>13.35 * (1+H3)</f>
        <v>13.35</v>
      </c>
      <c r="J60" s="145">
        <f>17.8622 * (1+H3)</f>
        <v>17.862200000000001</v>
      </c>
      <c r="K60" s="145">
        <f>30.0309 * (1+H3)</f>
        <v>30.030899999999999</v>
      </c>
      <c r="L60" s="145">
        <f>34.6928 * (1+H3)</f>
        <v>34.692799999999998</v>
      </c>
      <c r="M60" s="145">
        <f>29.7674 * (1+H3)</f>
        <v>29.767399999999999</v>
      </c>
      <c r="N60" s="145">
        <f>15.46 * (1+H3)</f>
        <v>15.46</v>
      </c>
      <c r="O60" s="145">
        <f>17.99 * (1+H3)</f>
        <v>17.989999999999998</v>
      </c>
      <c r="P60" s="145">
        <f>21.99 * (1+H3)</f>
        <v>21.99</v>
      </c>
      <c r="Q60" s="145">
        <f>14.96 * (1+H3)</f>
        <v>14.96</v>
      </c>
      <c r="R60" s="145">
        <f>16.23 * (1+H3)</f>
        <v>16.23</v>
      </c>
      <c r="S60" s="145">
        <f>14.86 * (1+H3)</f>
        <v>14.86</v>
      </c>
      <c r="T60" s="145">
        <f>17.65 * (1+H3)</f>
        <v>17.649999999999999</v>
      </c>
      <c r="U60" s="145">
        <f>44.7312 * (1+H3)</f>
        <v>44.731200000000001</v>
      </c>
      <c r="V60" s="145">
        <f>16.3 * (1+H3)</f>
        <v>16.3</v>
      </c>
      <c r="W60" s="145">
        <f>17.1 * (1+H3)</f>
        <v>17.100000000000001</v>
      </c>
      <c r="X60" s="145">
        <f>26.5333 * (1+H3)</f>
        <v>26.533300000000001</v>
      </c>
      <c r="Y60" s="145">
        <f>16.85 * (1+H3)</f>
        <v>16.850000000000001</v>
      </c>
      <c r="Z60" s="145">
        <f>18.61 * (1+H3)</f>
        <v>18.61</v>
      </c>
      <c r="AA60" s="145">
        <f>21.19 * (1+H3)</f>
        <v>21.19</v>
      </c>
      <c r="AB60" s="145">
        <f>33.5155 * (1+H3)</f>
        <v>33.515500000000003</v>
      </c>
    </row>
    <row r="61" spans="3:28" x14ac:dyDescent="0.25">
      <c r="C61" s="144">
        <f>8</f>
        <v>8</v>
      </c>
      <c r="D61" s="145">
        <f>15.31 * (1+H3)</f>
        <v>15.31</v>
      </c>
      <c r="E61" s="145">
        <f>19.08 * (1+H3)</f>
        <v>19.079999999999998</v>
      </c>
      <c r="F61" s="145">
        <f>12.31 * (1+H3)</f>
        <v>12.31</v>
      </c>
      <c r="G61" s="145">
        <f>22.9701 * (1+H3)</f>
        <v>22.970099999999999</v>
      </c>
      <c r="H61" s="145">
        <f>14.19 * (1+H3)</f>
        <v>14.19</v>
      </c>
      <c r="I61" s="145">
        <f>13.4 * (1+H3)</f>
        <v>13.4</v>
      </c>
      <c r="J61" s="145">
        <f>17.9126 * (1+H3)</f>
        <v>17.912600000000001</v>
      </c>
      <c r="K61" s="145">
        <f>30.2838 * (1+H3)</f>
        <v>30.283799999999999</v>
      </c>
      <c r="L61" s="145">
        <f>34.9576 * (1+H3)</f>
        <v>34.957599999999999</v>
      </c>
      <c r="M61" s="145">
        <f>29.9304 * (1+H3)</f>
        <v>29.930399999999999</v>
      </c>
      <c r="N61" s="145">
        <f>15.71 * (1+H3)</f>
        <v>15.71</v>
      </c>
      <c r="O61" s="145">
        <f>18.24 * (1+H3)</f>
        <v>18.239999999999998</v>
      </c>
      <c r="P61" s="145">
        <f>22.24 * (1+H3)</f>
        <v>22.24</v>
      </c>
      <c r="Q61" s="145">
        <f>15.21 * (1+H3)</f>
        <v>15.21</v>
      </c>
      <c r="R61" s="145">
        <f>16.33 * (1+H3)</f>
        <v>16.329999999999998</v>
      </c>
      <c r="S61" s="145">
        <f>15.01 * (1+H3)</f>
        <v>15.01</v>
      </c>
      <c r="T61" s="145">
        <f>18.05 * (1+H3)</f>
        <v>18.05</v>
      </c>
      <c r="U61" s="145">
        <f>45.1152 * (1+H3)</f>
        <v>45.115200000000002</v>
      </c>
      <c r="V61" s="145">
        <f>16.91 * (1+H3)</f>
        <v>16.91</v>
      </c>
      <c r="W61" s="145">
        <f>17.6 * (1+H3)</f>
        <v>17.600000000000001</v>
      </c>
      <c r="X61" s="145">
        <f>26.6923 * (1+H3)</f>
        <v>26.692299999999999</v>
      </c>
      <c r="Y61" s="145">
        <f>17.35 * (1+H3)</f>
        <v>17.350000000000001</v>
      </c>
      <c r="Z61" s="145">
        <f>19.12 * (1+H3)</f>
        <v>19.12</v>
      </c>
      <c r="AA61" s="145">
        <f>21.44 * (1+H3)</f>
        <v>21.44</v>
      </c>
      <c r="AB61" s="145">
        <f>33.7679 * (1+H3)</f>
        <v>33.767899999999997</v>
      </c>
    </row>
    <row r="62" spans="3:28" x14ac:dyDescent="0.25">
      <c r="C62" s="144">
        <f>9</f>
        <v>9</v>
      </c>
      <c r="D62" s="145">
        <f>15.52 * (1+H3)</f>
        <v>15.52</v>
      </c>
      <c r="E62" s="145">
        <f>19.36 * (1+H3)</f>
        <v>19.36</v>
      </c>
      <c r="F62" s="145">
        <f>12.51 * (1+H3)</f>
        <v>12.51</v>
      </c>
      <c r="G62" s="145">
        <f>23.4749 * (1+H3)</f>
        <v>23.474900000000002</v>
      </c>
      <c r="H62" s="145">
        <f>14.39 * (1+H3)</f>
        <v>14.39</v>
      </c>
      <c r="I62" s="145">
        <f>13.45 * (1+H3)</f>
        <v>13.45</v>
      </c>
      <c r="J62" s="145">
        <f>17.963 * (1+H3)</f>
        <v>17.963000000000001</v>
      </c>
      <c r="K62" s="145">
        <f>30.5362 * (1+H3)</f>
        <v>30.536200000000001</v>
      </c>
      <c r="L62" s="145">
        <f>35.2225 * (1+H3)</f>
        <v>35.222499999999997</v>
      </c>
      <c r="M62" s="145">
        <f>30.0928 * (1+H3)</f>
        <v>30.0928</v>
      </c>
      <c r="N62" s="145">
        <f>15.97 * (1+H3)</f>
        <v>15.97</v>
      </c>
      <c r="O62" s="145">
        <f>18.49 * (1+H3)</f>
        <v>18.489999999999998</v>
      </c>
      <c r="P62" s="145">
        <f>22.49 * (1+H3)</f>
        <v>22.49</v>
      </c>
      <c r="Q62" s="145">
        <f>15.46 * (1+H3)</f>
        <v>15.46</v>
      </c>
      <c r="R62" s="145">
        <f>16.43 * (1+H3)</f>
        <v>16.43</v>
      </c>
      <c r="S62" s="145">
        <f>15.17 * (1+H3)</f>
        <v>15.17</v>
      </c>
      <c r="T62" s="145">
        <f>18.46 * (1+H3)</f>
        <v>18.46</v>
      </c>
      <c r="U62" s="145">
        <f>45.4992 * (1+H3)</f>
        <v>45.499200000000002</v>
      </c>
      <c r="V62" s="145">
        <f>17.41 * (1+H3)</f>
        <v>17.41</v>
      </c>
      <c r="W62" s="145">
        <f>18.11 * (1+H3)</f>
        <v>18.11</v>
      </c>
      <c r="X62" s="145">
        <f>26.8524 * (1+H3)</f>
        <v>26.852399999999999</v>
      </c>
      <c r="Y62" s="145">
        <f>17.86 * (1+H3)</f>
        <v>17.86</v>
      </c>
      <c r="Z62" s="145">
        <f>19.62 * (1+H3)</f>
        <v>19.62</v>
      </c>
      <c r="AA62" s="145">
        <f>21.69 * (1+H3)</f>
        <v>21.69</v>
      </c>
      <c r="AB62" s="145">
        <f>34.0203 * (1+H3)</f>
        <v>34.020299999999999</v>
      </c>
    </row>
    <row r="63" spans="3:28" x14ac:dyDescent="0.25">
      <c r="C63" s="144">
        <f>10</f>
        <v>10</v>
      </c>
      <c r="D63" s="145">
        <f>15.74 * (1+H3)</f>
        <v>15.74</v>
      </c>
      <c r="E63" s="145">
        <f>19.64 * (1+H3)</f>
        <v>19.64</v>
      </c>
      <c r="F63" s="145">
        <f>12.66 * (1+H3)</f>
        <v>12.66</v>
      </c>
      <c r="G63" s="145">
        <f>23.9797 * (1+H3)</f>
        <v>23.979700000000001</v>
      </c>
      <c r="H63" s="145">
        <f>14.6 * (1+H3)</f>
        <v>14.6</v>
      </c>
      <c r="I63" s="145">
        <f>13.5 * (1+H3)</f>
        <v>13.5</v>
      </c>
      <c r="J63" s="145">
        <f>18.0134 * (1+H3)</f>
        <v>18.013400000000001</v>
      </c>
      <c r="K63" s="145">
        <f>30.7886 * (1+H3)</f>
        <v>30.788599999999999</v>
      </c>
      <c r="L63" s="145">
        <f>35.4873 * (1+H3)</f>
        <v>35.487299999999998</v>
      </c>
      <c r="M63" s="145">
        <f>33.5824 * (1+H3)</f>
        <v>33.5824</v>
      </c>
      <c r="N63" s="145">
        <f>16.47 * (1+H3)</f>
        <v>16.47</v>
      </c>
      <c r="O63" s="145">
        <f>18.74 * (1+H3)</f>
        <v>18.739999999999998</v>
      </c>
      <c r="P63" s="145">
        <f>22.74 * (1+H3)</f>
        <v>22.74</v>
      </c>
      <c r="Q63" s="145">
        <f>15.76 * (1+H3)</f>
        <v>15.76</v>
      </c>
      <c r="R63" s="145">
        <f>16.63 * (1+H3)</f>
        <v>16.63</v>
      </c>
      <c r="S63" s="145">
        <f>15.32 * (1+H3)</f>
        <v>15.32</v>
      </c>
      <c r="T63" s="145">
        <f>18.86 * (1+H3)</f>
        <v>18.86</v>
      </c>
      <c r="U63" s="145">
        <f>45.8833 * (1+H3)</f>
        <v>45.883299999999998</v>
      </c>
      <c r="V63" s="145">
        <f>17.95 * (1+H3)</f>
        <v>17.95</v>
      </c>
      <c r="W63" s="145">
        <f>18.61 * (1+H3)</f>
        <v>18.61</v>
      </c>
      <c r="X63" s="145">
        <f>30.119 * (1+H3)</f>
        <v>30.119</v>
      </c>
      <c r="Y63" s="145">
        <f>18.11 * (1+H3)</f>
        <v>18.11</v>
      </c>
      <c r="Z63" s="145">
        <f>20.13 * (1+H3)</f>
        <v>20.13</v>
      </c>
      <c r="AA63" s="145">
        <f>21.89 * (1+H3)</f>
        <v>21.89</v>
      </c>
      <c r="AB63" s="145">
        <f>34.2727 * (1+H3)</f>
        <v>34.2727</v>
      </c>
    </row>
    <row r="64" spans="3:28" x14ac:dyDescent="0.25">
      <c r="C64" s="144">
        <f>11</f>
        <v>11</v>
      </c>
      <c r="D64" s="145">
        <f>15.97 * (1+H3)</f>
        <v>15.97</v>
      </c>
      <c r="E64" s="145">
        <f>19.92 * (1+H3)</f>
        <v>19.920000000000002</v>
      </c>
      <c r="F64" s="145">
        <f>12.76 * (1+H3)</f>
        <v>12.76</v>
      </c>
      <c r="G64" s="145">
        <f>24.485 * (1+H3)</f>
        <v>24.484999999999999</v>
      </c>
      <c r="H64" s="145">
        <f>14.81 * (1+H3)</f>
        <v>14.81</v>
      </c>
      <c r="I64" s="145">
        <f>13.55 * (1+H3)</f>
        <v>13.55</v>
      </c>
      <c r="J64" s="145">
        <f>18.0639 * (1+H3)</f>
        <v>18.0639</v>
      </c>
      <c r="K64" s="145">
        <f>30.8895 * (1+H3)</f>
        <v>30.889500000000002</v>
      </c>
      <c r="L64" s="145">
        <f>35.7521 * (1+H3)</f>
        <v>35.752099999999999</v>
      </c>
      <c r="M64" s="145">
        <f>33.8718 * (1+H3)</f>
        <v>33.8718</v>
      </c>
      <c r="N64" s="145">
        <f>16.98 * (1+H3)</f>
        <v>16.98</v>
      </c>
      <c r="O64" s="145">
        <f>18.79 * (1+H3)</f>
        <v>18.79</v>
      </c>
      <c r="P64" s="145">
        <f>22.79 * (1+H3)</f>
        <v>22.79</v>
      </c>
      <c r="Q64" s="145">
        <f>16.17 * (1+H3)</f>
        <v>16.170000000000002</v>
      </c>
      <c r="R64" s="145">
        <f>16.73 * (1+H3)</f>
        <v>16.73</v>
      </c>
      <c r="S64" s="145">
        <f>15.53 * (1+H3)</f>
        <v>15.53</v>
      </c>
      <c r="T64" s="145">
        <f>19.26 * (1+H3)</f>
        <v>19.260000000000002</v>
      </c>
      <c r="U64" s="145">
        <f>46.2673 * (1+H3)</f>
        <v>46.267299999999999</v>
      </c>
      <c r="V64" s="145">
        <f>18.17 * (1+H3)</f>
        <v>18.170000000000002</v>
      </c>
      <c r="W64" s="145">
        <f>19.12 * (1+H3)</f>
        <v>19.12</v>
      </c>
      <c r="X64" s="145">
        <f>30.3923 * (1+H3)</f>
        <v>30.392299999999999</v>
      </c>
      <c r="Y64" s="145">
        <f>18.36 * (1+H3)</f>
        <v>18.36</v>
      </c>
      <c r="Z64" s="145">
        <f>20.63 * (1+H3)</f>
        <v>20.63</v>
      </c>
      <c r="AA64" s="145">
        <f>21.99 * (1+H3)</f>
        <v>21.99</v>
      </c>
      <c r="AB64" s="145">
        <f>34.374 * (1+H3)</f>
        <v>34.374000000000002</v>
      </c>
    </row>
    <row r="65" spans="3:28" x14ac:dyDescent="0.25">
      <c r="C65" s="144">
        <f>12</f>
        <v>12</v>
      </c>
      <c r="D65" s="145">
        <f>16.19 * (1+H3)</f>
        <v>16.190000000000001</v>
      </c>
      <c r="E65" s="145">
        <f>20.21 * (1+H3)</f>
        <v>20.21</v>
      </c>
      <c r="F65" s="145">
        <f>12.86 * (1+H3)</f>
        <v>12.86</v>
      </c>
      <c r="G65" s="145">
        <f>24.9899 * (1+H3)</f>
        <v>24.989899999999999</v>
      </c>
      <c r="H65" s="145">
        <f>15.03 * (1+H3)</f>
        <v>15.03</v>
      </c>
      <c r="I65" s="145">
        <f>13.6 * (1+H3)</f>
        <v>13.6</v>
      </c>
      <c r="J65" s="145">
        <f>18.1143 * (1+H3)</f>
        <v>18.1143</v>
      </c>
      <c r="K65" s="145">
        <f>30.9904 * (1+H3)</f>
        <v>30.990400000000001</v>
      </c>
      <c r="L65" s="145">
        <f>36.017 * (1+H3)</f>
        <v>36.017000000000003</v>
      </c>
      <c r="M65" s="145">
        <f>34.2497 * (1+H3)</f>
        <v>34.249699999999997</v>
      </c>
      <c r="N65" s="145">
        <f>17.03 * (1+H3)</f>
        <v>17.03</v>
      </c>
      <c r="O65" s="145">
        <f>18.84 * (1+H3)</f>
        <v>18.84</v>
      </c>
      <c r="P65" s="145">
        <f>22.84 * (1+H3)</f>
        <v>22.84</v>
      </c>
      <c r="Q65" s="145">
        <f>16.22 * (1+H3)</f>
        <v>16.22</v>
      </c>
      <c r="R65" s="145">
        <f>16.83 * (1+H3)</f>
        <v>16.829999999999998</v>
      </c>
      <c r="S65" s="145">
        <f>15.76 * (1+H3)</f>
        <v>15.76</v>
      </c>
      <c r="T65" s="145">
        <f>19.67 * (1+H3)</f>
        <v>19.670000000000002</v>
      </c>
      <c r="U65" s="145">
        <f>46.6513 * (1+H3)</f>
        <v>46.651299999999999</v>
      </c>
      <c r="V65" s="145">
        <f>18.42 * (1+H3)</f>
        <v>18.420000000000002</v>
      </c>
      <c r="W65" s="145">
        <f>19.62 * (1+H3)</f>
        <v>19.62</v>
      </c>
      <c r="X65" s="145">
        <f>30.7381 * (1+H3)</f>
        <v>30.738099999999999</v>
      </c>
      <c r="Y65" s="145">
        <f>18.51 * (1+H3)</f>
        <v>18.510000000000002</v>
      </c>
      <c r="Z65" s="145">
        <f>21.14 * (1+H3)</f>
        <v>21.14</v>
      </c>
      <c r="AA65" s="145">
        <f>22.09 * (1+H3)</f>
        <v>22.09</v>
      </c>
      <c r="AB65" s="145">
        <f>34.4749 * (1+H3)</f>
        <v>34.474899999999998</v>
      </c>
    </row>
    <row r="66" spans="3:28" x14ac:dyDescent="0.25">
      <c r="C66" s="144">
        <f>13</f>
        <v>13</v>
      </c>
      <c r="D66" s="145">
        <f>16.42 * (1+H3)</f>
        <v>16.420000000000002</v>
      </c>
      <c r="E66" s="145">
        <f>20.5 * (1+H3)</f>
        <v>20.5</v>
      </c>
      <c r="F66" s="145">
        <f>12.96 * (1+H3)</f>
        <v>12.96</v>
      </c>
      <c r="G66" s="145">
        <f>25.4947 * (1+H3)</f>
        <v>25.494700000000002</v>
      </c>
      <c r="H66" s="145">
        <f>15.25 * (1+H3)</f>
        <v>15.25</v>
      </c>
      <c r="I66" s="145">
        <f>13.65 * (1+H3)</f>
        <v>13.65</v>
      </c>
      <c r="J66" s="145">
        <f>18.1647 * (1+H3)</f>
        <v>18.1647</v>
      </c>
      <c r="K66" s="145">
        <f>31.0912 * (1+H3)</f>
        <v>31.091200000000001</v>
      </c>
      <c r="L66" s="145">
        <f>36.2818 * (1+H3)</f>
        <v>36.281799999999997</v>
      </c>
      <c r="M66" s="145">
        <f>34.6258 * (1+H3)</f>
        <v>34.625799999999998</v>
      </c>
      <c r="N66" s="145">
        <f>17.08 * (1+H3)</f>
        <v>17.079999999999998</v>
      </c>
      <c r="O66" s="145">
        <f>18.89 * (1+H3)</f>
        <v>18.89</v>
      </c>
      <c r="P66" s="145">
        <f>22.89 * (1+H3)</f>
        <v>22.89</v>
      </c>
      <c r="Q66" s="145">
        <f>16.27 * (1+H3)</f>
        <v>16.27</v>
      </c>
      <c r="R66" s="145">
        <f>16.93 * (1+H3)</f>
        <v>16.93</v>
      </c>
      <c r="S66" s="145">
        <f>15.99 * (1+H3)</f>
        <v>15.99</v>
      </c>
      <c r="T66" s="145">
        <f>19.87 * (1+H3)</f>
        <v>19.87</v>
      </c>
      <c r="U66" s="145">
        <f>47.0353 * (1+H3)</f>
        <v>47.035299999999999</v>
      </c>
      <c r="V66" s="145">
        <f>18.52 * (1+H3)</f>
        <v>18.52</v>
      </c>
      <c r="W66" s="145">
        <f>20.13 * (1+H3)</f>
        <v>20.13</v>
      </c>
      <c r="X66" s="145">
        <f>31.0833 * (1+H3)</f>
        <v>31.083300000000001</v>
      </c>
      <c r="Y66" s="145">
        <f>18.61 * (1+H3)</f>
        <v>18.61</v>
      </c>
      <c r="Z66" s="145">
        <f>21.64 * (1+H3)</f>
        <v>21.64</v>
      </c>
      <c r="AA66" s="145">
        <f>22.19 * (1+H3)</f>
        <v>22.19</v>
      </c>
      <c r="AB66" s="145">
        <f>34.5763 * (1+H3)</f>
        <v>34.576300000000003</v>
      </c>
    </row>
    <row r="67" spans="3:28" x14ac:dyDescent="0.25">
      <c r="C67" s="144">
        <f>14</f>
        <v>14</v>
      </c>
      <c r="D67" s="145">
        <f>16.66 * (1+H3)</f>
        <v>16.66</v>
      </c>
      <c r="E67" s="145">
        <f>20.8 * (1+H3)</f>
        <v>20.8</v>
      </c>
      <c r="F67" s="145">
        <f>13.07 * (1+H3)</f>
        <v>13.07</v>
      </c>
      <c r="G67" s="145">
        <f>25.7476 * (1+H3)</f>
        <v>25.747599999999998</v>
      </c>
      <c r="H67" s="145">
        <f>15.47 * (1+H3)</f>
        <v>15.47</v>
      </c>
      <c r="I67" s="145">
        <f>13.7 * (1+H3)</f>
        <v>13.7</v>
      </c>
      <c r="J67" s="145">
        <f>18.2151 * (1+H3)</f>
        <v>18.2151</v>
      </c>
      <c r="K67" s="145">
        <f>31.1921 * (1+H3)</f>
        <v>31.1921</v>
      </c>
      <c r="L67" s="145">
        <f>36.5466 * (1+H3)</f>
        <v>36.546599999999998</v>
      </c>
      <c r="M67" s="145">
        <f>35.0037 * (1+H3)</f>
        <v>35.003700000000002</v>
      </c>
      <c r="N67" s="145">
        <f>17.13 * (1+H3)</f>
        <v>17.13</v>
      </c>
      <c r="O67" s="145">
        <f>18.94 * (1+H3)</f>
        <v>18.940000000000001</v>
      </c>
      <c r="P67" s="145">
        <f>22.94 * (1+H3)</f>
        <v>22.94</v>
      </c>
      <c r="Q67" s="145">
        <f>16.32 * (1+H3)</f>
        <v>16.32</v>
      </c>
      <c r="R67" s="145">
        <f>17.03 * (1+H3)</f>
        <v>17.03</v>
      </c>
      <c r="S67" s="145">
        <f>16.22 * (1+H3)</f>
        <v>16.22</v>
      </c>
      <c r="T67" s="145">
        <f>20.07 * (1+H3)</f>
        <v>20.07</v>
      </c>
      <c r="U67" s="145">
        <f>47.4194 * (1+H3)</f>
        <v>47.419400000000003</v>
      </c>
      <c r="V67" s="145">
        <f>18.62 * (1+H3)</f>
        <v>18.62</v>
      </c>
      <c r="W67" s="145">
        <f>20.38 * (1+H3)</f>
        <v>20.38</v>
      </c>
      <c r="X67" s="145">
        <f>31.4292 * (1+H3)</f>
        <v>31.429200000000002</v>
      </c>
      <c r="Y67" s="145">
        <f>18.77 * (1+H3)</f>
        <v>18.77</v>
      </c>
      <c r="Z67" s="145">
        <f>21.89 * (1+H3)</f>
        <v>21.89</v>
      </c>
      <c r="AA67" s="145">
        <f>22.29 * (1+H3)</f>
        <v>22.29</v>
      </c>
      <c r="AB67" s="145">
        <f>34.6771 * (1+H3)</f>
        <v>34.677100000000003</v>
      </c>
    </row>
    <row r="68" spans="3:28" x14ac:dyDescent="0.25">
      <c r="C68" s="144">
        <f>15</f>
        <v>15</v>
      </c>
      <c r="D68" s="145">
        <f>16.9 * (1+H3)</f>
        <v>16.899999999999999</v>
      </c>
      <c r="E68" s="145">
        <f>21.1 * (1+H3)</f>
        <v>21.1</v>
      </c>
      <c r="F68" s="145">
        <f>13.17 * (1+H3)</f>
        <v>13.17</v>
      </c>
      <c r="G68" s="145">
        <f>25.5174 * (1+H3)</f>
        <v>25.517399999999999</v>
      </c>
      <c r="H68" s="145">
        <f>15.69 * (1+H3)</f>
        <v>15.69</v>
      </c>
      <c r="I68" s="145">
        <f>13.75 * (1+H3)</f>
        <v>13.75</v>
      </c>
      <c r="J68" s="145">
        <f>18.2655 * (1+H3)</f>
        <v>18.265499999999999</v>
      </c>
      <c r="K68" s="145">
        <f>31.2934 * (1+H3)</f>
        <v>31.293399999999998</v>
      </c>
      <c r="L68" s="145">
        <f>36.8114 * (1+H3)</f>
        <v>36.811399999999999</v>
      </c>
      <c r="M68" s="145">
        <f>35.4744 * (1+H3)</f>
        <v>35.474400000000003</v>
      </c>
      <c r="N68" s="145">
        <f>17.18 * (1+H3)</f>
        <v>17.18</v>
      </c>
      <c r="O68" s="145">
        <f>19 * (1+H3)</f>
        <v>19</v>
      </c>
      <c r="P68" s="145">
        <f>23 * (1+H3)</f>
        <v>23</v>
      </c>
      <c r="Q68" s="145">
        <f>16.37 * (1+H3)</f>
        <v>16.37</v>
      </c>
      <c r="R68" s="145">
        <f>17.23 * (1+H3)</f>
        <v>17.23</v>
      </c>
      <c r="S68" s="145">
        <f>16.45 * (1+H3)</f>
        <v>16.45</v>
      </c>
      <c r="T68" s="145">
        <f>20.17 * (1+H3)</f>
        <v>20.170000000000002</v>
      </c>
      <c r="U68" s="145">
        <f>47.8034 * (1+H3)</f>
        <v>47.803400000000003</v>
      </c>
      <c r="V68" s="145">
        <f>18.72 * (1+H3)</f>
        <v>18.72</v>
      </c>
      <c r="W68" s="145">
        <f>20.63 * (1+H3)</f>
        <v>20.63</v>
      </c>
      <c r="X68" s="145">
        <f>31.8536 * (1+H3)</f>
        <v>31.8536</v>
      </c>
      <c r="Y68" s="145">
        <f>18.92 * (1+H3)</f>
        <v>18.920000000000002</v>
      </c>
      <c r="Z68" s="145">
        <f>22.15 * (1+H3)</f>
        <v>22.15</v>
      </c>
      <c r="AA68" s="145">
        <f>22.39 * (1+H3)</f>
        <v>22.39</v>
      </c>
      <c r="AB68" s="145">
        <f>34.778 * (1+H3)</f>
        <v>34.777999999999999</v>
      </c>
    </row>
    <row r="69" spans="3:28" x14ac:dyDescent="0.25">
      <c r="C69" s="144">
        <f>16</f>
        <v>16</v>
      </c>
      <c r="D69" s="145">
        <f>17.14 * (1+H3)</f>
        <v>17.14</v>
      </c>
      <c r="E69" s="145">
        <f>21.41 * (1+H3)</f>
        <v>21.41</v>
      </c>
      <c r="F69" s="145">
        <f>13.27 * (1+H3)</f>
        <v>13.27</v>
      </c>
      <c r="G69" s="145">
        <f>26.1009 * (1+H3)</f>
        <v>26.100899999999999</v>
      </c>
      <c r="H69" s="145">
        <f>15.92 * (1+H3)</f>
        <v>15.92</v>
      </c>
      <c r="I69" s="145">
        <f>13.8 * (1+H3)</f>
        <v>13.8</v>
      </c>
      <c r="J69" s="145">
        <f>18.3159 * (1+H3)</f>
        <v>18.315899999999999</v>
      </c>
      <c r="K69" s="145">
        <f>31.3943 * (1+H3)</f>
        <v>31.394300000000001</v>
      </c>
      <c r="L69" s="145">
        <f>37.0763 * (1+H3)</f>
        <v>37.076300000000003</v>
      </c>
      <c r="M69" s="145">
        <f>35.6606 * (1+H3)</f>
        <v>35.660600000000002</v>
      </c>
      <c r="N69" s="145">
        <f>17.23 * (1+H3)</f>
        <v>17.23</v>
      </c>
      <c r="O69" s="145">
        <f>19.05 * (1+H3)</f>
        <v>19.05</v>
      </c>
      <c r="P69" s="145">
        <f>23.05 * (1+H3)</f>
        <v>23.05</v>
      </c>
      <c r="Q69" s="145">
        <f>16.42 * (1+H3)</f>
        <v>16.420000000000002</v>
      </c>
      <c r="R69" s="145">
        <f>17.38 * (1+H3)</f>
        <v>17.38</v>
      </c>
      <c r="S69" s="145">
        <f>16.69 * (1+H3)</f>
        <v>16.690000000000001</v>
      </c>
      <c r="T69" s="145">
        <f>20.27 * (1+H3)</f>
        <v>20.27</v>
      </c>
      <c r="U69" s="145">
        <f>48.1874 * (1+H3)</f>
        <v>48.187399999999997</v>
      </c>
      <c r="V69" s="145">
        <f>18.83 * (1+H3)</f>
        <v>18.829999999999998</v>
      </c>
      <c r="W69" s="145">
        <f>20.73 * (1+H3)</f>
        <v>20.73</v>
      </c>
      <c r="X69" s="145">
        <f>31.9577 * (1+H3)</f>
        <v>31.957699999999999</v>
      </c>
      <c r="Y69" s="145">
        <f>19.02 * (1+H3)</f>
        <v>19.02</v>
      </c>
      <c r="Z69" s="145">
        <f>22.4 * (1+H3)</f>
        <v>22.4</v>
      </c>
      <c r="AA69" s="145">
        <f>22.49 * (1+H3)</f>
        <v>22.49</v>
      </c>
      <c r="AB69" s="145">
        <f>34.9797 * (1+H3)</f>
        <v>34.979700000000001</v>
      </c>
    </row>
    <row r="70" spans="3:28" x14ac:dyDescent="0.25">
      <c r="C70" s="144">
        <f>17</f>
        <v>17</v>
      </c>
      <c r="D70" s="145">
        <f>17.38 * (1+H3)</f>
        <v>17.38</v>
      </c>
      <c r="E70" s="145">
        <f>21.72 * (1+H3)</f>
        <v>21.72</v>
      </c>
      <c r="F70" s="145">
        <f>13.37 * (1+H3)</f>
        <v>13.37</v>
      </c>
      <c r="G70" s="145">
        <f>26.2017 * (1+H3)</f>
        <v>26.201699999999999</v>
      </c>
      <c r="H70" s="145">
        <f>16.15 * (1+H3)</f>
        <v>16.149999999999999</v>
      </c>
      <c r="I70" s="145">
        <f>13.85 * (1+H3)</f>
        <v>13.85</v>
      </c>
      <c r="J70" s="145">
        <f>18.3663 * (1+H3)</f>
        <v>18.366299999999999</v>
      </c>
      <c r="K70" s="145">
        <f>31.4952 * (1+H3)</f>
        <v>31.495200000000001</v>
      </c>
      <c r="L70" s="145">
        <f>37.3411 * (1+H3)</f>
        <v>37.341099999999997</v>
      </c>
      <c r="M70" s="145">
        <f>35.9383 * (1+H3)</f>
        <v>35.938299999999998</v>
      </c>
      <c r="N70" s="145">
        <f>17.28 * (1+H3)</f>
        <v>17.28</v>
      </c>
      <c r="O70" s="145">
        <f>19.1 * (1+H3)</f>
        <v>19.100000000000001</v>
      </c>
      <c r="P70" s="145">
        <f>23.1 * (1+H3)</f>
        <v>23.1</v>
      </c>
      <c r="Q70" s="145">
        <f>16.47 * (1+H3)</f>
        <v>16.47</v>
      </c>
      <c r="R70" s="145">
        <f>17.53 * (1+H3)</f>
        <v>17.53</v>
      </c>
      <c r="S70" s="145">
        <f>16.93 * (1+H3)</f>
        <v>16.93</v>
      </c>
      <c r="T70" s="145">
        <f>20.38 * (1+H3)</f>
        <v>20.38</v>
      </c>
      <c r="U70" s="145">
        <f>48.5714 * (1+H3)</f>
        <v>48.571399999999997</v>
      </c>
      <c r="V70" s="145">
        <f>18.93 * (1+H3)</f>
        <v>18.93</v>
      </c>
      <c r="W70" s="145">
        <f>20.83 * (1+H3)</f>
        <v>20.83</v>
      </c>
      <c r="X70" s="145">
        <f>32.0619 * (1+H3)</f>
        <v>32.061900000000001</v>
      </c>
      <c r="Y70" s="145">
        <f>19.12 * (1+H3)</f>
        <v>19.12</v>
      </c>
      <c r="Z70" s="145">
        <f>22.65 * (1+H3)</f>
        <v>22.65</v>
      </c>
      <c r="AA70" s="145">
        <f>22.59 * (1+H3)</f>
        <v>22.59</v>
      </c>
      <c r="AB70" s="145">
        <f>35.0811 * (1+H3)</f>
        <v>35.081099999999999</v>
      </c>
    </row>
    <row r="71" spans="3:28" x14ac:dyDescent="0.25">
      <c r="C71" s="144">
        <f>18</f>
        <v>18</v>
      </c>
      <c r="D71" s="145">
        <f>17.63 * (1+H3)</f>
        <v>17.63</v>
      </c>
      <c r="E71" s="145">
        <f>22.03 * (1+H3)</f>
        <v>22.03</v>
      </c>
      <c r="F71" s="145">
        <f>13.47 * (1+H3)</f>
        <v>13.47</v>
      </c>
      <c r="G71" s="145">
        <f>26.3031 * (1+H3)</f>
        <v>26.303100000000001</v>
      </c>
      <c r="H71" s="145">
        <f>16.39 * (1+H3)</f>
        <v>16.39</v>
      </c>
      <c r="I71" s="145">
        <f>13.9 * (1+H3)</f>
        <v>13.9</v>
      </c>
      <c r="J71" s="145">
        <f>18.4167 * (1+H3)</f>
        <v>18.416699999999999</v>
      </c>
      <c r="K71" s="145">
        <f>31.596 * (1+H3)</f>
        <v>31.596</v>
      </c>
      <c r="L71" s="145">
        <f>37.6059 * (1+H3)</f>
        <v>37.605899999999998</v>
      </c>
      <c r="M71" s="145">
        <f>36.2173 * (1+H3)</f>
        <v>36.217300000000002</v>
      </c>
      <c r="N71" s="145">
        <f>17.33 * (1+H3)</f>
        <v>17.329999999999998</v>
      </c>
      <c r="O71" s="145">
        <f>19.15 * (1+H3)</f>
        <v>19.149999999999999</v>
      </c>
      <c r="P71" s="145">
        <f>23.15 * (1+H3)</f>
        <v>23.15</v>
      </c>
      <c r="Q71" s="145">
        <f>16.52 * (1+H3)</f>
        <v>16.52</v>
      </c>
      <c r="R71" s="145">
        <f>17.68 * (1+H3)</f>
        <v>17.68</v>
      </c>
      <c r="S71" s="145">
        <f>17.19 * (1+H3)</f>
        <v>17.190000000000001</v>
      </c>
      <c r="T71" s="145">
        <f>20.48 * (1+H3)</f>
        <v>20.48</v>
      </c>
      <c r="U71" s="145">
        <f>48.9555 * (1+H3)</f>
        <v>48.955500000000001</v>
      </c>
      <c r="V71" s="145">
        <f>19.03 * (1+H3)</f>
        <v>19.03</v>
      </c>
      <c r="W71" s="145">
        <f>20.93 * (1+H3)</f>
        <v>20.93</v>
      </c>
      <c r="X71" s="145">
        <f>32.1661 * (1+H3)</f>
        <v>32.1661</v>
      </c>
      <c r="Y71" s="145">
        <f>19.22 * (1+H3)</f>
        <v>19.22</v>
      </c>
      <c r="Z71" s="145">
        <f>22.9 * (1+H3)</f>
        <v>22.9</v>
      </c>
      <c r="AA71" s="145">
        <f>22.68 * (1+H3)</f>
        <v>22.68</v>
      </c>
      <c r="AB71" s="145">
        <f>35.182 * (1+H3)</f>
        <v>35.182000000000002</v>
      </c>
    </row>
    <row r="72" spans="3:28" x14ac:dyDescent="0.25">
      <c r="C72" s="144">
        <f>19</f>
        <v>19</v>
      </c>
      <c r="D72" s="145">
        <f>17.88 * (1+H3)</f>
        <v>17.88</v>
      </c>
      <c r="E72" s="145">
        <f>22.36 * (1+H3)</f>
        <v>22.36</v>
      </c>
      <c r="F72" s="145">
        <f>13.57 * (1+H3)</f>
        <v>13.57</v>
      </c>
      <c r="G72" s="145">
        <f>26.404 * (1+H3)</f>
        <v>26.404</v>
      </c>
      <c r="H72" s="145">
        <f>16.62 * (1+H3)</f>
        <v>16.62</v>
      </c>
      <c r="I72" s="145">
        <f>13.95 * (1+H3)</f>
        <v>13.95</v>
      </c>
      <c r="J72" s="145">
        <f>18.4671 * (1+H3)</f>
        <v>18.467099999999999</v>
      </c>
      <c r="K72" s="145">
        <f>31.6974 * (1+H3)</f>
        <v>31.697399999999998</v>
      </c>
      <c r="L72" s="145">
        <f>37.8708 * (1+H3)</f>
        <v>37.870800000000003</v>
      </c>
      <c r="M72" s="145">
        <f>30.3907 * (1+H3)</f>
        <v>30.390699999999999</v>
      </c>
      <c r="N72" s="145">
        <f>17.38 * (1+H3)</f>
        <v>17.38</v>
      </c>
      <c r="O72" s="145">
        <f>19.2 * (1+H3)</f>
        <v>19.2</v>
      </c>
      <c r="P72" s="145">
        <f>23.2 * (1+H3)</f>
        <v>23.2</v>
      </c>
      <c r="Q72" s="145">
        <f>16.57 * (1+H3)</f>
        <v>16.57</v>
      </c>
      <c r="R72" s="145">
        <f>17.83 * (1+H3)</f>
        <v>17.829999999999998</v>
      </c>
      <c r="S72" s="145">
        <f>17.43 * (1+H3)</f>
        <v>17.43</v>
      </c>
      <c r="T72" s="145">
        <f>20.58 * (1+H3)</f>
        <v>20.58</v>
      </c>
      <c r="U72" s="145">
        <f>49.3395 * (1+H3)</f>
        <v>49.339500000000001</v>
      </c>
      <c r="V72" s="145">
        <f>19.13 * (1+H3)</f>
        <v>19.13</v>
      </c>
      <c r="W72" s="145">
        <f>21.03 * (1+H3)</f>
        <v>21.03</v>
      </c>
      <c r="X72" s="145">
        <f>32.2702 * (1+H3)</f>
        <v>32.270200000000003</v>
      </c>
      <c r="Y72" s="145">
        <f>19.37 * (1+H3)</f>
        <v>19.37</v>
      </c>
      <c r="Z72" s="145">
        <f>23.16 * (1+H3)</f>
        <v>23.16</v>
      </c>
      <c r="AA72" s="145">
        <f>22.79 * (1+H3)</f>
        <v>22.79</v>
      </c>
      <c r="AB72" s="145">
        <f>35.2828 * (1+H3)</f>
        <v>35.282800000000002</v>
      </c>
    </row>
    <row r="73" spans="3:28" x14ac:dyDescent="0.25">
      <c r="C73" s="144">
        <f>20</f>
        <v>20</v>
      </c>
      <c r="D73" s="145">
        <f>18.14 * (1+H3)</f>
        <v>18.14</v>
      </c>
      <c r="E73" s="145">
        <f>22.68 * (1+H3)</f>
        <v>22.68</v>
      </c>
      <c r="F73" s="145">
        <f>14.07 * (1+H3)</f>
        <v>14.07</v>
      </c>
      <c r="G73" s="145">
        <f>26.904 * (1+H3)</f>
        <v>26.904</v>
      </c>
      <c r="H73" s="145">
        <f>16.87 * (1+H3)</f>
        <v>16.87</v>
      </c>
      <c r="I73" s="145">
        <f>14 * (1+H3)</f>
        <v>14</v>
      </c>
      <c r="J73" s="145">
        <f>18.5175 * (1+H3)</f>
        <v>18.517499999999998</v>
      </c>
      <c r="K73" s="145">
        <f>31.7988 * (1+H3)</f>
        <v>31.7988</v>
      </c>
      <c r="L73" s="145">
        <f>38.1356 * (1+H3)</f>
        <v>38.135599999999997</v>
      </c>
      <c r="M73" s="145">
        <f>36.8742 * (1+H3)</f>
        <v>36.874200000000002</v>
      </c>
      <c r="N73" s="145">
        <f>17.88 * (1+H3)</f>
        <v>17.88</v>
      </c>
      <c r="O73" s="145">
        <f>19.7 * (1+H3)</f>
        <v>19.7</v>
      </c>
      <c r="P73" s="145">
        <f>23.7 * (1+H3)</f>
        <v>23.7</v>
      </c>
      <c r="Q73" s="145">
        <f>17.07 * (1+H3)</f>
        <v>17.07</v>
      </c>
      <c r="R73" s="145">
        <f>18.03 * (1+H3)</f>
        <v>18.03</v>
      </c>
      <c r="S73" s="145">
        <f>17.69 * (1+H3)</f>
        <v>17.690000000000001</v>
      </c>
      <c r="T73" s="145">
        <f>21.08 * (1+H3)</f>
        <v>21.08</v>
      </c>
      <c r="U73" s="145">
        <f>49.7235 * (1+H3)</f>
        <v>49.723500000000001</v>
      </c>
      <c r="V73" s="145">
        <f>19.63 * (1+H3)</f>
        <v>19.63</v>
      </c>
      <c r="W73" s="145">
        <f>21.53 * (1+H3)</f>
        <v>21.53</v>
      </c>
      <c r="X73" s="145">
        <f>32.3744 * (1+H3)</f>
        <v>32.374400000000001</v>
      </c>
      <c r="Y73" s="145">
        <f>19.88 * (1+H3)</f>
        <v>19.88</v>
      </c>
      <c r="Z73" s="145">
        <f>23.67 * (1+H3)</f>
        <v>23.67</v>
      </c>
      <c r="AA73" s="145">
        <f>23.29 * (1+H3)</f>
        <v>23.29</v>
      </c>
      <c r="AB73" s="145">
        <f>35.7828 * (1+H3)</f>
        <v>35.782800000000002</v>
      </c>
    </row>
    <row r="74" spans="3:28" x14ac:dyDescent="0.25">
      <c r="C74" s="144">
        <f>21</f>
        <v>21</v>
      </c>
      <c r="D74" s="145">
        <f>18.4 * (1+H3)</f>
        <v>18.399999999999999</v>
      </c>
      <c r="E74" s="145">
        <f>23.01 * (1+H3)</f>
        <v>23.01</v>
      </c>
      <c r="F74" s="145">
        <f>14.12 * (1+H3)</f>
        <v>14.12</v>
      </c>
      <c r="G74" s="145">
        <f>27.0039 * (1+H3)</f>
        <v>27.003900000000002</v>
      </c>
      <c r="H74" s="145">
        <f>17.11 * (1+H3)</f>
        <v>17.11</v>
      </c>
      <c r="I74" s="145">
        <f>14.05 * (1+H3)</f>
        <v>14.05</v>
      </c>
      <c r="J74" s="145">
        <f>18.5679 * (1+H3)</f>
        <v>18.567900000000002</v>
      </c>
      <c r="K74" s="145">
        <f>31.8489 * (1+H3)</f>
        <v>31.8489</v>
      </c>
      <c r="L74" s="145">
        <f>38.4004 * (1+H3)</f>
        <v>38.400399999999998</v>
      </c>
      <c r="M74" s="145">
        <f>36.9524 * (1+H3)</f>
        <v>36.952399999999997</v>
      </c>
      <c r="N74" s="145">
        <f>17.93 * (1+H3)</f>
        <v>17.93</v>
      </c>
      <c r="O74" s="145">
        <f>19.75 * (1+H3)</f>
        <v>19.75</v>
      </c>
      <c r="P74" s="145">
        <f>23.75 * (1+H3)</f>
        <v>23.75</v>
      </c>
      <c r="Q74" s="145">
        <f>17.12 * (1+H3)</f>
        <v>17.12</v>
      </c>
      <c r="R74" s="145">
        <f>18.23 * (1+H3)</f>
        <v>18.23</v>
      </c>
      <c r="S74" s="145">
        <f>17.94 * (1+H3)</f>
        <v>17.940000000000001</v>
      </c>
      <c r="T74" s="145">
        <f>21.13 * (1+H3)</f>
        <v>21.13</v>
      </c>
      <c r="U74" s="145">
        <f>50.1075 * (1+H3)</f>
        <v>50.107500000000002</v>
      </c>
      <c r="V74" s="145">
        <f>19.73 * (1+H3)</f>
        <v>19.73</v>
      </c>
      <c r="W74" s="145">
        <f>51.63 * (1+H3)</f>
        <v>51.63</v>
      </c>
      <c r="X74" s="145">
        <f>32.4786 * (1+H3)</f>
        <v>32.4786</v>
      </c>
      <c r="Y74" s="145">
        <f>19.93 * (1+H3)</f>
        <v>19.93</v>
      </c>
      <c r="Z74" s="145">
        <f>23.71 * (1+H3)</f>
        <v>23.71</v>
      </c>
      <c r="AA74" s="145">
        <f>23.34 * (1+H3)</f>
        <v>23.34</v>
      </c>
      <c r="AB74" s="145">
        <f>35.833 * (1+H3)</f>
        <v>35.832999999999998</v>
      </c>
    </row>
    <row r="75" spans="3:28" x14ac:dyDescent="0.25">
      <c r="C75" s="144">
        <f>22</f>
        <v>22</v>
      </c>
      <c r="D75" s="145">
        <f>18.66 * (1+H3)</f>
        <v>18.66</v>
      </c>
      <c r="E75" s="145">
        <f>23.34 * (1+H3)</f>
        <v>23.34</v>
      </c>
      <c r="F75" s="145">
        <f>14.17 * (1+H3)</f>
        <v>14.17</v>
      </c>
      <c r="G75" s="145">
        <f>27.1038 * (1+H3)</f>
        <v>27.1038</v>
      </c>
      <c r="H75" s="145">
        <f>17.36 * (1+H3)</f>
        <v>17.36</v>
      </c>
      <c r="I75" s="145">
        <f>14.1 * (1+H3)</f>
        <v>14.1</v>
      </c>
      <c r="J75" s="145">
        <f>18.6183 * (1+H3)</f>
        <v>18.618300000000001</v>
      </c>
      <c r="K75" s="145">
        <f>31.8996 * (1+H3)</f>
        <v>31.8996</v>
      </c>
      <c r="L75" s="145">
        <f>38.6653 * (1+H3)</f>
        <v>38.665300000000002</v>
      </c>
      <c r="M75" s="145">
        <f>37.1233 * (1+H3)</f>
        <v>37.1233</v>
      </c>
      <c r="N75" s="145">
        <f>17.98 * (1+H3)</f>
        <v>17.98</v>
      </c>
      <c r="O75" s="145">
        <f>19.8 * (1+H3)</f>
        <v>19.8</v>
      </c>
      <c r="P75" s="145">
        <f>23.8 * (1+H3)</f>
        <v>23.8</v>
      </c>
      <c r="Q75" s="145">
        <f>17.17 * (1+H3)</f>
        <v>17.170000000000002</v>
      </c>
      <c r="R75" s="145">
        <f>18.43 * (1+H3)</f>
        <v>18.43</v>
      </c>
      <c r="S75" s="145">
        <f>18.2 * (1+H3)</f>
        <v>18.2</v>
      </c>
      <c r="T75" s="145">
        <f>21.18 * (1+H3)</f>
        <v>21.18</v>
      </c>
      <c r="U75" s="145">
        <f>50.4916 * (1+H3)</f>
        <v>50.491599999999998</v>
      </c>
      <c r="V75" s="145">
        <f>19.83 * (1+H3)</f>
        <v>19.829999999999998</v>
      </c>
      <c r="W75" s="145">
        <f>21.73 * (1+H3)</f>
        <v>21.73</v>
      </c>
      <c r="X75" s="145">
        <f>32.5827 * (1+H3)</f>
        <v>32.582700000000003</v>
      </c>
      <c r="Y75" s="145">
        <f>19.98 * (1+H3)</f>
        <v>19.98</v>
      </c>
      <c r="Z75" s="145">
        <f>23.76 * (1+H3)</f>
        <v>23.76</v>
      </c>
      <c r="AA75" s="145">
        <f>23.39 * (1+H3)</f>
        <v>23.39</v>
      </c>
      <c r="AB75" s="145">
        <f>35.8832 * (1+H3)</f>
        <v>35.883200000000002</v>
      </c>
    </row>
    <row r="76" spans="3:28" x14ac:dyDescent="0.25">
      <c r="C76" s="144">
        <f>23</f>
        <v>23</v>
      </c>
      <c r="D76" s="145">
        <f>18.93 * (1+H3)</f>
        <v>18.93</v>
      </c>
      <c r="E76" s="145">
        <f>23.68 * (1+H3)</f>
        <v>23.68</v>
      </c>
      <c r="F76" s="145">
        <f>14.22 * (1+H3)</f>
        <v>14.22</v>
      </c>
      <c r="G76" s="145">
        <f>27.2037 * (1+H3)</f>
        <v>27.203700000000001</v>
      </c>
      <c r="H76" s="145">
        <f>17.62 * (1+H3)</f>
        <v>17.62</v>
      </c>
      <c r="I76" s="145">
        <f>14.15 * (1+H3)</f>
        <v>14.15</v>
      </c>
      <c r="J76" s="145">
        <f>18.6687 * (1+H3)</f>
        <v>18.668700000000001</v>
      </c>
      <c r="K76" s="145">
        <f>31.9498 * (1+H3)</f>
        <v>31.9498</v>
      </c>
      <c r="L76" s="145">
        <f>38.9301 * (1+H3)</f>
        <v>38.930100000000003</v>
      </c>
      <c r="M76" s="145">
        <f>37.2973 * (1+H3)</f>
        <v>37.2973</v>
      </c>
      <c r="N76" s="145">
        <f>18.03 * (1+H3)</f>
        <v>18.03</v>
      </c>
      <c r="O76" s="145">
        <f>19.85 * (1+H3)</f>
        <v>19.850000000000001</v>
      </c>
      <c r="P76" s="145">
        <f>23.85 * (1+H3)</f>
        <v>23.85</v>
      </c>
      <c r="Q76" s="145">
        <f>17.22 * (1+H3)</f>
        <v>17.22</v>
      </c>
      <c r="R76" s="145">
        <f>18.63 * (1+H3)</f>
        <v>18.63</v>
      </c>
      <c r="S76" s="145">
        <f>18.48 * (1+H3)</f>
        <v>18.48</v>
      </c>
      <c r="T76" s="145">
        <f>21.23 * (1+H3)</f>
        <v>21.23</v>
      </c>
      <c r="U76" s="145">
        <f>50.8756 * (1+H3)</f>
        <v>50.875599999999999</v>
      </c>
      <c r="V76" s="145">
        <f>19.93 * (1+H3)</f>
        <v>19.93</v>
      </c>
      <c r="W76" s="145">
        <f>21.83 * (1+H3)</f>
        <v>21.83</v>
      </c>
      <c r="X76" s="145">
        <f>32.6869 * (1+H3)</f>
        <v>32.686900000000001</v>
      </c>
      <c r="Y76" s="145">
        <f>20.03 * (1+H3)</f>
        <v>20.03</v>
      </c>
      <c r="Z76" s="145">
        <f>23.81 * (1+H3)</f>
        <v>23.81</v>
      </c>
      <c r="AA76" s="145">
        <f>23.44 * (1+H3)</f>
        <v>23.44</v>
      </c>
      <c r="AB76" s="145">
        <f>35.9334 * (1+H3)</f>
        <v>35.933399999999999</v>
      </c>
    </row>
    <row r="77" spans="3:28" x14ac:dyDescent="0.25">
      <c r="C77" s="144">
        <f>24</f>
        <v>24</v>
      </c>
      <c r="D77" s="145">
        <f>19.2 * (1+H3)</f>
        <v>19.2</v>
      </c>
      <c r="E77" s="145">
        <f>24.03 * (1+H3)</f>
        <v>24.03</v>
      </c>
      <c r="F77" s="145">
        <f>14.27 * (1+H3)</f>
        <v>14.27</v>
      </c>
      <c r="G77" s="145">
        <f>27.3036 * (1+H3)</f>
        <v>27.303599999999999</v>
      </c>
      <c r="H77" s="145">
        <f>17.87 * (1+H3)</f>
        <v>17.87</v>
      </c>
      <c r="I77" s="145">
        <f>14.2 * (1+H3)</f>
        <v>14.2</v>
      </c>
      <c r="J77" s="145">
        <f>18.7191 * (1+H3)</f>
        <v>18.719100000000001</v>
      </c>
      <c r="K77" s="145">
        <f>32.0005 * (1+H3)</f>
        <v>32.000500000000002</v>
      </c>
      <c r="L77" s="145">
        <f>39.1949 * (1+H3)</f>
        <v>39.194899999999997</v>
      </c>
      <c r="M77" s="145">
        <f>37.4689 * (1+H3)</f>
        <v>37.468899999999998</v>
      </c>
      <c r="N77" s="145">
        <f>18.08 * (1+H3)</f>
        <v>18.079999999999998</v>
      </c>
      <c r="O77" s="145">
        <f>19.9 * (1+H3)</f>
        <v>19.899999999999999</v>
      </c>
      <c r="P77" s="145">
        <f>23.9 * (1+H3)</f>
        <v>23.9</v>
      </c>
      <c r="Q77" s="145">
        <f>17.27 * (1+H3)</f>
        <v>17.27</v>
      </c>
      <c r="R77" s="145">
        <f>18.83 * (1+H3)</f>
        <v>18.829999999999998</v>
      </c>
      <c r="S77" s="145">
        <f>18.74 * (1+H3)</f>
        <v>18.739999999999998</v>
      </c>
      <c r="T77" s="145">
        <f>21.28 * (1+H3)</f>
        <v>21.28</v>
      </c>
      <c r="U77" s="145">
        <f>51.2596 * (1+H3)</f>
        <v>51.259599999999999</v>
      </c>
      <c r="V77" s="145">
        <f>20.03 * (1+H3)</f>
        <v>20.03</v>
      </c>
      <c r="W77" s="145">
        <f>21.93 * (1+H3)</f>
        <v>21.93</v>
      </c>
      <c r="X77" s="145">
        <f>32.7911 * (1+H3)</f>
        <v>32.7911</v>
      </c>
      <c r="Y77" s="145">
        <f>20.08 * (1+H3)</f>
        <v>20.079999999999998</v>
      </c>
      <c r="Z77" s="145">
        <f>23.86 * (1+H3)</f>
        <v>23.86</v>
      </c>
      <c r="AA77" s="145">
        <f>23.49 * (1+H3)</f>
        <v>23.49</v>
      </c>
      <c r="AB77" s="145">
        <f>35.9836 * (1+H3)</f>
        <v>35.983600000000003</v>
      </c>
    </row>
    <row r="78" spans="3:28" x14ac:dyDescent="0.25">
      <c r="C78" s="144">
        <f>25</f>
        <v>25</v>
      </c>
      <c r="D78" s="145">
        <f>19.48 * (1+H3)</f>
        <v>19.48</v>
      </c>
      <c r="E78" s="145">
        <f>24.38 * (1+H3)</f>
        <v>24.38</v>
      </c>
      <c r="F78" s="145">
        <f>14.32 * (1+H3)</f>
        <v>14.32</v>
      </c>
      <c r="G78" s="145">
        <f>27.4035 * (1+H3)</f>
        <v>27.403500000000001</v>
      </c>
      <c r="H78" s="145">
        <f>18.13 * (1+H3)</f>
        <v>18.13</v>
      </c>
      <c r="I78" s="145">
        <f>14.25 * (1+H3)</f>
        <v>14.25</v>
      </c>
      <c r="J78" s="145">
        <f>18.7695 * (1+H3)</f>
        <v>18.769500000000001</v>
      </c>
      <c r="K78" s="145">
        <f>32.0512 * (1+H3)</f>
        <v>32.051200000000001</v>
      </c>
      <c r="L78" s="145">
        <f>39.4598 * (1+H3)</f>
        <v>39.459800000000001</v>
      </c>
      <c r="M78" s="145">
        <f>37.7436 * (1+H3)</f>
        <v>37.743600000000001</v>
      </c>
      <c r="N78" s="145">
        <f>18.13 * (1+H3)</f>
        <v>18.13</v>
      </c>
      <c r="O78" s="145">
        <f>19.95 * (1+H3)</f>
        <v>19.95</v>
      </c>
      <c r="P78" s="145">
        <f>23.95 * (1+H3)</f>
        <v>23.95</v>
      </c>
      <c r="Q78" s="145">
        <f>17.32 * (1+H3)</f>
        <v>17.32</v>
      </c>
      <c r="R78" s="145">
        <f>19.03 * (1+H3)</f>
        <v>19.03</v>
      </c>
      <c r="S78" s="145">
        <f>19.01 * (1+H3)</f>
        <v>19.010000000000002</v>
      </c>
      <c r="T78" s="145">
        <f>21.33 * (1+H3)</f>
        <v>21.33</v>
      </c>
      <c r="U78" s="145">
        <f>51.6436 * (1+H3)</f>
        <v>51.643599999999999</v>
      </c>
      <c r="V78" s="145">
        <f>20.13 * (1+H3)</f>
        <v>20.13</v>
      </c>
      <c r="W78" s="145">
        <f>22.03 * (1+H3)</f>
        <v>22.03</v>
      </c>
      <c r="X78" s="145">
        <f>32.8952 * (1+H3)</f>
        <v>32.895200000000003</v>
      </c>
      <c r="Y78" s="145">
        <f>20.13 * (1+H3)</f>
        <v>20.13</v>
      </c>
      <c r="Z78" s="145">
        <f>23.91 * (1+H3)</f>
        <v>23.91</v>
      </c>
      <c r="AA78" s="145">
        <f>23.6 * (1+H3)</f>
        <v>23.6</v>
      </c>
      <c r="AB78" s="145">
        <f>36.0338 * (1+H3)</f>
        <v>36.033799999999999</v>
      </c>
    </row>
    <row r="79" spans="3:28" x14ac:dyDescent="0.25">
      <c r="C79" s="144">
        <f>26</f>
        <v>26</v>
      </c>
      <c r="D79" s="145">
        <f>19.76 * (1+H3)</f>
        <v>19.760000000000002</v>
      </c>
      <c r="E79" s="145">
        <f>24.73 * (1+H3)</f>
        <v>24.73</v>
      </c>
      <c r="F79" s="145">
        <f>14.37 * (1+H3)</f>
        <v>14.37</v>
      </c>
      <c r="G79" s="145">
        <f>27.5034 * (1+H3)</f>
        <v>27.503399999999999</v>
      </c>
      <c r="H79" s="145">
        <f>18.4 * (1+H3)</f>
        <v>18.399999999999999</v>
      </c>
      <c r="I79" s="145">
        <f>14.3 * (1+H3)</f>
        <v>14.3</v>
      </c>
      <c r="J79" s="145">
        <f>18.8199 * (1+H3)</f>
        <v>18.819900000000001</v>
      </c>
      <c r="K79" s="145">
        <f>32.1014 * (1+H3)</f>
        <v>32.101399999999998</v>
      </c>
      <c r="L79" s="145">
        <f>39.7246 * (1+H3)</f>
        <v>39.724600000000002</v>
      </c>
      <c r="M79" s="145">
        <f>37.823 * (1+H3)</f>
        <v>37.823</v>
      </c>
      <c r="N79" s="145">
        <f>18.18 * (1+H3)</f>
        <v>18.18</v>
      </c>
      <c r="O79" s="145">
        <f>20 * (1+H3)</f>
        <v>20</v>
      </c>
      <c r="P79" s="145">
        <f>24 * (1+H3)</f>
        <v>24</v>
      </c>
      <c r="Q79" s="145">
        <f>17.37 * (1+H3)</f>
        <v>17.37</v>
      </c>
      <c r="R79" s="145">
        <f>19.23 * (1+H3)</f>
        <v>19.23</v>
      </c>
      <c r="S79" s="145">
        <f>19.3 * (1+H3)</f>
        <v>19.3</v>
      </c>
      <c r="T79" s="145">
        <f>21.38 * (1+H3)</f>
        <v>21.38</v>
      </c>
      <c r="U79" s="145">
        <f>52.0276 * (1+H3)</f>
        <v>52.0276</v>
      </c>
      <c r="V79" s="145">
        <f>20.23 * (1+H3)</f>
        <v>20.23</v>
      </c>
      <c r="W79" s="145">
        <f>22.13 * (1+H3)</f>
        <v>22.13</v>
      </c>
      <c r="X79" s="145">
        <f>32.9911 * (1+H3)</f>
        <v>32.991100000000003</v>
      </c>
      <c r="Y79" s="145">
        <f>20.18 * (1+H3)</f>
        <v>20.18</v>
      </c>
      <c r="Z79" s="145">
        <f>23.96 * (1+H3)</f>
        <v>23.96</v>
      </c>
      <c r="AA79" s="145">
        <f>23.64 * (1+H3)</f>
        <v>23.64</v>
      </c>
      <c r="AB79" s="145">
        <f>36.084 * (1+H3)</f>
        <v>36.084000000000003</v>
      </c>
    </row>
    <row r="80" spans="3:28" x14ac:dyDescent="0.25">
      <c r="C80" s="144">
        <f>27</f>
        <v>27</v>
      </c>
      <c r="D80" s="145">
        <f>20.04 * (1+H3)</f>
        <v>20.04</v>
      </c>
      <c r="E80" s="145">
        <f>25.09 * (1+H3)</f>
        <v>25.09</v>
      </c>
      <c r="F80" s="145">
        <f>14.42 * (1+H3)</f>
        <v>14.42</v>
      </c>
      <c r="G80" s="145">
        <f>27.6018 * (1+H3)</f>
        <v>27.601800000000001</v>
      </c>
      <c r="H80" s="145">
        <f>18.67 * (1+H3)</f>
        <v>18.670000000000002</v>
      </c>
      <c r="I80" s="145">
        <f>14.35 * (1+H3)</f>
        <v>14.35</v>
      </c>
      <c r="J80" s="145">
        <f>18.8703 * (1+H3)</f>
        <v>18.8703</v>
      </c>
      <c r="K80" s="145">
        <f>32.152 * (1+H3)</f>
        <v>32.152000000000001</v>
      </c>
      <c r="L80" s="145">
        <f>39.9894 * (1+H3)</f>
        <v>39.989400000000003</v>
      </c>
      <c r="M80" s="145">
        <f>38.0024 * (1+H3)</f>
        <v>38.002400000000002</v>
      </c>
      <c r="N80" s="145">
        <f>18.23 * (1+H3)</f>
        <v>18.23</v>
      </c>
      <c r="O80" s="145">
        <f>20.05 * (1+H3)</f>
        <v>20.05</v>
      </c>
      <c r="P80" s="145">
        <f>24.05 * (1+H3)</f>
        <v>24.05</v>
      </c>
      <c r="Q80" s="145">
        <f>17.42 * (1+H3)</f>
        <v>17.420000000000002</v>
      </c>
      <c r="R80" s="145">
        <f>19.43 * (1+H3)</f>
        <v>19.43</v>
      </c>
      <c r="S80" s="145">
        <f>19.58 * (1+H3)</f>
        <v>19.579999999999998</v>
      </c>
      <c r="T80" s="145">
        <f>21.43 * (1+H3)</f>
        <v>21.43</v>
      </c>
      <c r="U80" s="145">
        <f>52.4117 * (1+H3)</f>
        <v>52.411700000000003</v>
      </c>
      <c r="V80" s="145">
        <f>20.33 * (1+H3)</f>
        <v>20.329999999999998</v>
      </c>
      <c r="W80" s="145">
        <f>22.23 * (1+H3)</f>
        <v>22.23</v>
      </c>
      <c r="X80" s="145">
        <f>33.0952 * (1+H3)</f>
        <v>33.095199999999998</v>
      </c>
      <c r="Y80" s="145">
        <f>20.23 * (1+H3)</f>
        <v>20.23</v>
      </c>
      <c r="Z80" s="145">
        <f>24.01 * (1+H3)</f>
        <v>24.01</v>
      </c>
      <c r="AA80" s="145">
        <f>23.69 * (1+H3)</f>
        <v>23.69</v>
      </c>
      <c r="AB80" s="145">
        <f>36.1342 * (1+H3)</f>
        <v>36.1342</v>
      </c>
    </row>
    <row r="81" spans="3:28" x14ac:dyDescent="0.25">
      <c r="C81" s="144">
        <f>28</f>
        <v>28</v>
      </c>
      <c r="D81" s="145">
        <f>20.09 * (1+H3)</f>
        <v>20.09</v>
      </c>
      <c r="E81" s="145">
        <f>25.09 * (1+H3)</f>
        <v>25.09</v>
      </c>
      <c r="F81" s="145">
        <f>14.47 * (1+H3)</f>
        <v>14.47</v>
      </c>
      <c r="G81" s="145">
        <f>27.7032 * (1+H3)</f>
        <v>27.703199999999999</v>
      </c>
      <c r="H81" s="145">
        <f>18.72 * (1+H3)</f>
        <v>18.72</v>
      </c>
      <c r="I81" s="145">
        <f>14.4 * (1+H3)</f>
        <v>14.4</v>
      </c>
      <c r="J81" s="145">
        <f>18.9207 * (1+H3)</f>
        <v>18.9207</v>
      </c>
      <c r="K81" s="145">
        <f>32.2022 * (1+H3)</f>
        <v>32.202199999999998</v>
      </c>
      <c r="L81" s="145">
        <f>40.2542 * (1+H3)</f>
        <v>40.254199999999997</v>
      </c>
      <c r="M81" s="145">
        <f>38.1832 * (1+H3)</f>
        <v>38.183199999999999</v>
      </c>
      <c r="N81" s="145">
        <f>18.28 * (1+H3)</f>
        <v>18.28</v>
      </c>
      <c r="O81" s="145">
        <f>20.1 * (1+H3)</f>
        <v>20.100000000000001</v>
      </c>
      <c r="P81" s="145">
        <f>24.1 * (1+H3)</f>
        <v>24.1</v>
      </c>
      <c r="Q81" s="145">
        <f>17.47 * (1+H3)</f>
        <v>17.47</v>
      </c>
      <c r="R81" s="145">
        <f>19.63 * (1+H3)</f>
        <v>19.63</v>
      </c>
      <c r="S81" s="145">
        <f>19.63 * (1+H3)</f>
        <v>19.63</v>
      </c>
      <c r="T81" s="145">
        <f>21.48 * (1+H3)</f>
        <v>21.48</v>
      </c>
      <c r="U81" s="145">
        <f>52.7957 * (1+H3)</f>
        <v>52.795699999999997</v>
      </c>
      <c r="V81" s="145">
        <f>20.38 * (1+H3)</f>
        <v>20.38</v>
      </c>
      <c r="W81" s="145">
        <f>22.28 * (1+H3)</f>
        <v>22.28</v>
      </c>
      <c r="X81" s="145">
        <f>33.2738 * (1+H3)</f>
        <v>33.273800000000001</v>
      </c>
      <c r="Y81" s="145">
        <f>20.28 * (1+H3)</f>
        <v>20.28</v>
      </c>
      <c r="Z81" s="145">
        <f>24.06 * (1+H3)</f>
        <v>24.06</v>
      </c>
      <c r="AA81" s="145">
        <f>23.74 * (1+H3)</f>
        <v>23.74</v>
      </c>
      <c r="AB81" s="145">
        <f>36.1844 * (1+H3)</f>
        <v>36.184399999999997</v>
      </c>
    </row>
    <row r="82" spans="3:28" x14ac:dyDescent="0.25">
      <c r="C82" s="144">
        <f>29</f>
        <v>29</v>
      </c>
      <c r="D82" s="145">
        <f>20.14 * (1+H3)</f>
        <v>20.14</v>
      </c>
      <c r="E82" s="145">
        <f>25.09 * (1+H3)</f>
        <v>25.09</v>
      </c>
      <c r="F82" s="145">
        <f>14.52 * (1+H3)</f>
        <v>14.52</v>
      </c>
      <c r="G82" s="145">
        <f>27.8031 * (1+H3)</f>
        <v>27.803100000000001</v>
      </c>
      <c r="H82" s="145">
        <f>18.77 * (1+H3)</f>
        <v>18.77</v>
      </c>
      <c r="I82" s="145">
        <f>14.45 * (1+H3)</f>
        <v>14.45</v>
      </c>
      <c r="J82" s="145">
        <f>18.9711 * (1+H3)</f>
        <v>18.9711</v>
      </c>
      <c r="K82" s="145">
        <f>32.2529 * (1+H3)</f>
        <v>32.252899999999997</v>
      </c>
      <c r="L82" s="145">
        <f>40.5191 * (1+H3)</f>
        <v>40.519100000000002</v>
      </c>
      <c r="M82" s="145">
        <f>38.3608 * (1+H3)</f>
        <v>38.360799999999998</v>
      </c>
      <c r="N82" s="145">
        <f>18.33 * (1+H3)</f>
        <v>18.329999999999998</v>
      </c>
      <c r="O82" s="145">
        <f>20.15 * (1+H3)</f>
        <v>20.149999999999999</v>
      </c>
      <c r="P82" s="145">
        <f>24.15 * (1+H3)</f>
        <v>24.15</v>
      </c>
      <c r="Q82" s="145">
        <f>17.52 * (1+H3)</f>
        <v>17.52</v>
      </c>
      <c r="R82" s="145">
        <f>19.83 * (1+H3)</f>
        <v>19.829999999999998</v>
      </c>
      <c r="S82" s="145">
        <f>19.68 * (1+H3)</f>
        <v>19.68</v>
      </c>
      <c r="T82" s="145">
        <f>21.53 * (1+H3)</f>
        <v>21.53</v>
      </c>
      <c r="U82" s="145">
        <f>53.1797 * (1+H3)</f>
        <v>53.179699999999997</v>
      </c>
      <c r="V82" s="145">
        <f>20.43 * (1+H3)</f>
        <v>20.43</v>
      </c>
      <c r="W82" s="145">
        <f>22.33 * (1+H3)</f>
        <v>22.33</v>
      </c>
      <c r="X82" s="145">
        <f>33.4524 * (1+H3)</f>
        <v>33.452399999999997</v>
      </c>
      <c r="Y82" s="145">
        <f>20.33 * (1+H3)</f>
        <v>20.329999999999998</v>
      </c>
      <c r="Z82" s="145">
        <f>24.11 * (1+H3)</f>
        <v>24.11</v>
      </c>
      <c r="AA82" s="145">
        <f>23.79 * (1+H3)</f>
        <v>23.79</v>
      </c>
      <c r="AB82" s="145">
        <f>36.2346 * (1+H3)</f>
        <v>36.2346</v>
      </c>
    </row>
    <row r="83" spans="3:28" x14ac:dyDescent="0.25">
      <c r="C83" s="144">
        <f>30</f>
        <v>30</v>
      </c>
      <c r="D83" s="145">
        <f>20.19 * (1+H3)</f>
        <v>20.190000000000001</v>
      </c>
      <c r="E83" s="145">
        <f>25.09 * (1+H3)</f>
        <v>25.09</v>
      </c>
      <c r="F83" s="145">
        <f>14.57 * (1+H3)</f>
        <v>14.57</v>
      </c>
      <c r="G83" s="145">
        <f>27.903 * (1+H3)</f>
        <v>27.902999999999999</v>
      </c>
      <c r="H83" s="145">
        <f>18.82 * (1+H3)</f>
        <v>18.82</v>
      </c>
      <c r="I83" s="145">
        <f>14.5 * (1+H3)</f>
        <v>14.5</v>
      </c>
      <c r="J83" s="145">
        <f>19.0215 * (1+H3)</f>
        <v>19.0215</v>
      </c>
      <c r="K83" s="145">
        <f>32.3132 * (1+H3)</f>
        <v>32.313200000000002</v>
      </c>
      <c r="L83" s="145">
        <f>40.7839 * (1+H3)</f>
        <v>40.783900000000003</v>
      </c>
      <c r="M83" s="145">
        <f>38.7698 * (1+H3)</f>
        <v>38.769799999999996</v>
      </c>
      <c r="N83" s="145">
        <f>18.38 * (1+H3)</f>
        <v>18.38</v>
      </c>
      <c r="O83" s="145">
        <f>20.2 * (1+H3)</f>
        <v>20.2</v>
      </c>
      <c r="P83" s="145">
        <f>24.2 * (1+H3)</f>
        <v>24.2</v>
      </c>
      <c r="Q83" s="145">
        <f>17.57 * (1+H3)</f>
        <v>17.57</v>
      </c>
      <c r="R83" s="145">
        <f>20.03 * (1+H3)</f>
        <v>20.03</v>
      </c>
      <c r="S83" s="145">
        <f>19.73 * (1+H3)</f>
        <v>19.73</v>
      </c>
      <c r="T83" s="145">
        <f>21.58 * (1+H3)</f>
        <v>21.58</v>
      </c>
      <c r="U83" s="145">
        <f>53.5637 * (1+H3)</f>
        <v>53.563699999999997</v>
      </c>
      <c r="V83" s="145">
        <f>20.48 * (1+H3)</f>
        <v>20.48</v>
      </c>
      <c r="W83" s="145">
        <f>22.38 * (1+H3)</f>
        <v>22.38</v>
      </c>
      <c r="X83" s="145">
        <f>33.631 * (1+H3)</f>
        <v>33.631</v>
      </c>
      <c r="Y83" s="145">
        <f>20.38 * (1+H3)</f>
        <v>20.38</v>
      </c>
      <c r="Z83" s="145">
        <f>24.16 * (1+H3)</f>
        <v>24.16</v>
      </c>
      <c r="AA83" s="145">
        <f>23.84 * (1+H3)</f>
        <v>23.84</v>
      </c>
      <c r="AB83" s="145">
        <f>36.2848 * (1+H3)</f>
        <v>36.284799999999997</v>
      </c>
    </row>
    <row r="84" spans="3:28" x14ac:dyDescent="0.25">
      <c r="C84" s="144">
        <f>31</f>
        <v>31</v>
      </c>
      <c r="D84" s="145">
        <f>20.19 * (1+H3)</f>
        <v>20.190000000000001</v>
      </c>
      <c r="E84" s="145">
        <f>25.09 * (1+H3)</f>
        <v>25.09</v>
      </c>
      <c r="F84" s="145">
        <f>14.57 * (1+H3)</f>
        <v>14.57</v>
      </c>
      <c r="G84" s="145">
        <f>27.903 * (1+H3)</f>
        <v>27.902999999999999</v>
      </c>
      <c r="H84" s="145">
        <f>18.82 * (1+H3)</f>
        <v>18.82</v>
      </c>
      <c r="I84" s="145">
        <f>14.5 * (1+H3)</f>
        <v>14.5</v>
      </c>
      <c r="J84" s="145">
        <f>19.0215 * (1+H3)</f>
        <v>19.0215</v>
      </c>
      <c r="K84" s="145">
        <f>32.3132 * (1+H3)</f>
        <v>32.313200000000002</v>
      </c>
      <c r="L84" s="145">
        <f>40.7839 * (1+H3)</f>
        <v>40.783900000000003</v>
      </c>
      <c r="M84" s="145">
        <f>38.7698 * (1+H3)</f>
        <v>38.769799999999996</v>
      </c>
      <c r="N84" s="145">
        <f>18.38 * (1+H3)</f>
        <v>18.38</v>
      </c>
      <c r="O84" s="145">
        <f>20.2 * (1+H3)</f>
        <v>20.2</v>
      </c>
      <c r="P84" s="145">
        <f>24.2 * (1+H3)</f>
        <v>24.2</v>
      </c>
      <c r="Q84" s="145">
        <f>17.57 * (1+H3)</f>
        <v>17.57</v>
      </c>
      <c r="R84" s="145">
        <f>20.03 * (1+H3)</f>
        <v>20.03</v>
      </c>
      <c r="S84" s="145">
        <f>19.73 * (1+H3)</f>
        <v>19.73</v>
      </c>
      <c r="T84" s="145">
        <f>21.58 * (1+H3)</f>
        <v>21.58</v>
      </c>
      <c r="U84" s="145">
        <f>53.5637 * (1+H3)</f>
        <v>53.563699999999997</v>
      </c>
      <c r="V84" s="145">
        <f>20.48 * (1+H3)</f>
        <v>20.48</v>
      </c>
      <c r="W84" s="145">
        <f>22.38 * (1+H3)</f>
        <v>22.38</v>
      </c>
      <c r="X84" s="145">
        <f>33.631 * (1+H3)</f>
        <v>33.631</v>
      </c>
      <c r="Y84" s="145">
        <f>20.38 * (1+H3)</f>
        <v>20.38</v>
      </c>
      <c r="Z84" s="145">
        <f>24.16 * (1+H3)</f>
        <v>24.16</v>
      </c>
      <c r="AA84" s="145">
        <f>23.84 * (1+H3)</f>
        <v>23.84</v>
      </c>
      <c r="AB84" s="145">
        <f>36.2848 * (1+H3)</f>
        <v>36.284799999999997</v>
      </c>
    </row>
    <row r="85" spans="3:28" x14ac:dyDescent="0.25">
      <c r="C85" s="144">
        <f>32</f>
        <v>32</v>
      </c>
      <c r="D85" s="145">
        <f>20.19 * (1+H3)</f>
        <v>20.190000000000001</v>
      </c>
      <c r="E85" s="145">
        <f>25.09 * (1+H3)</f>
        <v>25.09</v>
      </c>
      <c r="F85" s="145">
        <f>14.57 * (1+H3)</f>
        <v>14.57</v>
      </c>
      <c r="G85" s="145">
        <f>27.903 * (1+H3)</f>
        <v>27.902999999999999</v>
      </c>
      <c r="H85" s="145">
        <f>18.82 * (1+H3)</f>
        <v>18.82</v>
      </c>
      <c r="I85" s="145">
        <f>14.5 * (1+H3)</f>
        <v>14.5</v>
      </c>
      <c r="J85" s="145">
        <f>19.0215 * (1+H3)</f>
        <v>19.0215</v>
      </c>
      <c r="K85" s="145">
        <f>32.3132 * (1+H3)</f>
        <v>32.313200000000002</v>
      </c>
      <c r="L85" s="145">
        <f>40.7839 * (1+H3)</f>
        <v>40.783900000000003</v>
      </c>
      <c r="M85" s="145">
        <f>38.7698 * (1+H3)</f>
        <v>38.769799999999996</v>
      </c>
      <c r="N85" s="145">
        <f>18.38 * (1+H3)</f>
        <v>18.38</v>
      </c>
      <c r="O85" s="145">
        <f>20.2 * (1+H3)</f>
        <v>20.2</v>
      </c>
      <c r="P85" s="145">
        <f>24.2 * (1+H3)</f>
        <v>24.2</v>
      </c>
      <c r="Q85" s="145">
        <f>17.57 * (1+H3)</f>
        <v>17.57</v>
      </c>
      <c r="R85" s="145">
        <f>20.03 * (1+H3)</f>
        <v>20.03</v>
      </c>
      <c r="S85" s="145">
        <f>19.73 * (1+H3)</f>
        <v>19.73</v>
      </c>
      <c r="T85" s="145">
        <f>21.58 * (1+H3)</f>
        <v>21.58</v>
      </c>
      <c r="U85" s="145">
        <f>53.5637 * (1+H3)</f>
        <v>53.563699999999997</v>
      </c>
      <c r="V85" s="145">
        <f>20.48 * (1+H3)</f>
        <v>20.48</v>
      </c>
      <c r="W85" s="145">
        <f>22.38 * (1+H3)</f>
        <v>22.38</v>
      </c>
      <c r="X85" s="145">
        <f>33.631 * (1+H3)</f>
        <v>33.631</v>
      </c>
      <c r="Y85" s="145">
        <f>20.38 * (1+H3)</f>
        <v>20.38</v>
      </c>
      <c r="Z85" s="145">
        <f>24.16 * (1+H3)</f>
        <v>24.16</v>
      </c>
      <c r="AA85" s="145">
        <f>23.84 * (1+H3)</f>
        <v>23.84</v>
      </c>
      <c r="AB85" s="145">
        <f>36.2848 * (1+H3)</f>
        <v>36.284799999999997</v>
      </c>
    </row>
    <row r="86" spans="3:28" x14ac:dyDescent="0.25">
      <c r="C86" s="144">
        <f>33</f>
        <v>33</v>
      </c>
      <c r="D86" s="145">
        <f>20.19 * (1+H3)</f>
        <v>20.190000000000001</v>
      </c>
      <c r="E86" s="145">
        <f>25.09 * (1+H3)</f>
        <v>25.09</v>
      </c>
      <c r="F86" s="145">
        <f>14.57 * (1+H3)</f>
        <v>14.57</v>
      </c>
      <c r="G86" s="145">
        <f>27.903 * (1+H3)</f>
        <v>27.902999999999999</v>
      </c>
      <c r="H86" s="145">
        <f>18.82 * (1+H3)</f>
        <v>18.82</v>
      </c>
      <c r="I86" s="145">
        <f>14.5 * (1+H3)</f>
        <v>14.5</v>
      </c>
      <c r="J86" s="145">
        <f>19.0215 * (1+H3)</f>
        <v>19.0215</v>
      </c>
      <c r="K86" s="145">
        <f>32.3132 * (1+H3)</f>
        <v>32.313200000000002</v>
      </c>
      <c r="L86" s="145">
        <f>40.7839 * (1+H3)</f>
        <v>40.783900000000003</v>
      </c>
      <c r="M86" s="145">
        <f>38.7698 * (1+H3)</f>
        <v>38.769799999999996</v>
      </c>
      <c r="N86" s="145">
        <f>18.38 * (1+H3)</f>
        <v>18.38</v>
      </c>
      <c r="O86" s="145">
        <f>20.2 * (1+H3)</f>
        <v>20.2</v>
      </c>
      <c r="P86" s="145">
        <f>24.2 * (1+H3)</f>
        <v>24.2</v>
      </c>
      <c r="Q86" s="145">
        <f>17.57 * (1+H3)</f>
        <v>17.57</v>
      </c>
      <c r="R86" s="145">
        <f>20.03 * (1+H3)</f>
        <v>20.03</v>
      </c>
      <c r="S86" s="145">
        <f>19.73 * (1+H3)</f>
        <v>19.73</v>
      </c>
      <c r="T86" s="145">
        <f>21.58 * (1+H3)</f>
        <v>21.58</v>
      </c>
      <c r="U86" s="145">
        <f>53.5637 * (1+H3)</f>
        <v>53.563699999999997</v>
      </c>
      <c r="V86" s="145">
        <f>20.48 * (1+H3)</f>
        <v>20.48</v>
      </c>
      <c r="W86" s="145">
        <f>22.38 * (1+H3)</f>
        <v>22.38</v>
      </c>
      <c r="X86" s="145">
        <f>33.631 * (1+H3)</f>
        <v>33.631</v>
      </c>
      <c r="Y86" s="145">
        <f>20.38 * (1+H3)</f>
        <v>20.38</v>
      </c>
      <c r="Z86" s="145">
        <f>24.16 * (1+H3)</f>
        <v>24.16</v>
      </c>
      <c r="AA86" s="145">
        <f>23.84 * (1+H3)</f>
        <v>23.84</v>
      </c>
      <c r="AB86" s="145">
        <f>36.2848 * (1+H3)</f>
        <v>36.284799999999997</v>
      </c>
    </row>
    <row r="87" spans="3:28" x14ac:dyDescent="0.25">
      <c r="C87" s="144">
        <f>34</f>
        <v>34</v>
      </c>
      <c r="D87" s="145">
        <f>20.19 * (1+H3)</f>
        <v>20.190000000000001</v>
      </c>
      <c r="E87" s="145">
        <f>25.09 * (1+H3)</f>
        <v>25.09</v>
      </c>
      <c r="F87" s="145">
        <f>14.57 * (1+H3)</f>
        <v>14.57</v>
      </c>
      <c r="G87" s="145">
        <f>27.903 * (1+H3)</f>
        <v>27.902999999999999</v>
      </c>
      <c r="H87" s="145">
        <f>18.82 * (1+H3)</f>
        <v>18.82</v>
      </c>
      <c r="I87" s="145">
        <f>14.5 * (1+H3)</f>
        <v>14.5</v>
      </c>
      <c r="J87" s="145">
        <f>19.0215 * (1+H3)</f>
        <v>19.0215</v>
      </c>
      <c r="K87" s="145">
        <f>32.3132 * (1+H3)</f>
        <v>32.313200000000002</v>
      </c>
      <c r="L87" s="145">
        <f>40.7839 * (1+H3)</f>
        <v>40.783900000000003</v>
      </c>
      <c r="M87" s="145">
        <f>38.7698 * (1+H3)</f>
        <v>38.769799999999996</v>
      </c>
      <c r="N87" s="145">
        <f>18.38 * (1+H3)</f>
        <v>18.38</v>
      </c>
      <c r="O87" s="145">
        <f>20.2 * (1+H3)</f>
        <v>20.2</v>
      </c>
      <c r="P87" s="145">
        <f>24.2 * (1+H3)</f>
        <v>24.2</v>
      </c>
      <c r="Q87" s="145">
        <f>17.57 * (1+H3)</f>
        <v>17.57</v>
      </c>
      <c r="R87" s="145">
        <f>20.03 * (1+H3)</f>
        <v>20.03</v>
      </c>
      <c r="S87" s="145">
        <f>19.73 * (1+H3)</f>
        <v>19.73</v>
      </c>
      <c r="T87" s="145">
        <f>21.58 * (1+H3)</f>
        <v>21.58</v>
      </c>
      <c r="U87" s="145">
        <f>53.5637 * (1+H3)</f>
        <v>53.563699999999997</v>
      </c>
      <c r="V87" s="145">
        <f>20.48 * (1+H3)</f>
        <v>20.48</v>
      </c>
      <c r="W87" s="145">
        <f>22.38 * (1+H3)</f>
        <v>22.38</v>
      </c>
      <c r="X87" s="145">
        <f>33.631 * (1+H3)</f>
        <v>33.631</v>
      </c>
      <c r="Y87" s="145">
        <f>20.38 * (1+H3)</f>
        <v>20.38</v>
      </c>
      <c r="Z87" s="145">
        <f>24.16 * (1+H3)</f>
        <v>24.16</v>
      </c>
      <c r="AA87" s="145">
        <f>23.84 * (1+H3)</f>
        <v>23.84</v>
      </c>
      <c r="AB87" s="145">
        <f>36.2848 * (1+H3)</f>
        <v>36.284799999999997</v>
      </c>
    </row>
    <row r="88" spans="3:28" x14ac:dyDescent="0.25">
      <c r="C88" s="144">
        <f>35</f>
        <v>35</v>
      </c>
      <c r="D88" s="145">
        <f>20.19 * (1+H3)</f>
        <v>20.190000000000001</v>
      </c>
      <c r="E88" s="145">
        <f>25.09 * (1+H3)</f>
        <v>25.09</v>
      </c>
      <c r="F88" s="145">
        <f>14.57 * (1+H3)</f>
        <v>14.57</v>
      </c>
      <c r="G88" s="145">
        <f>27.903 * (1+H3)</f>
        <v>27.902999999999999</v>
      </c>
      <c r="H88" s="145">
        <f>18.82 * (1+H3)</f>
        <v>18.82</v>
      </c>
      <c r="I88" s="145">
        <f>14.5 * (1+H3)</f>
        <v>14.5</v>
      </c>
      <c r="J88" s="145">
        <f>19.0215 * (1+H3)</f>
        <v>19.0215</v>
      </c>
      <c r="K88" s="145">
        <f>32.3132 * (1+H3)</f>
        <v>32.313200000000002</v>
      </c>
      <c r="L88" s="145">
        <f>40.7839 * (1+H3)</f>
        <v>40.783900000000003</v>
      </c>
      <c r="M88" s="145">
        <f>38.7698 * (1+H3)</f>
        <v>38.769799999999996</v>
      </c>
      <c r="N88" s="145">
        <f>18.38 * (1+H3)</f>
        <v>18.38</v>
      </c>
      <c r="O88" s="145">
        <f>20.2 * (1+H3)</f>
        <v>20.2</v>
      </c>
      <c r="P88" s="145">
        <f>24.2 * (1+H3)</f>
        <v>24.2</v>
      </c>
      <c r="Q88" s="145">
        <f>17.57 * (1+H3)</f>
        <v>17.57</v>
      </c>
      <c r="R88" s="145">
        <f>20.03 * (1+H3)</f>
        <v>20.03</v>
      </c>
      <c r="S88" s="145">
        <f>19.73 * (1+H3)</f>
        <v>19.73</v>
      </c>
      <c r="T88" s="145">
        <f>21.58 * (1+H3)</f>
        <v>21.58</v>
      </c>
      <c r="U88" s="145">
        <f>53.5637 * (1+H3)</f>
        <v>53.563699999999997</v>
      </c>
      <c r="V88" s="145">
        <f>20.48 * (1+H3)</f>
        <v>20.48</v>
      </c>
      <c r="W88" s="145">
        <f>22.38 * (1+H3)</f>
        <v>22.38</v>
      </c>
      <c r="X88" s="145">
        <f>33.631 * (1+H3)</f>
        <v>33.631</v>
      </c>
      <c r="Y88" s="145">
        <f>20.38 * (1+H3)</f>
        <v>20.38</v>
      </c>
      <c r="Z88" s="145">
        <f>24.16 * (1+H3)</f>
        <v>24.16</v>
      </c>
      <c r="AA88" s="145">
        <f>23.84 * (1+H3)</f>
        <v>23.84</v>
      </c>
      <c r="AB88" s="145">
        <f>36.2848 * (1+H3)</f>
        <v>36.284799999999997</v>
      </c>
    </row>
    <row r="89" spans="3:28" x14ac:dyDescent="0.25">
      <c r="C89" s="144">
        <f>36</f>
        <v>36</v>
      </c>
      <c r="D89" s="145">
        <f>20.19 * (1+H3)</f>
        <v>20.190000000000001</v>
      </c>
      <c r="E89" s="145">
        <f>25.09 * (1+H3)</f>
        <v>25.09</v>
      </c>
      <c r="F89" s="145">
        <f>14.57 * (1+H3)</f>
        <v>14.57</v>
      </c>
      <c r="G89" s="145">
        <f>27.903 * (1+H3)</f>
        <v>27.902999999999999</v>
      </c>
      <c r="H89" s="145">
        <f>18.82 * (1+H3)</f>
        <v>18.82</v>
      </c>
      <c r="I89" s="145">
        <f>14.5 * (1+H3)</f>
        <v>14.5</v>
      </c>
      <c r="J89" s="145">
        <f>19.0215 * (1+H3)</f>
        <v>19.0215</v>
      </c>
      <c r="K89" s="145">
        <f>32.3132 * (1+H3)</f>
        <v>32.313200000000002</v>
      </c>
      <c r="L89" s="145">
        <f>40.7839 * (1+H3)</f>
        <v>40.783900000000003</v>
      </c>
      <c r="M89" s="145">
        <f>38.7698 * (1+H3)</f>
        <v>38.769799999999996</v>
      </c>
      <c r="N89" s="145">
        <f>18.38 * (1+H3)</f>
        <v>18.38</v>
      </c>
      <c r="O89" s="145">
        <f>20.2 * (1+H3)</f>
        <v>20.2</v>
      </c>
      <c r="P89" s="145">
        <f>24.2 * (1+H3)</f>
        <v>24.2</v>
      </c>
      <c r="Q89" s="145">
        <f>17.57 * (1+H3)</f>
        <v>17.57</v>
      </c>
      <c r="R89" s="145">
        <f>20.03 * (1+H3)</f>
        <v>20.03</v>
      </c>
      <c r="S89" s="145">
        <f>19.73 * (1+H3)</f>
        <v>19.73</v>
      </c>
      <c r="T89" s="145">
        <f>21.58 * (1+H3)</f>
        <v>21.58</v>
      </c>
      <c r="U89" s="145">
        <f>53.5637 * (1+H3)</f>
        <v>53.563699999999997</v>
      </c>
      <c r="V89" s="145">
        <f>20.48 * (1+H3)</f>
        <v>20.48</v>
      </c>
      <c r="W89" s="145">
        <f>22.38 * (1+H3)</f>
        <v>22.38</v>
      </c>
      <c r="X89" s="145">
        <f>33.631 * (1+H3)</f>
        <v>33.631</v>
      </c>
      <c r="Y89" s="145">
        <f>20.38 * (1+H3)</f>
        <v>20.38</v>
      </c>
      <c r="Z89" s="145">
        <f>24.16 * (1+H3)</f>
        <v>24.16</v>
      </c>
      <c r="AA89" s="145">
        <f>23.84 * (1+H3)</f>
        <v>23.84</v>
      </c>
      <c r="AB89" s="145">
        <f>36.2848 * (1+H3)</f>
        <v>36.284799999999997</v>
      </c>
    </row>
    <row r="90" spans="3:28" x14ac:dyDescent="0.25">
      <c r="C90" s="144">
        <f>37</f>
        <v>37</v>
      </c>
      <c r="D90" s="145">
        <f>20.19 * (1+H3)</f>
        <v>20.190000000000001</v>
      </c>
      <c r="E90" s="145">
        <f>25.09 * (1+H3)</f>
        <v>25.09</v>
      </c>
      <c r="F90" s="145">
        <f>14.57 * (1+H3)</f>
        <v>14.57</v>
      </c>
      <c r="G90" s="145">
        <f>27.903 * (1+H3)</f>
        <v>27.902999999999999</v>
      </c>
      <c r="H90" s="145">
        <f>18.82 * (1+H3)</f>
        <v>18.82</v>
      </c>
      <c r="I90" s="145">
        <f>14.5 * (1+H3)</f>
        <v>14.5</v>
      </c>
      <c r="J90" s="145">
        <f>19.0215 * (1+H3)</f>
        <v>19.0215</v>
      </c>
      <c r="K90" s="145">
        <f>32.3132 * (1+H3)</f>
        <v>32.313200000000002</v>
      </c>
      <c r="L90" s="145">
        <f>40.7839 * (1+H3)</f>
        <v>40.783900000000003</v>
      </c>
      <c r="M90" s="145">
        <f>38.7698 * (1+H3)</f>
        <v>38.769799999999996</v>
      </c>
      <c r="N90" s="145">
        <f>18.38 * (1+H3)</f>
        <v>18.38</v>
      </c>
      <c r="O90" s="145">
        <f>20.2 * (1+H3)</f>
        <v>20.2</v>
      </c>
      <c r="P90" s="145">
        <f>24.2 * (1+H3)</f>
        <v>24.2</v>
      </c>
      <c r="Q90" s="145">
        <f>17.57 * (1+H3)</f>
        <v>17.57</v>
      </c>
      <c r="R90" s="145">
        <f>20.03 * (1+H3)</f>
        <v>20.03</v>
      </c>
      <c r="S90" s="145">
        <f>19.73 * (1+H3)</f>
        <v>19.73</v>
      </c>
      <c r="T90" s="145">
        <f>21.58 * (1+H3)</f>
        <v>21.58</v>
      </c>
      <c r="U90" s="145">
        <f>53.5637 * (1+H3)</f>
        <v>53.563699999999997</v>
      </c>
      <c r="V90" s="145">
        <f>20.48 * (1+H3)</f>
        <v>20.48</v>
      </c>
      <c r="W90" s="145">
        <f>22.38 * (1+H3)</f>
        <v>22.38</v>
      </c>
      <c r="X90" s="145">
        <f>33.631 * (1+H3)</f>
        <v>33.631</v>
      </c>
      <c r="Y90" s="145">
        <f>20.38 * (1+H3)</f>
        <v>20.38</v>
      </c>
      <c r="Z90" s="145">
        <f>24.16 * (1+H3)</f>
        <v>24.16</v>
      </c>
      <c r="AA90" s="145">
        <f>23.84 * (1+H3)</f>
        <v>23.84</v>
      </c>
      <c r="AB90" s="145">
        <f>36.2848 * (1+H3)</f>
        <v>36.284799999999997</v>
      </c>
    </row>
    <row r="91" spans="3:28" x14ac:dyDescent="0.25">
      <c r="C91" s="144">
        <f>38</f>
        <v>38</v>
      </c>
      <c r="D91" s="145">
        <f>20.19 * (1+H3)</f>
        <v>20.190000000000001</v>
      </c>
      <c r="E91" s="145">
        <f>25.09 * (1+H3)</f>
        <v>25.09</v>
      </c>
      <c r="F91" s="145">
        <f>14.57 * (1+H3)</f>
        <v>14.57</v>
      </c>
      <c r="G91" s="145">
        <f>27.903 * (1+H3)</f>
        <v>27.902999999999999</v>
      </c>
      <c r="H91" s="145">
        <f>18.82 * (1+H3)</f>
        <v>18.82</v>
      </c>
      <c r="I91" s="145">
        <f>14.5 * (1+H3)</f>
        <v>14.5</v>
      </c>
      <c r="J91" s="145">
        <f>19.0215 * (1+H3)</f>
        <v>19.0215</v>
      </c>
      <c r="K91" s="145">
        <f>32.3132 * (1+H3)</f>
        <v>32.313200000000002</v>
      </c>
      <c r="L91" s="145">
        <f>40.7839 * (1+H3)</f>
        <v>40.783900000000003</v>
      </c>
      <c r="M91" s="145">
        <f>38.7698 * (1+H3)</f>
        <v>38.769799999999996</v>
      </c>
      <c r="N91" s="145">
        <f>18.38 * (1+H3)</f>
        <v>18.38</v>
      </c>
      <c r="O91" s="145">
        <f>20.2 * (1+H3)</f>
        <v>20.2</v>
      </c>
      <c r="P91" s="145">
        <f>24.2 * (1+H3)</f>
        <v>24.2</v>
      </c>
      <c r="Q91" s="145">
        <f>17.57 * (1+H3)</f>
        <v>17.57</v>
      </c>
      <c r="R91" s="145">
        <f>20.03 * (1+H3)</f>
        <v>20.03</v>
      </c>
      <c r="S91" s="145">
        <f>19.73 * (1+H3)</f>
        <v>19.73</v>
      </c>
      <c r="T91" s="145">
        <f>21.58 * (1+H3)</f>
        <v>21.58</v>
      </c>
      <c r="U91" s="145">
        <f>53.5637 * (1+H3)</f>
        <v>53.563699999999997</v>
      </c>
      <c r="V91" s="145">
        <f>20.48 * (1+H3)</f>
        <v>20.48</v>
      </c>
      <c r="W91" s="145">
        <f>22.38 * (1+H3)</f>
        <v>22.38</v>
      </c>
      <c r="X91" s="145">
        <f>33.631 * (1+H3)</f>
        <v>33.631</v>
      </c>
      <c r="Y91" s="145">
        <f>20.38 * (1+H3)</f>
        <v>20.38</v>
      </c>
      <c r="Z91" s="145">
        <f>24.16 * (1+H3)</f>
        <v>24.16</v>
      </c>
      <c r="AA91" s="145">
        <f>23.84 * (1+H3)</f>
        <v>23.84</v>
      </c>
      <c r="AB91" s="145">
        <f>36.2848 * (1+H3)</f>
        <v>36.284799999999997</v>
      </c>
    </row>
    <row r="92" spans="3:28" x14ac:dyDescent="0.25">
      <c r="C92" s="144">
        <f>39</f>
        <v>39</v>
      </c>
      <c r="D92" s="145">
        <f>20.19 * (1+H3)</f>
        <v>20.190000000000001</v>
      </c>
      <c r="E92" s="145">
        <f>25.09 * (1+H3)</f>
        <v>25.09</v>
      </c>
      <c r="F92" s="145">
        <f>14.57 * (1+H3)</f>
        <v>14.57</v>
      </c>
      <c r="G92" s="145">
        <f>27.903 * (1+H3)</f>
        <v>27.902999999999999</v>
      </c>
      <c r="H92" s="145">
        <f>18.82 * (1+H3)</f>
        <v>18.82</v>
      </c>
      <c r="I92" s="145">
        <f>14.5 * (1+H3)</f>
        <v>14.5</v>
      </c>
      <c r="J92" s="145">
        <f>19.0215 * (1+H3)</f>
        <v>19.0215</v>
      </c>
      <c r="K92" s="145">
        <f>32.3132 * (1+H3)</f>
        <v>32.313200000000002</v>
      </c>
      <c r="L92" s="145">
        <f>40.7839 * (1+H3)</f>
        <v>40.783900000000003</v>
      </c>
      <c r="M92" s="145">
        <f>38.7698 * (1+H3)</f>
        <v>38.769799999999996</v>
      </c>
      <c r="N92" s="145">
        <f>18.38 * (1+H3)</f>
        <v>18.38</v>
      </c>
      <c r="O92" s="145">
        <f>20.2 * (1+H3)</f>
        <v>20.2</v>
      </c>
      <c r="P92" s="145">
        <f>24.2 * (1+H3)</f>
        <v>24.2</v>
      </c>
      <c r="Q92" s="145">
        <f>17.57 * (1+H3)</f>
        <v>17.57</v>
      </c>
      <c r="R92" s="145">
        <f>20.03 * (1+H3)</f>
        <v>20.03</v>
      </c>
      <c r="S92" s="145">
        <f>19.73 * (1+H3)</f>
        <v>19.73</v>
      </c>
      <c r="T92" s="145">
        <f>21.58 * (1+H3)</f>
        <v>21.58</v>
      </c>
      <c r="U92" s="145">
        <f>53.5637 * (1+H3)</f>
        <v>53.563699999999997</v>
      </c>
      <c r="V92" s="145">
        <f>20.48 * (1+H3)</f>
        <v>20.48</v>
      </c>
      <c r="W92" s="145">
        <f>22.38 * (1+H3)</f>
        <v>22.38</v>
      </c>
      <c r="X92" s="145">
        <f>33.631 * (1+H3)</f>
        <v>33.631</v>
      </c>
      <c r="Y92" s="145">
        <f>20.38 * (1+H3)</f>
        <v>20.38</v>
      </c>
      <c r="Z92" s="145">
        <f>24.16 * (1+H3)</f>
        <v>24.16</v>
      </c>
      <c r="AA92" s="145">
        <f>23.84 * (1+H3)</f>
        <v>23.84</v>
      </c>
      <c r="AB92" s="145">
        <f>36.2848 * (1+H3)</f>
        <v>36.284799999999997</v>
      </c>
    </row>
    <row r="93" spans="3:28" x14ac:dyDescent="0.25">
      <c r="C93" s="144">
        <f>40</f>
        <v>40</v>
      </c>
      <c r="D93" s="145">
        <f>20.19 * (1+H3)</f>
        <v>20.190000000000001</v>
      </c>
      <c r="E93" s="145">
        <f>25.09 * (1+H3)</f>
        <v>25.09</v>
      </c>
      <c r="F93" s="145">
        <f>14.57 * (1+H3)</f>
        <v>14.57</v>
      </c>
      <c r="G93" s="145">
        <f>27.903 * (1+H3)</f>
        <v>27.902999999999999</v>
      </c>
      <c r="H93" s="145">
        <f>18.82 * (1+H3)</f>
        <v>18.82</v>
      </c>
      <c r="I93" s="145">
        <f>14.5 * (1+H3)</f>
        <v>14.5</v>
      </c>
      <c r="J93" s="145">
        <f>19.0215 * (1+H3)</f>
        <v>19.0215</v>
      </c>
      <c r="K93" s="145">
        <f>32.3132 * (1+H3)</f>
        <v>32.313200000000002</v>
      </c>
      <c r="L93" s="145">
        <f>40.7839 * (1+H3)</f>
        <v>40.783900000000003</v>
      </c>
      <c r="M93" s="145">
        <f>38.7698 * (1+H3)</f>
        <v>38.769799999999996</v>
      </c>
      <c r="N93" s="145">
        <f>18.38 * (1+H3)</f>
        <v>18.38</v>
      </c>
      <c r="O93" s="145">
        <f>20.2 * (1+H3)</f>
        <v>20.2</v>
      </c>
      <c r="P93" s="145">
        <f>24.2 * (1+H3)</f>
        <v>24.2</v>
      </c>
      <c r="Q93" s="145">
        <f>17.57 * (1+H3)</f>
        <v>17.57</v>
      </c>
      <c r="R93" s="145">
        <f>20.03 * (1+H3)</f>
        <v>20.03</v>
      </c>
      <c r="S93" s="145">
        <f>19.73 * (1+H3)</f>
        <v>19.73</v>
      </c>
      <c r="T93" s="145">
        <f>21.58 * (1+H3)</f>
        <v>21.58</v>
      </c>
      <c r="U93" s="145">
        <f>53.5637 * (1+H3)</f>
        <v>53.563699999999997</v>
      </c>
      <c r="V93" s="145">
        <f>20.48 * (1+H3)</f>
        <v>20.48</v>
      </c>
      <c r="W93" s="145">
        <f>22.38 * (1+H3)</f>
        <v>22.38</v>
      </c>
      <c r="X93" s="145">
        <f>33.631 * (1+H3)</f>
        <v>33.631</v>
      </c>
      <c r="Y93" s="145">
        <f>20.38 * (1+H3)</f>
        <v>20.38</v>
      </c>
      <c r="Z93" s="145">
        <f>24.16 * (1+H3)</f>
        <v>24.16</v>
      </c>
      <c r="AA93" s="145">
        <f>23.84 * (1+H3)</f>
        <v>23.84</v>
      </c>
      <c r="AB93" s="145">
        <f>36.2848 * (1+H3)</f>
        <v>36.284799999999997</v>
      </c>
    </row>
    <row r="94" spans="3:28" x14ac:dyDescent="0.25">
      <c r="C94" s="144">
        <f>41</f>
        <v>41</v>
      </c>
      <c r="E94" s="145">
        <f>0 * (1+H3)</f>
        <v>0</v>
      </c>
      <c r="I94" s="145">
        <f>14.5 * (1+H3)</f>
        <v>14.5</v>
      </c>
    </row>
    <row r="97" spans="3:28" x14ac:dyDescent="0.25">
      <c r="E97" t="s">
        <v>177</v>
      </c>
    </row>
    <row r="99" spans="3:28" x14ac:dyDescent="0.25">
      <c r="C99" s="146"/>
      <c r="D99" s="143" t="s">
        <v>152</v>
      </c>
      <c r="E99" s="143" t="s">
        <v>153</v>
      </c>
      <c r="F99" s="143" t="s">
        <v>154</v>
      </c>
      <c r="G99" s="143" t="s">
        <v>155</v>
      </c>
      <c r="H99" s="143" t="s">
        <v>156</v>
      </c>
      <c r="I99" s="143" t="s">
        <v>157</v>
      </c>
      <c r="J99" s="143" t="s">
        <v>158</v>
      </c>
      <c r="K99" s="143" t="s">
        <v>159</v>
      </c>
      <c r="L99" s="143" t="s">
        <v>160</v>
      </c>
      <c r="M99" s="143" t="s">
        <v>161</v>
      </c>
      <c r="N99" s="143" t="s">
        <v>162</v>
      </c>
      <c r="O99" s="143" t="s">
        <v>163</v>
      </c>
      <c r="P99" s="143" t="s">
        <v>164</v>
      </c>
      <c r="Q99" s="143" t="s">
        <v>165</v>
      </c>
      <c r="R99" s="143" t="s">
        <v>166</v>
      </c>
      <c r="S99" s="143" t="s">
        <v>167</v>
      </c>
      <c r="T99" s="143" t="s">
        <v>168</v>
      </c>
      <c r="U99" s="143" t="s">
        <v>169</v>
      </c>
      <c r="V99" s="143" t="s">
        <v>170</v>
      </c>
      <c r="W99" s="143" t="s">
        <v>171</v>
      </c>
      <c r="X99" s="143" t="s">
        <v>172</v>
      </c>
      <c r="Y99" s="143" t="s">
        <v>173</v>
      </c>
      <c r="Z99" s="143" t="s">
        <v>174</v>
      </c>
      <c r="AA99" s="143" t="s">
        <v>175</v>
      </c>
      <c r="AB99" s="143" t="s">
        <v>176</v>
      </c>
    </row>
    <row r="100" spans="3:28" x14ac:dyDescent="0.25">
      <c r="C100" s="144">
        <f>0</f>
        <v>0</v>
      </c>
      <c r="D100" s="145">
        <f>16539.12 * (1+H3)</f>
        <v>16539.12</v>
      </c>
      <c r="E100" s="145">
        <f>24508.8 * (1+H3)</f>
        <v>24508.799999999999</v>
      </c>
      <c r="F100" s="145">
        <f>7552.8 * (1+H3)</f>
        <v>7552.8</v>
      </c>
      <c r="G100" s="145">
        <f>42362 * (1+H3)</f>
        <v>42362</v>
      </c>
      <c r="H100" s="145">
        <f>26210.8 * (1+H3)</f>
        <v>26210.799999999999</v>
      </c>
      <c r="I100" s="145">
        <f>19344 * (1+H3)</f>
        <v>19344</v>
      </c>
      <c r="J100" s="145">
        <f>26054 * (1+H3)</f>
        <v>26054</v>
      </c>
      <c r="K100" s="145">
        <f>57411 * (1+H3)</f>
        <v>57411</v>
      </c>
      <c r="L100" s="145">
        <f>62000 * (1+H3)</f>
        <v>62000</v>
      </c>
      <c r="M100" s="145">
        <f>44426 * (1+H3)</f>
        <v>44426</v>
      </c>
      <c r="N100" s="145">
        <f>17345.23 * (1+H3)</f>
        <v>17345.23</v>
      </c>
      <c r="O100" s="145">
        <f>18954.32 * (1+H3)</f>
        <v>18954.32</v>
      </c>
      <c r="P100" s="145">
        <f>24022.32 * (1+H3)</f>
        <v>24022.32</v>
      </c>
      <c r="Q100" s="145">
        <f>16711.73 * (1+H3)</f>
        <v>16711.73</v>
      </c>
      <c r="R100" s="145">
        <f>19569.06 * (1+H3)</f>
        <v>19569.060000000001</v>
      </c>
      <c r="S100" s="145">
        <f>28075.6 * (1+H3)</f>
        <v>28075.599999999999</v>
      </c>
      <c r="T100" s="145">
        <f>32779.04 * (1+H3)</f>
        <v>32779.040000000001</v>
      </c>
      <c r="U100" s="145">
        <f>54740 * (1+H3)</f>
        <v>54740</v>
      </c>
      <c r="V100" s="145">
        <f>20952.26 * (1+H3)</f>
        <v>20952.259999999998</v>
      </c>
      <c r="W100" s="145">
        <f>31245.76 * (1+H3)</f>
        <v>31245.759999999998</v>
      </c>
      <c r="X100" s="145">
        <f>441148 * (1+H3)</f>
        <v>441148</v>
      </c>
      <c r="Y100" s="145">
        <f>28807.28 * (1+H3)</f>
        <v>28807.279999999999</v>
      </c>
      <c r="Z100" s="145">
        <f>34374.48 * (1+H3)</f>
        <v>34374.480000000003</v>
      </c>
      <c r="AA100" s="145">
        <f>40279.68 * (1+H3)</f>
        <v>40279.68</v>
      </c>
      <c r="AB100" s="145">
        <f>65782 * (1+H3)</f>
        <v>65782</v>
      </c>
    </row>
    <row r="101" spans="3:28" x14ac:dyDescent="0.25">
      <c r="C101" s="144">
        <f>1</f>
        <v>1</v>
      </c>
      <c r="D101" s="145">
        <f>16768.83 * (1+H3)</f>
        <v>16768.830000000002</v>
      </c>
      <c r="E101" s="145">
        <f>24854.4 * (1+H3)</f>
        <v>24854.400000000001</v>
      </c>
      <c r="F101" s="145">
        <f>7696.8 * (1+H3)</f>
        <v>7696.8</v>
      </c>
      <c r="G101" s="145">
        <f>42885 * (1+H3)</f>
        <v>42885</v>
      </c>
      <c r="H101" s="145">
        <f>26583.76 * (1+H3)</f>
        <v>26583.759999999998</v>
      </c>
      <c r="I101" s="145">
        <f>19418.4 * (1+H3)</f>
        <v>19418.400000000001</v>
      </c>
      <c r="J101" s="145">
        <f>26129 * (1+H3)</f>
        <v>26129</v>
      </c>
      <c r="K101" s="145">
        <f>57528 * (1+H3)</f>
        <v>57528</v>
      </c>
      <c r="L101" s="145">
        <f>62500 * (1+H3)</f>
        <v>62500</v>
      </c>
      <c r="M101" s="145">
        <f>44694 * (1+H3)</f>
        <v>44694</v>
      </c>
      <c r="N101" s="145">
        <f>17674.65 * (1+H3)</f>
        <v>17674.650000000001</v>
      </c>
      <c r="O101" s="145">
        <f>19587.82 * (1+H3)</f>
        <v>19587.82</v>
      </c>
      <c r="P101" s="145">
        <f>24655.82 * (1+H3)</f>
        <v>24655.82</v>
      </c>
      <c r="Q101" s="145">
        <f>17028.48 * (1+H3)</f>
        <v>17028.48</v>
      </c>
      <c r="R101" s="145">
        <f>19829.46 * (1+H3)</f>
        <v>19829.46</v>
      </c>
      <c r="S101" s="145">
        <f>28490 * (1+H3)</f>
        <v>28490</v>
      </c>
      <c r="T101" s="145">
        <f>31535.84 * (1+H3)</f>
        <v>31535.84</v>
      </c>
      <c r="U101" s="145">
        <f>55240 * (1+H3)</f>
        <v>55240</v>
      </c>
      <c r="V101" s="145">
        <f>21327.18 * (1+H3)</f>
        <v>21327.18</v>
      </c>
      <c r="W101" s="145">
        <f>31763.76 * (1+H3)</f>
        <v>31763.759999999998</v>
      </c>
      <c r="X101" s="145">
        <f>41851 * (1+H3)</f>
        <v>41851</v>
      </c>
      <c r="Y101" s="145">
        <f>29292.9 * (1+H3)</f>
        <v>29292.9</v>
      </c>
      <c r="Z101" s="145">
        <f>34892.48 * (1+H3)</f>
        <v>34892.480000000003</v>
      </c>
      <c r="AA101" s="145">
        <f>40797.68 * (1+H3)</f>
        <v>40797.68</v>
      </c>
      <c r="AB101" s="145">
        <f>66305 * (1+H3)</f>
        <v>66305</v>
      </c>
    </row>
    <row r="102" spans="3:28" x14ac:dyDescent="0.25">
      <c r="C102" s="144">
        <f>2</f>
        <v>2</v>
      </c>
      <c r="D102" s="145">
        <f>17010.63 * (1+H3)</f>
        <v>17010.63</v>
      </c>
      <c r="E102" s="145">
        <f>25214.4 * (1+H3)</f>
        <v>25214.400000000001</v>
      </c>
      <c r="F102" s="145">
        <f>7840.8 * (1+H3)</f>
        <v>7840.8</v>
      </c>
      <c r="G102" s="145">
        <f>43408 * (1+H3)</f>
        <v>43408</v>
      </c>
      <c r="H102" s="145">
        <f>26956.72 * (1+H3)</f>
        <v>26956.720000000001</v>
      </c>
      <c r="I102" s="145">
        <f>19492.8 * (1+H3)</f>
        <v>19492.8</v>
      </c>
      <c r="J102" s="145">
        <f>26204 * (1+H3)</f>
        <v>26204</v>
      </c>
      <c r="K102" s="145">
        <f>58457 * (1+H3)</f>
        <v>58457</v>
      </c>
      <c r="L102" s="145">
        <f>63000 * (1+H3)</f>
        <v>63000</v>
      </c>
      <c r="M102" s="145">
        <f>44961 * (1+H3)</f>
        <v>44961</v>
      </c>
      <c r="N102" s="145">
        <f>17991.4 * (1+H3)</f>
        <v>17991.400000000001</v>
      </c>
      <c r="O102" s="145">
        <f>20233.99 * (1+H3)</f>
        <v>20233.990000000002</v>
      </c>
      <c r="P102" s="145">
        <f>25301.99 * (1+H3)</f>
        <v>25301.99</v>
      </c>
      <c r="Q102" s="145">
        <f>17345.23 * (1+H3)</f>
        <v>17345.23</v>
      </c>
      <c r="R102" s="145">
        <f>20089.86 * (1+H3)</f>
        <v>20089.86</v>
      </c>
      <c r="S102" s="145">
        <f>28904.4 * (1+H3)</f>
        <v>28904.400000000001</v>
      </c>
      <c r="T102" s="145">
        <f>32385.36 * (1+H3)</f>
        <v>32385.360000000001</v>
      </c>
      <c r="U102" s="145">
        <f>55740 * (1+H3)</f>
        <v>55740</v>
      </c>
      <c r="V102" s="145">
        <f>21687.68 * (1+H3)</f>
        <v>21687.68</v>
      </c>
      <c r="W102" s="145">
        <f>32281.76 * (1+H3)</f>
        <v>32281.759999999998</v>
      </c>
      <c r="X102" s="145">
        <f>42119 * (1+H3)</f>
        <v>42119</v>
      </c>
      <c r="Y102" s="145">
        <f>29778.53 * (1+H3)</f>
        <v>29778.53</v>
      </c>
      <c r="Z102" s="145">
        <f>35431.2 * (1+H3)</f>
        <v>35431.199999999997</v>
      </c>
      <c r="AA102" s="145">
        <f>41315.68 * (1+H3)</f>
        <v>41315.68</v>
      </c>
      <c r="AB102" s="145">
        <f>66828 * (1+H3)</f>
        <v>66828</v>
      </c>
    </row>
    <row r="103" spans="3:28" x14ac:dyDescent="0.25">
      <c r="C103" s="144">
        <f>3</f>
        <v>3</v>
      </c>
      <c r="D103" s="145">
        <f>17252.43 * (1+H3)</f>
        <v>17252.43</v>
      </c>
      <c r="E103" s="145">
        <f>25574.4 * (1+H3)</f>
        <v>25574.400000000001</v>
      </c>
      <c r="F103" s="145">
        <f>7992 * (1+H3)</f>
        <v>7992</v>
      </c>
      <c r="G103" s="145">
        <f>43931 * (1+H3)</f>
        <v>43931</v>
      </c>
      <c r="H103" s="145">
        <f>27350.4 * (1+H3)</f>
        <v>27350.400000000001</v>
      </c>
      <c r="I103" s="145">
        <f>19567.2 * (1+H3)</f>
        <v>19567.2</v>
      </c>
      <c r="J103" s="145">
        <f>26279 * (1+H3)</f>
        <v>26279</v>
      </c>
      <c r="K103" s="145">
        <f>59294 * (1+H3)</f>
        <v>59294</v>
      </c>
      <c r="L103" s="145">
        <f>63500 * (1+H3)</f>
        <v>63500</v>
      </c>
      <c r="M103" s="145">
        <f>45228 * (1+H3)</f>
        <v>45228</v>
      </c>
      <c r="N103" s="145">
        <f>18308.15 * (1+H3)</f>
        <v>18308.150000000001</v>
      </c>
      <c r="O103" s="145">
        <f>20867.49 * (1+H3)</f>
        <v>20867.490000000002</v>
      </c>
      <c r="P103" s="145">
        <f>25935.49 * (1+H3)</f>
        <v>25935.49</v>
      </c>
      <c r="Q103" s="145">
        <f>17674.65 * (1+H3)</f>
        <v>17674.650000000001</v>
      </c>
      <c r="R103" s="145">
        <f>20350.26 * (1+H3)</f>
        <v>20350.259999999998</v>
      </c>
      <c r="S103" s="145">
        <f>29339.52 * (1+H3)</f>
        <v>29339.52</v>
      </c>
      <c r="T103" s="145">
        <f>33214.16 * (1+H3)</f>
        <v>33214.160000000003</v>
      </c>
      <c r="U103" s="145">
        <f>56240 * (1+H3)</f>
        <v>56240</v>
      </c>
      <c r="V103" s="145">
        <f>22048.18 * (1+H3)</f>
        <v>22048.18</v>
      </c>
      <c r="W103" s="145">
        <f>32799.76 * (1+H3)</f>
        <v>32799.760000000002</v>
      </c>
      <c r="X103" s="145">
        <f>42388 * (1+H3)</f>
        <v>42388</v>
      </c>
      <c r="Y103" s="145">
        <f>30264.15 * (1+H3)</f>
        <v>30264.15</v>
      </c>
      <c r="Z103" s="145">
        <f>35949.2 * (1+H3)</f>
        <v>35949.199999999997</v>
      </c>
      <c r="AA103" s="145">
        <f>41833.68 * (1+H3)</f>
        <v>41833.68</v>
      </c>
      <c r="AB103" s="145">
        <f>67351 * (1+H3)</f>
        <v>67351</v>
      </c>
    </row>
    <row r="104" spans="3:28" x14ac:dyDescent="0.25">
      <c r="C104" s="144">
        <f>4</f>
        <v>4</v>
      </c>
      <c r="D104" s="145">
        <f>17494.23 * (1+H3)</f>
        <v>17494.23</v>
      </c>
      <c r="E104" s="145">
        <f>25948.8 * (1+H3)</f>
        <v>25948.799999999999</v>
      </c>
      <c r="F104" s="145">
        <f>8136 * (1+H3)</f>
        <v>8136</v>
      </c>
      <c r="G104" s="145">
        <f>44454 * (1+H3)</f>
        <v>44454</v>
      </c>
      <c r="H104" s="145">
        <f>27744.08 * (1+H3)</f>
        <v>27744.080000000002</v>
      </c>
      <c r="I104" s="145">
        <f>19641.6 * (1+H3)</f>
        <v>19641.599999999999</v>
      </c>
      <c r="J104" s="145">
        <f>26354 * (1+H3)</f>
        <v>26354</v>
      </c>
      <c r="K104" s="145">
        <f>60132 * (1+H3)</f>
        <v>60132</v>
      </c>
      <c r="L104" s="145">
        <f>64000 * (1+H3)</f>
        <v>64000</v>
      </c>
      <c r="M104" s="145">
        <f>47956 * (1+H3)</f>
        <v>47956</v>
      </c>
      <c r="N104" s="145">
        <f>18624.9 * (1+H3)</f>
        <v>18624.900000000001</v>
      </c>
      <c r="O104" s="145">
        <f>21513.66 * (1+H3)</f>
        <v>21513.66</v>
      </c>
      <c r="P104" s="145">
        <f>26581.66 * (1+H3)</f>
        <v>26581.66</v>
      </c>
      <c r="Q104" s="145">
        <f>17991.4 * (1+H3)</f>
        <v>17991.400000000001</v>
      </c>
      <c r="R104" s="145">
        <f>20610.66 * (1+H3)</f>
        <v>20610.66</v>
      </c>
      <c r="S104" s="145">
        <f>29753.92 * (1+H3)</f>
        <v>29753.919999999998</v>
      </c>
      <c r="T104" s="145">
        <f>34063.68 * (1+H3)</f>
        <v>34063.68</v>
      </c>
      <c r="U104" s="145">
        <f>56740 * (1+H3)</f>
        <v>56740</v>
      </c>
      <c r="V104" s="145">
        <f>22408.68 * (1+H3)</f>
        <v>22408.68</v>
      </c>
      <c r="W104" s="145">
        <f>33338.48 * (1+H3)</f>
        <v>33338.480000000003</v>
      </c>
      <c r="X104" s="145">
        <f>43775 * (1+H3)</f>
        <v>43775</v>
      </c>
      <c r="Y104" s="145">
        <f>30769.2 * (1+H3)</f>
        <v>30769.200000000001</v>
      </c>
      <c r="Z104" s="145">
        <f>36467.2 * (1+H3)</f>
        <v>36467.199999999997</v>
      </c>
      <c r="AA104" s="145">
        <f>42351.68 * (1+H3)</f>
        <v>42351.68</v>
      </c>
      <c r="AB104" s="145">
        <f>67874 * (1+H3)</f>
        <v>67874</v>
      </c>
    </row>
    <row r="105" spans="3:28" x14ac:dyDescent="0.25">
      <c r="C105" s="144">
        <f>5</f>
        <v>5</v>
      </c>
      <c r="D105" s="145">
        <f>17736.03 * (1+H3)</f>
        <v>17736.03</v>
      </c>
      <c r="E105" s="145">
        <f>26323.2 * (1+H3)</f>
        <v>26323.200000000001</v>
      </c>
      <c r="F105" s="145">
        <f>8316 * (1+H3)</f>
        <v>8316</v>
      </c>
      <c r="G105" s="145">
        <f>44978 * (1+H3)</f>
        <v>44978</v>
      </c>
      <c r="H105" s="145">
        <f>28158.48 * (1+H3)</f>
        <v>28158.48</v>
      </c>
      <c r="I105" s="145">
        <f>19716 * (1+H3)</f>
        <v>19716</v>
      </c>
      <c r="J105" s="145">
        <f>26429 * (1+H3)</f>
        <v>26429</v>
      </c>
      <c r="K105" s="145">
        <f>60968 * (1+H3)</f>
        <v>60968</v>
      </c>
      <c r="L105" s="145">
        <f>64500 * (1+H3)</f>
        <v>64500</v>
      </c>
      <c r="M105" s="145">
        <f>48224 * (1+H3)</f>
        <v>48224</v>
      </c>
      <c r="N105" s="145">
        <f>18954.32 * (1+H3)</f>
        <v>18954.32</v>
      </c>
      <c r="O105" s="145">
        <f>22147.16 * (1+H3)</f>
        <v>22147.16</v>
      </c>
      <c r="P105" s="145">
        <f>27215.16 * (1+H3)</f>
        <v>27215.16</v>
      </c>
      <c r="Q105" s="145">
        <f>18308.15 * (1+H3)</f>
        <v>18308.150000000001</v>
      </c>
      <c r="R105" s="145">
        <f>20871.06 * (1+H3)</f>
        <v>20871.060000000001</v>
      </c>
      <c r="S105" s="145">
        <f>30168.32 * (1+H3)</f>
        <v>30168.32</v>
      </c>
      <c r="T105" s="145">
        <f>34892.48 * (1+H3)</f>
        <v>34892.480000000003</v>
      </c>
      <c r="U105" s="145">
        <f>57240 * (1+H3)</f>
        <v>57240</v>
      </c>
      <c r="V105" s="145">
        <f>22783.6 * (1+H3)</f>
        <v>22783.599999999999</v>
      </c>
      <c r="W105" s="145">
        <f>33856.48 * (1+H3)</f>
        <v>33856.480000000003</v>
      </c>
      <c r="X105" s="145">
        <f>44042 * (1+H3)</f>
        <v>44042</v>
      </c>
      <c r="Y105" s="145">
        <f>31254.83 * (1+H3)</f>
        <v>31254.83</v>
      </c>
      <c r="Z105" s="145">
        <f>36985.2 * (1+H3)</f>
        <v>36985.199999999997</v>
      </c>
      <c r="AA105" s="145">
        <f>42869.68 * (1+H3)</f>
        <v>42869.68</v>
      </c>
      <c r="AB105" s="145">
        <f>68398 * (1+H3)</f>
        <v>68398</v>
      </c>
    </row>
    <row r="106" spans="3:28" x14ac:dyDescent="0.25">
      <c r="C106" s="144">
        <f>6</f>
        <v>6</v>
      </c>
      <c r="D106" s="145">
        <f>17989.92 * (1+H3)</f>
        <v>17989.919999999998</v>
      </c>
      <c r="E106" s="145">
        <f>26697.6 * (1+H3)</f>
        <v>26697.599999999999</v>
      </c>
      <c r="F106" s="145">
        <f>8496 * (1+H3)</f>
        <v>8496</v>
      </c>
      <c r="G106" s="145">
        <f>45501 * (1+H3)</f>
        <v>45501</v>
      </c>
      <c r="H106" s="145">
        <f>28552.16 * (1+H3)</f>
        <v>28552.16</v>
      </c>
      <c r="I106" s="145">
        <f>19790.4 * (1+H3)</f>
        <v>19790.400000000001</v>
      </c>
      <c r="J106" s="145">
        <f>26504 * (1+H3)</f>
        <v>26504</v>
      </c>
      <c r="K106" s="145">
        <f>61701 * (1+H3)</f>
        <v>61701</v>
      </c>
      <c r="L106" s="145">
        <f>65000 * (1+H3)</f>
        <v>65000</v>
      </c>
      <c r="M106" s="145">
        <f>48490 * (1+H3)</f>
        <v>48490</v>
      </c>
      <c r="N106" s="145">
        <f>19271.07 * (1+H3)</f>
        <v>19271.07</v>
      </c>
      <c r="O106" s="145">
        <f>22463.91 * (1+H3)</f>
        <v>22463.91</v>
      </c>
      <c r="P106" s="145">
        <f>27531.91 * (1+H3)</f>
        <v>27531.91</v>
      </c>
      <c r="Q106" s="145">
        <f>18624.9 * (1+H3)</f>
        <v>18624.900000000001</v>
      </c>
      <c r="R106" s="145">
        <f>21001.26 * (1+H3)</f>
        <v>21001.26</v>
      </c>
      <c r="S106" s="145">
        <f>30479.12 * (1+H3)</f>
        <v>30479.119999999999</v>
      </c>
      <c r="T106" s="145">
        <f>35721.28 * (1+H3)</f>
        <v>35721.279999999999</v>
      </c>
      <c r="U106" s="145">
        <f>57740 * (1+H3)</f>
        <v>57740</v>
      </c>
      <c r="V106" s="145">
        <f>23144.1 * (1+H3)</f>
        <v>23144.1</v>
      </c>
      <c r="W106" s="145">
        <f>34374.48 * (1+H3)</f>
        <v>34374.480000000003</v>
      </c>
      <c r="X106" s="145">
        <f>44312 * (1+H3)</f>
        <v>44312</v>
      </c>
      <c r="Y106" s="145">
        <f>31740.45 * (1+H3)</f>
        <v>31740.45</v>
      </c>
      <c r="Z106" s="145">
        <f>37523.92 * (1+H3)</f>
        <v>37523.919999999998</v>
      </c>
      <c r="AA106" s="145">
        <f>43387.68 * (1+H3)</f>
        <v>43387.68</v>
      </c>
      <c r="AB106" s="145">
        <f>68921 * (1+H3)</f>
        <v>68921</v>
      </c>
    </row>
    <row r="107" spans="3:28" x14ac:dyDescent="0.25">
      <c r="C107" s="144">
        <f>7</f>
        <v>7</v>
      </c>
      <c r="D107" s="145">
        <f>18243.81 * (1+H3)</f>
        <v>18243.810000000001</v>
      </c>
      <c r="E107" s="145">
        <f>27086.4 * (1+H3)</f>
        <v>27086.400000000001</v>
      </c>
      <c r="F107" s="145">
        <f>8683.2 * (1+H3)</f>
        <v>8683.2000000000007</v>
      </c>
      <c r="G107" s="145">
        <f>46547 * (1+H3)</f>
        <v>46547</v>
      </c>
      <c r="H107" s="145">
        <f>28966.56 * (1+H3)</f>
        <v>28966.560000000001</v>
      </c>
      <c r="I107" s="145">
        <f>19864.8 * (1+H3)</f>
        <v>19864.8</v>
      </c>
      <c r="J107" s="145">
        <f>26579 * (1+H3)</f>
        <v>26579</v>
      </c>
      <c r="K107" s="145">
        <f>62224 * (1+H3)</f>
        <v>62224</v>
      </c>
      <c r="L107" s="145">
        <f>65500 * (1+H3)</f>
        <v>65500</v>
      </c>
      <c r="M107" s="145">
        <f>48759 * (1+H3)</f>
        <v>48759</v>
      </c>
      <c r="N107" s="145">
        <f>19587.82 * (1+H3)</f>
        <v>19587.82</v>
      </c>
      <c r="O107" s="145">
        <f>22793.33 * (1+H3)</f>
        <v>22793.33</v>
      </c>
      <c r="P107" s="145">
        <f>27861.33 * (1+H3)</f>
        <v>27861.33</v>
      </c>
      <c r="Q107" s="145">
        <f>18954.32 * (1+H3)</f>
        <v>18954.32</v>
      </c>
      <c r="R107" s="145">
        <f>21131.46 * (1+H3)</f>
        <v>21131.46</v>
      </c>
      <c r="S107" s="145">
        <f>30789.92 * (1+H3)</f>
        <v>30789.919999999998</v>
      </c>
      <c r="T107" s="145">
        <f>36570.8 * (1+H3)</f>
        <v>36570.800000000003</v>
      </c>
      <c r="U107" s="145">
        <f>58240 * (1+H3)</f>
        <v>58240</v>
      </c>
      <c r="V107" s="145">
        <f>23504.6 * (1+H3)</f>
        <v>23504.6</v>
      </c>
      <c r="W107" s="145">
        <f>35431.2 * (1+H3)</f>
        <v>35431.199999999997</v>
      </c>
      <c r="X107" s="145">
        <f>44576 * (1+H3)</f>
        <v>44576</v>
      </c>
      <c r="Y107" s="145">
        <f>32731.13 * (1+H3)</f>
        <v>32731.13</v>
      </c>
      <c r="Z107" s="145">
        <f>38559.92 * (1+H3)</f>
        <v>38559.919999999998</v>
      </c>
      <c r="AA107" s="145">
        <f>43905.68 * (1+H3)</f>
        <v>43905.68</v>
      </c>
      <c r="AB107" s="145">
        <f>69444 * (1+H3)</f>
        <v>69444</v>
      </c>
    </row>
    <row r="108" spans="3:28" x14ac:dyDescent="0.25">
      <c r="C108" s="144">
        <f>8</f>
        <v>8</v>
      </c>
      <c r="D108" s="145">
        <f>18509.79 * (1+H3)</f>
        <v>18509.79</v>
      </c>
      <c r="E108" s="145">
        <f>27475.2 * (1+H3)</f>
        <v>27475.200000000001</v>
      </c>
      <c r="F108" s="145">
        <f>8863.2 * (1+H3)</f>
        <v>8863.2000000000007</v>
      </c>
      <c r="G108" s="145">
        <f>47594 * (1+H3)</f>
        <v>47594</v>
      </c>
      <c r="H108" s="145">
        <f>29401.68 * (1+H3)</f>
        <v>29401.68</v>
      </c>
      <c r="I108" s="145">
        <f>19939.2 * (1+H3)</f>
        <v>19939.2</v>
      </c>
      <c r="J108" s="145">
        <f>26654 * (1+H3)</f>
        <v>26654</v>
      </c>
      <c r="K108" s="145">
        <f>62748 * (1+H3)</f>
        <v>62748</v>
      </c>
      <c r="L108" s="145">
        <f>66000 * (1+H3)</f>
        <v>66000</v>
      </c>
      <c r="M108" s="145">
        <f>49026 * (1+H3)</f>
        <v>49026</v>
      </c>
      <c r="N108" s="145">
        <f>19904.57 * (1+H3)</f>
        <v>19904.57</v>
      </c>
      <c r="O108" s="145">
        <f>23110.08 * (1+H3)</f>
        <v>23110.080000000002</v>
      </c>
      <c r="P108" s="145">
        <f>28178.08 * (1+H3)</f>
        <v>28178.080000000002</v>
      </c>
      <c r="Q108" s="145">
        <f>19271.07 * (1+H3)</f>
        <v>19271.07</v>
      </c>
      <c r="R108" s="145">
        <f>21261.66 * (1+H3)</f>
        <v>21261.66</v>
      </c>
      <c r="S108" s="145">
        <f>31100.72 * (1+H3)</f>
        <v>31100.720000000001</v>
      </c>
      <c r="T108" s="145">
        <f>37399.6 * (1+H3)</f>
        <v>37399.599999999999</v>
      </c>
      <c r="U108" s="145">
        <f>58740 * (1+H3)</f>
        <v>58740</v>
      </c>
      <c r="V108" s="145">
        <f>24384.22 * (1+H3)</f>
        <v>24384.22</v>
      </c>
      <c r="W108" s="145">
        <f>36467.2 * (1+H3)</f>
        <v>36467.199999999997</v>
      </c>
      <c r="X108" s="145">
        <f>44843 * (1+H3)</f>
        <v>44843</v>
      </c>
      <c r="Y108" s="145">
        <f>33702.38 * (1+H3)</f>
        <v>33702.379999999997</v>
      </c>
      <c r="Z108" s="145">
        <f>39616.64 * (1+H3)</f>
        <v>39616.639999999999</v>
      </c>
      <c r="AA108" s="145">
        <f>44423.68 * (1+H3)</f>
        <v>44423.68</v>
      </c>
      <c r="AB108" s="145">
        <f>69967 * (1+H3)</f>
        <v>69967</v>
      </c>
    </row>
    <row r="109" spans="3:28" x14ac:dyDescent="0.25">
      <c r="C109" s="144">
        <f>9</f>
        <v>9</v>
      </c>
      <c r="D109" s="145">
        <f>18763.68 * (1+H3)</f>
        <v>18763.68</v>
      </c>
      <c r="E109" s="145">
        <f>27878.4 * (1+H3)</f>
        <v>27878.400000000001</v>
      </c>
      <c r="F109" s="145">
        <f>9007.2 * (1+H3)</f>
        <v>9007.2000000000007</v>
      </c>
      <c r="G109" s="145">
        <f>48640 * (1+H3)</f>
        <v>48640</v>
      </c>
      <c r="H109" s="145">
        <f>29816.08 * (1+H3)</f>
        <v>29816.080000000002</v>
      </c>
      <c r="I109" s="145">
        <f>20013.6 * (1+H3)</f>
        <v>20013.599999999999</v>
      </c>
      <c r="J109" s="145">
        <f>26729 * (1+H3)</f>
        <v>26729</v>
      </c>
      <c r="K109" s="145">
        <f>63271 * (1+H3)</f>
        <v>63271</v>
      </c>
      <c r="L109" s="145">
        <f>66500 * (1+H3)</f>
        <v>66500</v>
      </c>
      <c r="M109" s="145">
        <f>49292 * (1+H3)</f>
        <v>49292</v>
      </c>
      <c r="N109" s="145">
        <f>20233.99 * (1+H3)</f>
        <v>20233.990000000002</v>
      </c>
      <c r="O109" s="145">
        <f>23426.83 * (1+H3)</f>
        <v>23426.83</v>
      </c>
      <c r="P109" s="145">
        <f>28494.83 * (1+H3)</f>
        <v>28494.83</v>
      </c>
      <c r="Q109" s="145">
        <f>19587.82 * (1+H3)</f>
        <v>19587.82</v>
      </c>
      <c r="R109" s="145">
        <f>21391.86 * (1+H3)</f>
        <v>21391.86</v>
      </c>
      <c r="S109" s="145">
        <f>31432.24 * (1+H3)</f>
        <v>31432.240000000002</v>
      </c>
      <c r="T109" s="145">
        <f>38249.12 * (1+H3)</f>
        <v>38249.120000000003</v>
      </c>
      <c r="U109" s="145">
        <f>59240 * (1+H3)</f>
        <v>59240</v>
      </c>
      <c r="V109" s="145">
        <f>25105.22 * (1+H3)</f>
        <v>25105.22</v>
      </c>
      <c r="W109" s="145">
        <f>37523.92 * (1+H3)</f>
        <v>37523.919999999998</v>
      </c>
      <c r="X109" s="145">
        <f>45112 * (1+H3)</f>
        <v>45112</v>
      </c>
      <c r="Y109" s="145">
        <f>34693.05 * (1+H3)</f>
        <v>34693.050000000003</v>
      </c>
      <c r="Z109" s="145">
        <f>40652.64 * (1+H3)</f>
        <v>40652.639999999999</v>
      </c>
      <c r="AA109" s="145">
        <f>44941.68 * (1+H3)</f>
        <v>44941.68</v>
      </c>
      <c r="AB109" s="145">
        <f>70490 * (1+H3)</f>
        <v>70490</v>
      </c>
    </row>
    <row r="110" spans="3:28" x14ac:dyDescent="0.25">
      <c r="C110" s="144">
        <f>10</f>
        <v>10</v>
      </c>
      <c r="D110" s="145">
        <f>19029.66 * (1+H3)</f>
        <v>19029.66</v>
      </c>
      <c r="E110" s="145">
        <f>28281.6 * (1+H3)</f>
        <v>28281.599999999999</v>
      </c>
      <c r="F110" s="145">
        <f>9115.2 * (1+H3)</f>
        <v>9115.2000000000007</v>
      </c>
      <c r="G110" s="145">
        <f>49686 * (1+H3)</f>
        <v>49686</v>
      </c>
      <c r="H110" s="145">
        <f>30251.2 * (1+H3)</f>
        <v>30251.200000000001</v>
      </c>
      <c r="I110" s="145">
        <f>20088 * (1+H3)</f>
        <v>20088</v>
      </c>
      <c r="J110" s="145">
        <f>26804 * (1+H3)</f>
        <v>26804</v>
      </c>
      <c r="K110" s="145">
        <f>63794 * (1+H3)</f>
        <v>63794</v>
      </c>
      <c r="L110" s="145">
        <f>67000 * (1+H3)</f>
        <v>67000</v>
      </c>
      <c r="M110" s="145">
        <f>55008 * (1+H3)</f>
        <v>55008</v>
      </c>
      <c r="N110" s="145">
        <f>20867.49 * (1+H3)</f>
        <v>20867.490000000002</v>
      </c>
      <c r="O110" s="145">
        <f>23743.58 * (1+H3)</f>
        <v>23743.58</v>
      </c>
      <c r="P110" s="145">
        <f>28811.58 * (1+H3)</f>
        <v>28811.58</v>
      </c>
      <c r="Q110" s="145">
        <f>19967.92 * (1+H3)</f>
        <v>19967.919999999998</v>
      </c>
      <c r="R110" s="145">
        <f>21652.26 * (1+H3)</f>
        <v>21652.26</v>
      </c>
      <c r="S110" s="145">
        <f>31743.04 * (1+H3)</f>
        <v>31743.040000000001</v>
      </c>
      <c r="T110" s="145">
        <f>39077.92 * (1+H3)</f>
        <v>39077.919999999998</v>
      </c>
      <c r="U110" s="145">
        <f>59740 * (1+H3)</f>
        <v>59740</v>
      </c>
      <c r="V110" s="145">
        <f>25883.9 * (1+H3)</f>
        <v>25883.9</v>
      </c>
      <c r="W110" s="145">
        <f>38559.92 * (1+H3)</f>
        <v>38559.919999999998</v>
      </c>
      <c r="X110" s="145">
        <f>50600 * (1+H3)</f>
        <v>50600</v>
      </c>
      <c r="Y110" s="145">
        <f>35178.68 * (1+H3)</f>
        <v>35178.68</v>
      </c>
      <c r="Z110" s="145">
        <f>41709.36 * (1+H3)</f>
        <v>41709.360000000001</v>
      </c>
      <c r="AA110" s="145">
        <f>45356.08 * (1+H3)</f>
        <v>45356.08</v>
      </c>
      <c r="AB110" s="145">
        <f>71013 * (1+H3)</f>
        <v>71013</v>
      </c>
    </row>
    <row r="111" spans="3:28" x14ac:dyDescent="0.25">
      <c r="C111" s="144">
        <f>11</f>
        <v>11</v>
      </c>
      <c r="D111" s="145">
        <f>19307.73 * (1+H3)</f>
        <v>19307.73</v>
      </c>
      <c r="E111" s="145">
        <f>28684.8 * (1+H3)</f>
        <v>28684.799999999999</v>
      </c>
      <c r="F111" s="145">
        <f>9187.2 * (1+H3)</f>
        <v>9187.2000000000007</v>
      </c>
      <c r="G111" s="145">
        <f>50733 * (1+H3)</f>
        <v>50733</v>
      </c>
      <c r="H111" s="145">
        <f>30686.32 * (1+H3)</f>
        <v>30686.32</v>
      </c>
      <c r="I111" s="145">
        <f>20162.4 * (1+H3)</f>
        <v>20162.400000000001</v>
      </c>
      <c r="J111" s="145">
        <f>26879 * (1+H3)</f>
        <v>26879</v>
      </c>
      <c r="K111" s="145">
        <f>64003 * (1+H3)</f>
        <v>64003</v>
      </c>
      <c r="L111" s="145">
        <f>67500 * (1+H3)</f>
        <v>67500</v>
      </c>
      <c r="M111" s="145">
        <f>55482 * (1+H3)</f>
        <v>55482</v>
      </c>
      <c r="N111" s="145">
        <f>21513.66 * (1+H3)</f>
        <v>21513.66</v>
      </c>
      <c r="O111" s="145">
        <f>23806.93 * (1+H3)</f>
        <v>23806.93</v>
      </c>
      <c r="P111" s="145">
        <f>28874.93 * (1+H3)</f>
        <v>28874.93</v>
      </c>
      <c r="Q111" s="145">
        <f>20487.39 * (1+H3)</f>
        <v>20487.39</v>
      </c>
      <c r="R111" s="145">
        <f>21782.46 * (1+H3)</f>
        <v>21782.46</v>
      </c>
      <c r="S111" s="145">
        <f>32178.16 * (1+H3)</f>
        <v>32178.16</v>
      </c>
      <c r="T111" s="145">
        <f>39906.72 * (1+H3)</f>
        <v>39906.720000000001</v>
      </c>
      <c r="U111" s="145">
        <f>60240 * (1+H3)</f>
        <v>60240</v>
      </c>
      <c r="V111" s="145">
        <f>26201.14 * (1+H3)</f>
        <v>26201.14</v>
      </c>
      <c r="W111" s="145">
        <f>39616.64 * (1+H3)</f>
        <v>39616.639999999999</v>
      </c>
      <c r="X111" s="145">
        <f>51059 * (1+H3)</f>
        <v>51059</v>
      </c>
      <c r="Y111" s="145">
        <f>35664.3 * (1+H3)</f>
        <v>35664.300000000003</v>
      </c>
      <c r="Z111" s="145">
        <f>42745.36 * (1+H3)</f>
        <v>42745.36</v>
      </c>
      <c r="AA111" s="145">
        <f>45563.28 * (1+H3)</f>
        <v>45563.28</v>
      </c>
      <c r="AB111" s="145">
        <f>71223 * (1+H3)</f>
        <v>71223</v>
      </c>
    </row>
    <row r="112" spans="3:28" x14ac:dyDescent="0.25">
      <c r="C112" s="144">
        <f>12</f>
        <v>12</v>
      </c>
      <c r="D112" s="145">
        <f>19573.71 * (1+H3)</f>
        <v>19573.71</v>
      </c>
      <c r="E112" s="145">
        <f>29102.4 * (1+H3)</f>
        <v>29102.400000000001</v>
      </c>
      <c r="F112" s="145">
        <f>9259.2 * (1+H3)</f>
        <v>9259.2000000000007</v>
      </c>
      <c r="G112" s="145">
        <f>51779 * (1+H3)</f>
        <v>51779</v>
      </c>
      <c r="H112" s="145">
        <f>31142.16 * (1+H3)</f>
        <v>31142.16</v>
      </c>
      <c r="I112" s="145">
        <f>20236.8 * (1+H3)</f>
        <v>20236.8</v>
      </c>
      <c r="J112" s="145">
        <f>26954 * (1+H3)</f>
        <v>26954</v>
      </c>
      <c r="K112" s="145">
        <f>64212 * (1+H3)</f>
        <v>64212</v>
      </c>
      <c r="L112" s="145">
        <f>68000 * (1+H3)</f>
        <v>68000</v>
      </c>
      <c r="M112" s="145">
        <f>56101 * (1+H3)</f>
        <v>56101</v>
      </c>
      <c r="N112" s="145">
        <f>21577.01 * (1+H3)</f>
        <v>21577.01</v>
      </c>
      <c r="O112" s="145">
        <f>23870.28 * (1+H3)</f>
        <v>23870.28</v>
      </c>
      <c r="P112" s="145">
        <f>28938.28 * (1+H3)</f>
        <v>28938.28</v>
      </c>
      <c r="Q112" s="145">
        <f>20550.74 * (1+H3)</f>
        <v>20550.740000000002</v>
      </c>
      <c r="R112" s="145">
        <f>21912.66 * (1+H3)</f>
        <v>21912.66</v>
      </c>
      <c r="S112" s="145">
        <f>32654.72 * (1+H3)</f>
        <v>32654.720000000001</v>
      </c>
      <c r="T112" s="145">
        <f>40756.24 * (1+H3)</f>
        <v>40756.239999999998</v>
      </c>
      <c r="U112" s="145">
        <f>60740 * (1+H3)</f>
        <v>60740</v>
      </c>
      <c r="V112" s="145">
        <f>26561.64 * (1+H3)</f>
        <v>26561.64</v>
      </c>
      <c r="W112" s="145">
        <f>40652.64 * (1+H3)</f>
        <v>40652.639999999999</v>
      </c>
      <c r="X112" s="145">
        <f>51640 * (1+H3)</f>
        <v>51640</v>
      </c>
      <c r="Y112" s="145">
        <f>35955.68 * (1+H3)</f>
        <v>35955.68</v>
      </c>
      <c r="Z112" s="145">
        <f>43802.08 * (1+H3)</f>
        <v>43802.080000000002</v>
      </c>
      <c r="AA112" s="145">
        <f>45770.48 * (1+H3)</f>
        <v>45770.48</v>
      </c>
      <c r="AB112" s="145">
        <f>71432 * (1+H3)</f>
        <v>71432</v>
      </c>
    </row>
    <row r="113" spans="3:28" x14ac:dyDescent="0.25">
      <c r="C113" s="144">
        <f>13</f>
        <v>13</v>
      </c>
      <c r="D113" s="145">
        <f>19851.78 * (1+H3)</f>
        <v>19851.78</v>
      </c>
      <c r="E113" s="145">
        <f>29520 * (1+H3)</f>
        <v>29520</v>
      </c>
      <c r="F113" s="145">
        <f>9331.2 * (1+H3)</f>
        <v>9331.2000000000007</v>
      </c>
      <c r="G113" s="145">
        <f>52825 * (1+H3)</f>
        <v>52825</v>
      </c>
      <c r="H113" s="145">
        <f>31598 * (1+H3)</f>
        <v>31598</v>
      </c>
      <c r="I113" s="145">
        <f>20311.2 * (1+H3)</f>
        <v>20311.2</v>
      </c>
      <c r="J113" s="145">
        <f>27029 * (1+H3)</f>
        <v>27029</v>
      </c>
      <c r="K113" s="145">
        <f>64421 * (1+H3)</f>
        <v>64421</v>
      </c>
      <c r="L113" s="145">
        <f>68500 * (1+H3)</f>
        <v>68500</v>
      </c>
      <c r="M113" s="145">
        <f>56717 * (1+H3)</f>
        <v>56717</v>
      </c>
      <c r="N113" s="145">
        <f>21640.36 * (1+H3)</f>
        <v>21640.36</v>
      </c>
      <c r="O113" s="145">
        <f>23933.63 * (1+H3)</f>
        <v>23933.63</v>
      </c>
      <c r="P113" s="145">
        <f>29001.63 * (1+H3)</f>
        <v>29001.63</v>
      </c>
      <c r="Q113" s="145">
        <f>20614.09 * (1+H3)</f>
        <v>20614.09</v>
      </c>
      <c r="R113" s="145">
        <f>22042.86 * (1+H3)</f>
        <v>22042.86</v>
      </c>
      <c r="S113" s="145">
        <f>33131.28 * (1+H3)</f>
        <v>33131.279999999999</v>
      </c>
      <c r="T113" s="145">
        <f>41170.64 * (1+H3)</f>
        <v>41170.639999999999</v>
      </c>
      <c r="U113" s="145">
        <f>61240 * (1+H3)</f>
        <v>61240</v>
      </c>
      <c r="V113" s="145">
        <f>26705.84 * (1+H3)</f>
        <v>26705.84</v>
      </c>
      <c r="W113" s="145">
        <f>41709.36 * (1+H3)</f>
        <v>41709.360000000001</v>
      </c>
      <c r="X113" s="145">
        <f>52220 * (1+H3)</f>
        <v>52220</v>
      </c>
      <c r="Y113" s="145">
        <f>36149.93 * (1+H3)</f>
        <v>36149.93</v>
      </c>
      <c r="Z113" s="145">
        <f>44838.08 * (1+H3)</f>
        <v>44838.080000000002</v>
      </c>
      <c r="AA113" s="145">
        <f>45977.68 * (1+H3)</f>
        <v>45977.68</v>
      </c>
      <c r="AB113" s="145">
        <f>71642 * (1+H3)</f>
        <v>71642</v>
      </c>
    </row>
    <row r="114" spans="3:28" x14ac:dyDescent="0.25">
      <c r="C114" s="144">
        <f>14</f>
        <v>14</v>
      </c>
      <c r="D114" s="145">
        <f>20141.94 * (1+H3)</f>
        <v>20141.939999999999</v>
      </c>
      <c r="E114" s="145">
        <f>29952 * (1+H3)</f>
        <v>29952</v>
      </c>
      <c r="F114" s="145">
        <f>9410.4 * (1+H3)</f>
        <v>9410.4</v>
      </c>
      <c r="G114" s="145">
        <f>53349 * (1+H3)</f>
        <v>53349</v>
      </c>
      <c r="H114" s="145">
        <f>32053.84 * (1+H3)</f>
        <v>32053.84</v>
      </c>
      <c r="I114" s="145">
        <f>20385.6 * (1+H3)</f>
        <v>20385.599999999999</v>
      </c>
      <c r="J114" s="145">
        <f>27104 * (1+H3)</f>
        <v>27104</v>
      </c>
      <c r="K114" s="145">
        <f>64630 * (1+H3)</f>
        <v>64630</v>
      </c>
      <c r="L114" s="145">
        <f>69000 * (1+H3)</f>
        <v>69000</v>
      </c>
      <c r="M114" s="145">
        <f>57336 * (1+H3)</f>
        <v>57336</v>
      </c>
      <c r="N114" s="145">
        <f>21703.71 * (1+H3)</f>
        <v>21703.71</v>
      </c>
      <c r="O114" s="145">
        <f>23996.98 * (1+H3)</f>
        <v>23996.98</v>
      </c>
      <c r="P114" s="145">
        <f>29064.98 * (1+H3)</f>
        <v>29064.98</v>
      </c>
      <c r="Q114" s="145">
        <f>20677.44 * (1+H3)</f>
        <v>20677.439999999999</v>
      </c>
      <c r="R114" s="145">
        <f>22173.06 * (1+H3)</f>
        <v>22173.06</v>
      </c>
      <c r="S114" s="145">
        <f>33607.84 * (1+H3)</f>
        <v>33607.839999999997</v>
      </c>
      <c r="T114" s="145">
        <f>41585.04 * (1+H3)</f>
        <v>41585.040000000001</v>
      </c>
      <c r="U114" s="145">
        <f>61740 * (1+H3)</f>
        <v>61740</v>
      </c>
      <c r="V114" s="145">
        <f>26850.04 * (1+H3)</f>
        <v>26850.04</v>
      </c>
      <c r="W114" s="145">
        <f>42227.36 * (1+H3)</f>
        <v>42227.360000000001</v>
      </c>
      <c r="X114" s="145">
        <f>52801 * (1+H3)</f>
        <v>52801</v>
      </c>
      <c r="Y114" s="145">
        <f>36460.73 * (1+H3)</f>
        <v>36460.730000000003</v>
      </c>
      <c r="Z114" s="145">
        <f>45356.08 * (1+H3)</f>
        <v>45356.08</v>
      </c>
      <c r="AA114" s="145">
        <f>46184.88 * (1+H3)</f>
        <v>46184.88</v>
      </c>
      <c r="AB114" s="145">
        <f>71851 * (1+H3)</f>
        <v>71851</v>
      </c>
    </row>
    <row r="115" spans="3:28" x14ac:dyDescent="0.25">
      <c r="C115" s="144">
        <f>15</f>
        <v>15</v>
      </c>
      <c r="D115" s="145">
        <f>20432.1 * (1+H3)</f>
        <v>20432.099999999999</v>
      </c>
      <c r="E115" s="145">
        <f>30384 * (1+H3)</f>
        <v>30384</v>
      </c>
      <c r="F115" s="145">
        <f>9482.4 * (1+H3)</f>
        <v>9482.4</v>
      </c>
      <c r="G115" s="145">
        <f>52872 * (1+H3)</f>
        <v>52872</v>
      </c>
      <c r="H115" s="145">
        <f>32509.68 * (1+H3)</f>
        <v>32509.68</v>
      </c>
      <c r="I115" s="145">
        <f>20460 * (1+H3)</f>
        <v>20460</v>
      </c>
      <c r="J115" s="145">
        <f>27179 * (1+H3)</f>
        <v>27179</v>
      </c>
      <c r="K115" s="145">
        <f>64840 * (1+H3)</f>
        <v>64840</v>
      </c>
      <c r="L115" s="145">
        <f>69500 * (1+H3)</f>
        <v>69500</v>
      </c>
      <c r="M115" s="145">
        <f>58107 * (1+H3)</f>
        <v>58107</v>
      </c>
      <c r="N115" s="145">
        <f>21767.06 * (1+H3)</f>
        <v>21767.06</v>
      </c>
      <c r="O115" s="145">
        <f>24073 * (1+H3)</f>
        <v>24073</v>
      </c>
      <c r="P115" s="145">
        <f>29141 * (1+H3)</f>
        <v>29141</v>
      </c>
      <c r="Q115" s="145">
        <f>20740.79 * (1+H3)</f>
        <v>20740.79</v>
      </c>
      <c r="R115" s="145">
        <f>22433.46 * (1+H3)</f>
        <v>22433.46</v>
      </c>
      <c r="S115" s="145">
        <f>34084.4 * (1+H3)</f>
        <v>34084.400000000001</v>
      </c>
      <c r="T115" s="145">
        <f>41792.24 * (1+H3)</f>
        <v>41792.239999999998</v>
      </c>
      <c r="U115" s="145">
        <f>62240 * (1+H3)</f>
        <v>62240</v>
      </c>
      <c r="V115" s="145">
        <f>26994.24 * (1+H3)</f>
        <v>26994.240000000002</v>
      </c>
      <c r="W115" s="145">
        <f>42745.36 * (1+H3)</f>
        <v>42745.36</v>
      </c>
      <c r="X115" s="145">
        <f>53514 * (1+H3)</f>
        <v>53514</v>
      </c>
      <c r="Y115" s="145">
        <f>36752.1 * (1+H3)</f>
        <v>36752.1</v>
      </c>
      <c r="Z115" s="145">
        <f>45894.8 * (1+H3)</f>
        <v>45894.8</v>
      </c>
      <c r="AA115" s="145">
        <f>46392.08 * (1+H3)</f>
        <v>46392.08</v>
      </c>
      <c r="AB115" s="145">
        <f>72060 * (1+H3)</f>
        <v>72060</v>
      </c>
    </row>
    <row r="116" spans="3:28" x14ac:dyDescent="0.25">
      <c r="C116" s="144">
        <f>16</f>
        <v>16</v>
      </c>
      <c r="D116" s="145">
        <f>20722.26 * (1+H3)</f>
        <v>20722.259999999998</v>
      </c>
      <c r="E116" s="145">
        <f>30830.4 * (1+H3)</f>
        <v>30830.400000000001</v>
      </c>
      <c r="F116" s="145">
        <f>9554.4 * (1+H3)</f>
        <v>9554.4</v>
      </c>
      <c r="G116" s="145">
        <f>54081 * (1+H3)</f>
        <v>54081</v>
      </c>
      <c r="H116" s="145">
        <f>32986.24 * (1+H3)</f>
        <v>32986.239999999998</v>
      </c>
      <c r="I116" s="145">
        <f>20534.4 * (1+H3)</f>
        <v>20534.400000000001</v>
      </c>
      <c r="J116" s="145">
        <f>27254 * (1+H3)</f>
        <v>27254</v>
      </c>
      <c r="K116" s="145">
        <f>65049 * (1+H3)</f>
        <v>65049</v>
      </c>
      <c r="L116" s="145">
        <f>70000 * (1+H3)</f>
        <v>70000</v>
      </c>
      <c r="M116" s="145">
        <f>58412 * (1+H3)</f>
        <v>58412</v>
      </c>
      <c r="N116" s="145">
        <f>21830.41 * (1+H3)</f>
        <v>21830.41</v>
      </c>
      <c r="O116" s="145">
        <f>24136.35 * (1+H3)</f>
        <v>24136.35</v>
      </c>
      <c r="P116" s="145">
        <f>29204.35 * (1+H3)</f>
        <v>29204.35</v>
      </c>
      <c r="Q116" s="145">
        <f>20804.14 * (1+H3)</f>
        <v>20804.14</v>
      </c>
      <c r="R116" s="145">
        <f>22628.76 * (1+H3)</f>
        <v>22628.76</v>
      </c>
      <c r="S116" s="145">
        <f>34581.68 * (1+H3)</f>
        <v>34581.68</v>
      </c>
      <c r="T116" s="145">
        <f>41999.44 * (1+H3)</f>
        <v>41999.44</v>
      </c>
      <c r="U116" s="145">
        <f>62740 * (1+H3)</f>
        <v>62740</v>
      </c>
      <c r="V116" s="145">
        <f>27152.86 * (1+H3)</f>
        <v>27152.86</v>
      </c>
      <c r="W116" s="145">
        <f>42952.56 * (1+H3)</f>
        <v>42952.56</v>
      </c>
      <c r="X116" s="145">
        <f>53689 * (1+H3)</f>
        <v>53689</v>
      </c>
      <c r="Y116" s="145">
        <f>36946.35 * (1+H3)</f>
        <v>36946.35</v>
      </c>
      <c r="Z116" s="145">
        <f>46412.8 * (1+H3)</f>
        <v>46412.800000000003</v>
      </c>
      <c r="AA116" s="145">
        <f>46599.28 * (1+H3)</f>
        <v>46599.28</v>
      </c>
      <c r="AB116" s="145">
        <f>72478 * (1+H3)</f>
        <v>72478</v>
      </c>
    </row>
    <row r="117" spans="3:28" x14ac:dyDescent="0.25">
      <c r="C117" s="144">
        <f>17</f>
        <v>17</v>
      </c>
      <c r="D117" s="145">
        <f>21012.42 * (1+H3)</f>
        <v>21012.42</v>
      </c>
      <c r="E117" s="145">
        <f>31276.8 * (1+H3)</f>
        <v>31276.799999999999</v>
      </c>
      <c r="F117" s="145">
        <f>9626.4 * (1+H3)</f>
        <v>9626.4</v>
      </c>
      <c r="G117" s="145">
        <f>54290 * (1+H3)</f>
        <v>54290</v>
      </c>
      <c r="H117" s="145">
        <f>33462.8 * (1+H3)</f>
        <v>33462.800000000003</v>
      </c>
      <c r="I117" s="145">
        <f>20608.8 * (1+H3)</f>
        <v>20608.8</v>
      </c>
      <c r="J117" s="145">
        <f>27329 * (1+H3)</f>
        <v>27329</v>
      </c>
      <c r="K117" s="145">
        <f>65258 * (1+H3)</f>
        <v>65258</v>
      </c>
      <c r="L117" s="145">
        <f>70500 * (1+H3)</f>
        <v>70500</v>
      </c>
      <c r="M117" s="145">
        <f>58867 * (1+H3)</f>
        <v>58867</v>
      </c>
      <c r="N117" s="145">
        <f>21893.76 * (1+H3)</f>
        <v>21893.759999999998</v>
      </c>
      <c r="O117" s="145">
        <f>24199.7 * (1+H3)</f>
        <v>24199.7</v>
      </c>
      <c r="P117" s="145">
        <f>29267.7 * (1+H3)</f>
        <v>29267.7</v>
      </c>
      <c r="Q117" s="145">
        <f>20867.49 * (1+H3)</f>
        <v>20867.490000000002</v>
      </c>
      <c r="R117" s="145">
        <f>22824.06 * (1+H3)</f>
        <v>22824.06</v>
      </c>
      <c r="S117" s="145">
        <f>35078.96 * (1+H3)</f>
        <v>35078.959999999999</v>
      </c>
      <c r="T117" s="145">
        <f>42227.36 * (1+H3)</f>
        <v>42227.360000000001</v>
      </c>
      <c r="U117" s="145">
        <f>63240 * (1+H3)</f>
        <v>63240</v>
      </c>
      <c r="V117" s="145">
        <f>27297.06 * (1+H3)</f>
        <v>27297.06</v>
      </c>
      <c r="W117" s="145">
        <f>43159.76 * (1+H3)</f>
        <v>43159.76</v>
      </c>
      <c r="X117" s="145">
        <f>53864 * (1+H3)</f>
        <v>53864</v>
      </c>
      <c r="Y117" s="145">
        <f>37140.6 * (1+H3)</f>
        <v>37140.6</v>
      </c>
      <c r="Z117" s="145">
        <f>46930.8 * (1+H3)</f>
        <v>46930.8</v>
      </c>
      <c r="AA117" s="145">
        <f>46806.48 * (1+H3)</f>
        <v>46806.48</v>
      </c>
      <c r="AB117" s="145">
        <f>72688 * (1+H3)</f>
        <v>72688</v>
      </c>
    </row>
    <row r="118" spans="3:28" x14ac:dyDescent="0.25">
      <c r="C118" s="144">
        <f>18</f>
        <v>18</v>
      </c>
      <c r="D118" s="145">
        <f>21314.67 * (1+H3)</f>
        <v>21314.67</v>
      </c>
      <c r="E118" s="145">
        <f>31723.2 * (1+H3)</f>
        <v>31723.200000000001</v>
      </c>
      <c r="F118" s="145">
        <f>9698.4 * (1+H3)</f>
        <v>9698.4</v>
      </c>
      <c r="G118" s="145">
        <f>54500 * (1+H3)</f>
        <v>54500</v>
      </c>
      <c r="H118" s="145">
        <f>33960.08 * (1+H3)</f>
        <v>33960.080000000002</v>
      </c>
      <c r="I118" s="145">
        <f>20683.2 * (1+H3)</f>
        <v>20683.2</v>
      </c>
      <c r="J118" s="145">
        <f>27404 * (1+H3)</f>
        <v>27404</v>
      </c>
      <c r="K118" s="145">
        <f>65467 * (1+H3)</f>
        <v>65467</v>
      </c>
      <c r="L118" s="145">
        <f>71000 * (1+H3)</f>
        <v>71000</v>
      </c>
      <c r="M118" s="145">
        <f>59324 * (1+H3)</f>
        <v>59324</v>
      </c>
      <c r="N118" s="145">
        <f>21957.11 * (1+H3)</f>
        <v>21957.11</v>
      </c>
      <c r="O118" s="145">
        <f>24263.05 * (1+H3)</f>
        <v>24263.05</v>
      </c>
      <c r="P118" s="145">
        <f>29331.05 * (1+H3)</f>
        <v>29331.05</v>
      </c>
      <c r="Q118" s="145">
        <f>20930.84 * (1+H3)</f>
        <v>20930.84</v>
      </c>
      <c r="R118" s="145">
        <f>23019.36 * (1+H3)</f>
        <v>23019.360000000001</v>
      </c>
      <c r="S118" s="145">
        <f>35617.68 * (1+H3)</f>
        <v>35617.68</v>
      </c>
      <c r="T118" s="145">
        <f>42434.56 * (1+H3)</f>
        <v>42434.559999999998</v>
      </c>
      <c r="U118" s="145">
        <f>63740 * (1+H3)</f>
        <v>63740</v>
      </c>
      <c r="V118" s="145">
        <f>27441.26 * (1+H3)</f>
        <v>27441.26</v>
      </c>
      <c r="W118" s="145">
        <f>43366.96 * (1+H3)</f>
        <v>43366.96</v>
      </c>
      <c r="X118" s="145">
        <f>54039 * (1+H3)</f>
        <v>54039</v>
      </c>
      <c r="Y118" s="145">
        <f>37334.85 * (1+H3)</f>
        <v>37334.85</v>
      </c>
      <c r="Z118" s="145">
        <f>47448.8 * (1+H3)</f>
        <v>47448.800000000003</v>
      </c>
      <c r="AA118" s="145">
        <f>46992.96 * (1+H3)</f>
        <v>46992.959999999999</v>
      </c>
      <c r="AB118" s="145">
        <f>72897 * (1+H3)</f>
        <v>72897</v>
      </c>
    </row>
    <row r="119" spans="3:28" x14ac:dyDescent="0.25">
      <c r="C119" s="144">
        <f>19</f>
        <v>19</v>
      </c>
      <c r="D119" s="145">
        <f>21616.92 * (1+H3)</f>
        <v>21616.92</v>
      </c>
      <c r="E119" s="145">
        <f>32198.4 * (1+H3)</f>
        <v>32198.400000000001</v>
      </c>
      <c r="F119" s="145">
        <f>9770.4 * (1+H3)</f>
        <v>9770.4</v>
      </c>
      <c r="G119" s="145">
        <f>54709 * (1+H3)</f>
        <v>54709</v>
      </c>
      <c r="H119" s="145">
        <f>34436.64 * (1+H3)</f>
        <v>34436.639999999999</v>
      </c>
      <c r="I119" s="145">
        <f>20757.6 * (1+H3)</f>
        <v>20757.599999999999</v>
      </c>
      <c r="J119" s="145">
        <f>27479 * (1+H3)</f>
        <v>27479</v>
      </c>
      <c r="K119" s="145">
        <f>65677 * (1+H3)</f>
        <v>65677</v>
      </c>
      <c r="L119" s="145">
        <f>71500 * (1+H3)</f>
        <v>71500</v>
      </c>
      <c r="M119" s="145">
        <f>49780 * (1+H3)</f>
        <v>49780</v>
      </c>
      <c r="N119" s="145">
        <f>22020.46 * (1+H3)</f>
        <v>22020.46</v>
      </c>
      <c r="O119" s="145">
        <f>24326.4 * (1+H3)</f>
        <v>24326.400000000001</v>
      </c>
      <c r="P119" s="145">
        <f>29394.4 * (1+H3)</f>
        <v>29394.400000000001</v>
      </c>
      <c r="Q119" s="145">
        <f>20994.19 * (1+H3)</f>
        <v>20994.19</v>
      </c>
      <c r="R119" s="145">
        <f>23214.66 * (1+H3)</f>
        <v>23214.66</v>
      </c>
      <c r="S119" s="145">
        <f>36114.96 * (1+H3)</f>
        <v>36114.959999999999</v>
      </c>
      <c r="T119" s="145">
        <f>42641.76 * (1+H3)</f>
        <v>42641.760000000002</v>
      </c>
      <c r="U119" s="145">
        <f>64240 * (1+H3)</f>
        <v>64240</v>
      </c>
      <c r="V119" s="145">
        <f>27585.46 * (1+H3)</f>
        <v>27585.46</v>
      </c>
      <c r="W119" s="145">
        <f>43574.16 * (1+H3)</f>
        <v>43574.16</v>
      </c>
      <c r="X119" s="145">
        <f>54214 * (1+H3)</f>
        <v>54214</v>
      </c>
      <c r="Y119" s="145">
        <f>37626.23 * (1+H3)</f>
        <v>37626.230000000003</v>
      </c>
      <c r="Z119" s="145">
        <f>47987.52 * (1+H3)</f>
        <v>47987.519999999997</v>
      </c>
      <c r="AA119" s="145">
        <f>47220.88 * (1+H3)</f>
        <v>47220.88</v>
      </c>
      <c r="AB119" s="145">
        <f>73106 * (1+H3)</f>
        <v>73106</v>
      </c>
    </row>
    <row r="120" spans="3:28" x14ac:dyDescent="0.25">
      <c r="C120" s="144">
        <f>20</f>
        <v>20</v>
      </c>
      <c r="D120" s="145">
        <f>21931.26 * (1+H3)</f>
        <v>21931.26</v>
      </c>
      <c r="E120" s="145">
        <f>32659.2 * (1+H3)</f>
        <v>32659.200000000001</v>
      </c>
      <c r="F120" s="145">
        <f>10130.4 * (1+H3)</f>
        <v>10130.4</v>
      </c>
      <c r="G120" s="145">
        <f>55745 * (1+H3)</f>
        <v>55745</v>
      </c>
      <c r="H120" s="145">
        <f>34954.64 * (1+H3)</f>
        <v>34954.639999999999</v>
      </c>
      <c r="I120" s="145">
        <f>20832 * (1+H3)</f>
        <v>20832</v>
      </c>
      <c r="J120" s="145">
        <f>27554 * (1+H3)</f>
        <v>27554</v>
      </c>
      <c r="K120" s="145">
        <f>65887 * (1+H3)</f>
        <v>65887</v>
      </c>
      <c r="L120" s="145">
        <f>72000 * (1+H3)</f>
        <v>72000</v>
      </c>
      <c r="M120" s="145">
        <f>60400 * (1+H3)</f>
        <v>60400</v>
      </c>
      <c r="N120" s="145">
        <f>22653.96 * (1+H3)</f>
        <v>22653.96</v>
      </c>
      <c r="O120" s="145">
        <f>24959.9 * (1+H3)</f>
        <v>24959.9</v>
      </c>
      <c r="P120" s="145">
        <f>30027.9 * (1+H3)</f>
        <v>30027.9</v>
      </c>
      <c r="Q120" s="145">
        <f>21627.69 * (1+H3)</f>
        <v>21627.69</v>
      </c>
      <c r="R120" s="145">
        <f>23475.06 * (1+H3)</f>
        <v>23475.06</v>
      </c>
      <c r="S120" s="145">
        <f>36653.68 * (1+H3)</f>
        <v>36653.68</v>
      </c>
      <c r="T120" s="145">
        <f>43677.76 * (1+H3)</f>
        <v>43677.760000000002</v>
      </c>
      <c r="U120" s="145">
        <f>64740 * (1+H3)</f>
        <v>64740</v>
      </c>
      <c r="V120" s="145">
        <f>28306.46 * (1+H3)</f>
        <v>28306.46</v>
      </c>
      <c r="W120" s="145">
        <f>44610.16 * (1+H3)</f>
        <v>44610.16</v>
      </c>
      <c r="X120" s="145">
        <f>54389 * (1+H3)</f>
        <v>54389</v>
      </c>
      <c r="Y120" s="145">
        <f>38616.9 * (1+H3)</f>
        <v>38616.9</v>
      </c>
      <c r="Z120" s="145">
        <f>49044.24 * (1+H3)</f>
        <v>49044.24</v>
      </c>
      <c r="AA120" s="145">
        <f>48256.88 * (1+H3)</f>
        <v>48256.88</v>
      </c>
      <c r="AB120" s="145">
        <f>74142 * (1+H3)</f>
        <v>74142</v>
      </c>
    </row>
    <row r="121" spans="3:28" x14ac:dyDescent="0.25">
      <c r="C121" s="144">
        <f>21</f>
        <v>21</v>
      </c>
      <c r="D121" s="145">
        <f>22245.6 * (1+H3)</f>
        <v>22245.599999999999</v>
      </c>
      <c r="E121" s="145">
        <f>33134.4 * (1+H3)</f>
        <v>33134.400000000001</v>
      </c>
      <c r="F121" s="145">
        <f>10166.4 * (1+H3)</f>
        <v>10166.4</v>
      </c>
      <c r="G121" s="145">
        <f>55952 * (1+H3)</f>
        <v>55952</v>
      </c>
      <c r="H121" s="145">
        <f>35451.92 * (1+H3)</f>
        <v>35451.919999999998</v>
      </c>
      <c r="I121" s="145">
        <f>20906.4 * (1+H3)</f>
        <v>20906.400000000001</v>
      </c>
      <c r="J121" s="145">
        <f>27629 * (1+H3)</f>
        <v>27629</v>
      </c>
      <c r="K121" s="145">
        <f>65991 * (1+H3)</f>
        <v>65991</v>
      </c>
      <c r="L121" s="145">
        <f>72500 * (1+H3)</f>
        <v>72500</v>
      </c>
      <c r="M121" s="145">
        <f>60528 * (1+H3)</f>
        <v>60528</v>
      </c>
      <c r="N121" s="145">
        <f>22717.31 * (1+H3)</f>
        <v>22717.31</v>
      </c>
      <c r="O121" s="145">
        <f>25023.25 * (1+H3)</f>
        <v>25023.25</v>
      </c>
      <c r="P121" s="145">
        <f>30091.25 * (1+H3)</f>
        <v>30091.25</v>
      </c>
      <c r="Q121" s="145">
        <f>21691.04 * (1+H3)</f>
        <v>21691.040000000001</v>
      </c>
      <c r="R121" s="145">
        <f>23735.46 * (1+H3)</f>
        <v>23735.46</v>
      </c>
      <c r="S121" s="145">
        <f>37171.68 * (1+H3)</f>
        <v>37171.68</v>
      </c>
      <c r="T121" s="145">
        <f>43781.36 * (1+H3)</f>
        <v>43781.36</v>
      </c>
      <c r="U121" s="145">
        <f>65240 * (1+H3)</f>
        <v>65240</v>
      </c>
      <c r="V121" s="145">
        <f>28450.66 * (1+H3)</f>
        <v>28450.66</v>
      </c>
      <c r="W121" s="145">
        <f>106977.36 * (1+H3)</f>
        <v>106977.36</v>
      </c>
      <c r="X121" s="145">
        <f>54564 * (1+H3)</f>
        <v>54564</v>
      </c>
      <c r="Y121" s="145">
        <f>38714.03 * (1+H3)</f>
        <v>38714.03</v>
      </c>
      <c r="Z121" s="145">
        <f>49127.12 * (1+H3)</f>
        <v>49127.12</v>
      </c>
      <c r="AA121" s="145">
        <f>48360.48 * (1+H3)</f>
        <v>48360.480000000003</v>
      </c>
      <c r="AB121" s="145">
        <f>74246 * (1+H3)</f>
        <v>74246</v>
      </c>
    </row>
    <row r="122" spans="3:28" x14ac:dyDescent="0.25">
      <c r="C122" s="144">
        <f>22</f>
        <v>22</v>
      </c>
      <c r="D122" s="145">
        <f>22559.94 * (1+H3)</f>
        <v>22559.94</v>
      </c>
      <c r="E122" s="145">
        <f>33609.6 * (1+H3)</f>
        <v>33609.599999999999</v>
      </c>
      <c r="F122" s="145">
        <f>10202.4 * (1+H3)</f>
        <v>10202.4</v>
      </c>
      <c r="G122" s="145">
        <f>56159 * (1+H3)</f>
        <v>56159</v>
      </c>
      <c r="H122" s="145">
        <f>35969.92 * (1+H3)</f>
        <v>35969.919999999998</v>
      </c>
      <c r="I122" s="145">
        <f>20980.8 * (1+H3)</f>
        <v>20980.799999999999</v>
      </c>
      <c r="J122" s="145">
        <f>27704 * (1+H3)</f>
        <v>27704</v>
      </c>
      <c r="K122" s="145">
        <f>66096 * (1+H3)</f>
        <v>66096</v>
      </c>
      <c r="L122" s="145">
        <f>73000 * (1+H3)</f>
        <v>73000</v>
      </c>
      <c r="M122" s="145">
        <f>60808 * (1+H3)</f>
        <v>60808</v>
      </c>
      <c r="N122" s="145">
        <f>22780.66 * (1+H3)</f>
        <v>22780.66</v>
      </c>
      <c r="O122" s="145">
        <f>25086.6 * (1+H3)</f>
        <v>25086.6</v>
      </c>
      <c r="P122" s="145">
        <f>30154.6 * (1+H3)</f>
        <v>30154.6</v>
      </c>
      <c r="Q122" s="145">
        <f>21754.39 * (1+H3)</f>
        <v>21754.39</v>
      </c>
      <c r="R122" s="145">
        <f>23995.86 * (1+H3)</f>
        <v>23995.86</v>
      </c>
      <c r="S122" s="145">
        <f>37710.4 * (1+H3)</f>
        <v>37710.400000000001</v>
      </c>
      <c r="T122" s="145">
        <f>43884.96 * (1+H3)</f>
        <v>43884.959999999999</v>
      </c>
      <c r="U122" s="145">
        <f>65740 * (1+H3)</f>
        <v>65740</v>
      </c>
      <c r="V122" s="145">
        <f>28594.86 * (1+H3)</f>
        <v>28594.86</v>
      </c>
      <c r="W122" s="145">
        <f>45024.56 * (1+H3)</f>
        <v>45024.56</v>
      </c>
      <c r="X122" s="145">
        <f>54739 * (1+H3)</f>
        <v>54739</v>
      </c>
      <c r="Y122" s="145">
        <f>38811.15 * (1+H3)</f>
        <v>38811.15</v>
      </c>
      <c r="Z122" s="145">
        <f>49230.72 * (1+H3)</f>
        <v>49230.720000000001</v>
      </c>
      <c r="AA122" s="145">
        <f>48464.08 * (1+H3)</f>
        <v>48464.08</v>
      </c>
      <c r="AB122" s="145">
        <f>74350 * (1+H3)</f>
        <v>74350</v>
      </c>
    </row>
    <row r="123" spans="3:28" x14ac:dyDescent="0.25">
      <c r="C123" s="144">
        <f>23</f>
        <v>23</v>
      </c>
      <c r="D123" s="145">
        <f>22886.37 * (1+H3)</f>
        <v>22886.37</v>
      </c>
      <c r="E123" s="145">
        <f>34099.2 * (1+H3)</f>
        <v>34099.199999999997</v>
      </c>
      <c r="F123" s="145">
        <f>10238.4 * (1+H3)</f>
        <v>10238.4</v>
      </c>
      <c r="G123" s="145">
        <f>56366 * (1+H3)</f>
        <v>56366</v>
      </c>
      <c r="H123" s="145">
        <f>36508.64 * (1+H3)</f>
        <v>36508.639999999999</v>
      </c>
      <c r="I123" s="145">
        <f>21055.2 * (1+H3)</f>
        <v>21055.200000000001</v>
      </c>
      <c r="J123" s="145">
        <f>27779 * (1+H3)</f>
        <v>27779</v>
      </c>
      <c r="K123" s="145">
        <f>66200 * (1+H3)</f>
        <v>66200</v>
      </c>
      <c r="L123" s="145">
        <f>73500 * (1+H3)</f>
        <v>73500</v>
      </c>
      <c r="M123" s="145">
        <f>61093 * (1+H3)</f>
        <v>61093</v>
      </c>
      <c r="N123" s="145">
        <f>22844.01 * (1+H3)</f>
        <v>22844.01</v>
      </c>
      <c r="O123" s="145">
        <f>25149.95 * (1+H3)</f>
        <v>25149.95</v>
      </c>
      <c r="P123" s="145">
        <f>30217.95 * (1+H3)</f>
        <v>30217.95</v>
      </c>
      <c r="Q123" s="145">
        <f>21817.74 * (1+H3)</f>
        <v>21817.74</v>
      </c>
      <c r="R123" s="145">
        <f>24256.26 * (1+H3)</f>
        <v>24256.26</v>
      </c>
      <c r="S123" s="145">
        <f>38290.56 * (1+H3)</f>
        <v>38290.559999999998</v>
      </c>
      <c r="T123" s="145">
        <f>43988.56 * (1+H3)</f>
        <v>43988.56</v>
      </c>
      <c r="U123" s="145">
        <f>66240 * (1+H3)</f>
        <v>66240</v>
      </c>
      <c r="V123" s="145">
        <f>28739.06 * (1+H3)</f>
        <v>28739.06</v>
      </c>
      <c r="W123" s="145">
        <f>45231.76 * (1+H3)</f>
        <v>45231.76</v>
      </c>
      <c r="X123" s="145">
        <f>54914 * (1+H3)</f>
        <v>54914</v>
      </c>
      <c r="Y123" s="145">
        <f>38908.28 * (1+H3)</f>
        <v>38908.28</v>
      </c>
      <c r="Z123" s="145">
        <f>49334.32 * (1+H3)</f>
        <v>49334.32</v>
      </c>
      <c r="AA123" s="145">
        <f>48567.68 * (1+H3)</f>
        <v>48567.68</v>
      </c>
      <c r="AB123" s="145">
        <f>74454 * (1+H3)</f>
        <v>74454</v>
      </c>
    </row>
    <row r="124" spans="3:28" x14ac:dyDescent="0.25">
      <c r="C124" s="144">
        <f>24</f>
        <v>24</v>
      </c>
      <c r="D124" s="145">
        <f>23212.8 * (1+H3)</f>
        <v>23212.799999999999</v>
      </c>
      <c r="E124" s="145">
        <f>34603.2 * (1+H3)</f>
        <v>34603.199999999997</v>
      </c>
      <c r="F124" s="145">
        <f>10274.4 * (1+H3)</f>
        <v>10274.4</v>
      </c>
      <c r="G124" s="145">
        <f>56573 * (1+H3)</f>
        <v>56573</v>
      </c>
      <c r="H124" s="145">
        <f>37026.64 * (1+H3)</f>
        <v>37026.639999999999</v>
      </c>
      <c r="I124" s="145">
        <f>21129.6 * (1+H3)</f>
        <v>21129.599999999999</v>
      </c>
      <c r="J124" s="145">
        <f>27854 * (1+H3)</f>
        <v>27854</v>
      </c>
      <c r="K124" s="145">
        <f>66305 * (1+H3)</f>
        <v>66305</v>
      </c>
      <c r="L124" s="145">
        <f>74000 * (1+H3)</f>
        <v>74000</v>
      </c>
      <c r="M124" s="145">
        <f>61374 * (1+H3)</f>
        <v>61374</v>
      </c>
      <c r="N124" s="145">
        <f>22907.36 * (1+H3)</f>
        <v>22907.360000000001</v>
      </c>
      <c r="O124" s="145">
        <f>25213.3 * (1+H3)</f>
        <v>25213.3</v>
      </c>
      <c r="P124" s="145">
        <f>30281.3 * (1+H3)</f>
        <v>30281.3</v>
      </c>
      <c r="Q124" s="145">
        <f>21881.09 * (1+H3)</f>
        <v>21881.09</v>
      </c>
      <c r="R124" s="145">
        <f>24516.66 * (1+H3)</f>
        <v>24516.66</v>
      </c>
      <c r="S124" s="145">
        <f>38829.28 * (1+H3)</f>
        <v>38829.279999999999</v>
      </c>
      <c r="T124" s="145">
        <f>44092.16 * (1+H3)</f>
        <v>44092.160000000003</v>
      </c>
      <c r="U124" s="145">
        <f>66740 * (1+H3)</f>
        <v>66740</v>
      </c>
      <c r="V124" s="145">
        <f>28883.26 * (1+H3)</f>
        <v>28883.26</v>
      </c>
      <c r="W124" s="145">
        <f>45438.96 * (1+H3)</f>
        <v>45438.96</v>
      </c>
      <c r="X124" s="145">
        <f>55089 * (1+H3)</f>
        <v>55089</v>
      </c>
      <c r="Y124" s="145">
        <f>39005.4 * (1+H3)</f>
        <v>39005.4</v>
      </c>
      <c r="Z124" s="145">
        <f>49437.92 * (1+H3)</f>
        <v>49437.919999999998</v>
      </c>
      <c r="AA124" s="145">
        <f>48671.28 * (1+H3)</f>
        <v>48671.28</v>
      </c>
      <c r="AB124" s="145">
        <f>74558 * (1+H3)</f>
        <v>74558</v>
      </c>
    </row>
    <row r="125" spans="3:28" x14ac:dyDescent="0.25">
      <c r="C125" s="144">
        <f>25</f>
        <v>25</v>
      </c>
      <c r="D125" s="145">
        <f>23551.32 * (1+H3)</f>
        <v>23551.32</v>
      </c>
      <c r="E125" s="145">
        <f>35107.2 * (1+H3)</f>
        <v>35107.199999999997</v>
      </c>
      <c r="F125" s="145">
        <f>10310.4 * (1+H3)</f>
        <v>10310.4</v>
      </c>
      <c r="G125" s="145">
        <f>56780 * (1+H3)</f>
        <v>56780</v>
      </c>
      <c r="H125" s="145">
        <f>37565.36 * (1+H3)</f>
        <v>37565.360000000001</v>
      </c>
      <c r="I125" s="145">
        <f>21204 * (1+H3)</f>
        <v>21204</v>
      </c>
      <c r="J125" s="145">
        <f>27929 * (1+H3)</f>
        <v>27929</v>
      </c>
      <c r="K125" s="145">
        <f>66410 * (1+H3)</f>
        <v>66410</v>
      </c>
      <c r="L125" s="145">
        <f>74500 * (1+H3)</f>
        <v>74500</v>
      </c>
      <c r="M125" s="145">
        <f>61824 * (1+H3)</f>
        <v>61824</v>
      </c>
      <c r="N125" s="145">
        <f>22970.71 * (1+H3)</f>
        <v>22970.71</v>
      </c>
      <c r="O125" s="145">
        <f>25276.65 * (1+H3)</f>
        <v>25276.65</v>
      </c>
      <c r="P125" s="145">
        <f>30344.65 * (1+H3)</f>
        <v>30344.65</v>
      </c>
      <c r="Q125" s="145">
        <f>21944.44 * (1+H3)</f>
        <v>21944.44</v>
      </c>
      <c r="R125" s="145">
        <f>24777.06 * (1+H3)</f>
        <v>24777.06</v>
      </c>
      <c r="S125" s="145">
        <f>39388.72 * (1+H3)</f>
        <v>39388.720000000001</v>
      </c>
      <c r="T125" s="145">
        <f>44195.76 * (1+H3)</f>
        <v>44195.76</v>
      </c>
      <c r="U125" s="145">
        <f>67240 * (1+H3)</f>
        <v>67240</v>
      </c>
      <c r="V125" s="145">
        <f>29027.46 * (1+H3)</f>
        <v>29027.46</v>
      </c>
      <c r="W125" s="145">
        <f>45646.16 * (1+H3)</f>
        <v>45646.16</v>
      </c>
      <c r="X125" s="145">
        <f>55264 * (1+H3)</f>
        <v>55264</v>
      </c>
      <c r="Y125" s="145">
        <f>39102.53 * (1+H3)</f>
        <v>39102.53</v>
      </c>
      <c r="Z125" s="145">
        <f>49541.52 * (1+H3)</f>
        <v>49541.52</v>
      </c>
      <c r="AA125" s="145">
        <f>48899.2 * (1+H3)</f>
        <v>48899.199999999997</v>
      </c>
      <c r="AB125" s="145">
        <f>74662 * (1+H3)</f>
        <v>74662</v>
      </c>
    </row>
    <row r="126" spans="3:28" x14ac:dyDescent="0.25">
      <c r="C126" s="144">
        <f>26</f>
        <v>26</v>
      </c>
      <c r="D126" s="145">
        <f>23889.84 * (1+H3)</f>
        <v>23889.84</v>
      </c>
      <c r="E126" s="145">
        <f>35611.2 * (1+H3)</f>
        <v>35611.199999999997</v>
      </c>
      <c r="F126" s="145">
        <f>10346.4 * (1+H3)</f>
        <v>10346.4</v>
      </c>
      <c r="G126" s="145">
        <f>56987 * (1+H3)</f>
        <v>56987</v>
      </c>
      <c r="H126" s="145">
        <f>38124.8 * (1+H3)</f>
        <v>38124.800000000003</v>
      </c>
      <c r="I126" s="145">
        <f>21278.4 * (1+H3)</f>
        <v>21278.400000000001</v>
      </c>
      <c r="J126" s="145">
        <f>28004 * (1+H3)</f>
        <v>28004</v>
      </c>
      <c r="K126" s="145">
        <f>66514 * (1+H3)</f>
        <v>66514</v>
      </c>
      <c r="L126" s="145">
        <f>75000 * (1+H3)</f>
        <v>75000</v>
      </c>
      <c r="M126" s="145">
        <f>61954 * (1+H3)</f>
        <v>61954</v>
      </c>
      <c r="N126" s="145">
        <f>23034.06 * (1+H3)</f>
        <v>23034.06</v>
      </c>
      <c r="O126" s="145">
        <f>25340 * (1+H3)</f>
        <v>25340</v>
      </c>
      <c r="P126" s="145">
        <f>30408 * (1+H3)</f>
        <v>30408</v>
      </c>
      <c r="Q126" s="145">
        <f>22007.79 * (1+H3)</f>
        <v>22007.79</v>
      </c>
      <c r="R126" s="145">
        <f>25037.46 * (1+H3)</f>
        <v>25037.46</v>
      </c>
      <c r="S126" s="145">
        <f>39989.6 * (1+H3)</f>
        <v>39989.599999999999</v>
      </c>
      <c r="T126" s="145">
        <f>44299.36 * (1+H3)</f>
        <v>44299.360000000001</v>
      </c>
      <c r="U126" s="145">
        <f>67740 * (1+H3)</f>
        <v>67740</v>
      </c>
      <c r="V126" s="145">
        <f>29171.66 * (1+H3)</f>
        <v>29171.66</v>
      </c>
      <c r="W126" s="145">
        <f>45853.36 * (1+H3)</f>
        <v>45853.36</v>
      </c>
      <c r="X126" s="145">
        <f>55425 * (1+H3)</f>
        <v>55425</v>
      </c>
      <c r="Y126" s="145">
        <f>39199.65 * (1+H3)</f>
        <v>39199.65</v>
      </c>
      <c r="Z126" s="145">
        <f>49645.12 * (1+H3)</f>
        <v>49645.120000000003</v>
      </c>
      <c r="AA126" s="145">
        <f>48982.08 * (1+H3)</f>
        <v>48982.080000000002</v>
      </c>
      <c r="AB126" s="145">
        <f>74766 * (1+H3)</f>
        <v>74766</v>
      </c>
    </row>
    <row r="127" spans="3:28" x14ac:dyDescent="0.25">
      <c r="C127" s="144">
        <f>27</f>
        <v>27</v>
      </c>
      <c r="D127" s="145">
        <f>24228.36 * (1+H3)</f>
        <v>24228.36</v>
      </c>
      <c r="E127" s="145">
        <f>36129.6 * (1+H3)</f>
        <v>36129.599999999999</v>
      </c>
      <c r="F127" s="145">
        <f>10382.4 * (1+H3)</f>
        <v>10382.4</v>
      </c>
      <c r="G127" s="145">
        <f>57191 * (1+H3)</f>
        <v>57191</v>
      </c>
      <c r="H127" s="145">
        <f>38684.24 * (1+H3)</f>
        <v>38684.239999999998</v>
      </c>
      <c r="I127" s="145">
        <f>21352.8 * (1+H3)</f>
        <v>21352.799999999999</v>
      </c>
      <c r="J127" s="145">
        <f>28079 * (1+H3)</f>
        <v>28079</v>
      </c>
      <c r="K127" s="145">
        <f>66619 * (1+H3)</f>
        <v>66619</v>
      </c>
      <c r="L127" s="145">
        <f>75500 * (1+H3)</f>
        <v>75500</v>
      </c>
      <c r="M127" s="145">
        <f>62248 * (1+H3)</f>
        <v>62248</v>
      </c>
      <c r="N127" s="145">
        <f>23097.41 * (1+H3)</f>
        <v>23097.41</v>
      </c>
      <c r="O127" s="145">
        <f>25403.35 * (1+H3)</f>
        <v>25403.35</v>
      </c>
      <c r="P127" s="145">
        <f>30471.35 * (1+H3)</f>
        <v>30471.35</v>
      </c>
      <c r="Q127" s="145">
        <f>22071.14 * (1+H3)</f>
        <v>22071.14</v>
      </c>
      <c r="R127" s="145">
        <f>25297.86 * (1+H3)</f>
        <v>25297.86</v>
      </c>
      <c r="S127" s="145">
        <f>40569.76 * (1+H3)</f>
        <v>40569.760000000002</v>
      </c>
      <c r="T127" s="145">
        <f>44402.96 * (1+H3)</f>
        <v>44402.96</v>
      </c>
      <c r="U127" s="145">
        <f>68240 * (1+H3)</f>
        <v>68240</v>
      </c>
      <c r="V127" s="145">
        <f>29315.86 * (1+H3)</f>
        <v>29315.86</v>
      </c>
      <c r="W127" s="145">
        <f>46060.56 * (1+H3)</f>
        <v>46060.56</v>
      </c>
      <c r="X127" s="145">
        <f>55600 * (1+H3)</f>
        <v>55600</v>
      </c>
      <c r="Y127" s="145">
        <f>39296.78 * (1+H3)</f>
        <v>39296.78</v>
      </c>
      <c r="Z127" s="145">
        <f>49748.72 * (1+H3)</f>
        <v>49748.72</v>
      </c>
      <c r="AA127" s="145">
        <f>49085.68 * (1+H3)</f>
        <v>49085.68</v>
      </c>
      <c r="AB127" s="145">
        <f>74870 * (1+H3)</f>
        <v>74870</v>
      </c>
    </row>
    <row r="128" spans="3:28" x14ac:dyDescent="0.25">
      <c r="C128" s="144">
        <f>28</f>
        <v>28</v>
      </c>
      <c r="D128" s="145">
        <f>24288.81 * (1+H3)</f>
        <v>24288.81</v>
      </c>
      <c r="E128" s="145">
        <f>36129.6 * (1+H3)</f>
        <v>36129.599999999999</v>
      </c>
      <c r="F128" s="145">
        <f>10418.4 * (1+H3)</f>
        <v>10418.4</v>
      </c>
      <c r="G128" s="145">
        <f>57401 * (1+H3)</f>
        <v>57401</v>
      </c>
      <c r="H128" s="145">
        <f>38787.84 * (1+H3)</f>
        <v>38787.839999999997</v>
      </c>
      <c r="I128" s="145">
        <f>21427.2 * (1+H3)</f>
        <v>21427.200000000001</v>
      </c>
      <c r="J128" s="145">
        <f>28154 * (1+H3)</f>
        <v>28154</v>
      </c>
      <c r="K128" s="145">
        <f>66723 * (1+H3)</f>
        <v>66723</v>
      </c>
      <c r="L128" s="145">
        <f>76000 * (1+H3)</f>
        <v>76000</v>
      </c>
      <c r="M128" s="145">
        <f>62544 * (1+H3)</f>
        <v>62544</v>
      </c>
      <c r="N128" s="145">
        <f>23160.76 * (1+H3)</f>
        <v>23160.76</v>
      </c>
      <c r="O128" s="145">
        <f>25466.7 * (1+H3)</f>
        <v>25466.7</v>
      </c>
      <c r="P128" s="145">
        <f>30534.7 * (1+H3)</f>
        <v>30534.7</v>
      </c>
      <c r="Q128" s="145">
        <f>22134.49 * (1+H3)</f>
        <v>22134.49</v>
      </c>
      <c r="R128" s="145">
        <f>25558.26 * (1+H3)</f>
        <v>25558.26</v>
      </c>
      <c r="S128" s="145">
        <f>40673.36 * (1+H3)</f>
        <v>40673.360000000001</v>
      </c>
      <c r="T128" s="145">
        <f>44506.56 * (1+H3)</f>
        <v>44506.559999999998</v>
      </c>
      <c r="U128" s="145">
        <f>68740 * (1+H3)</f>
        <v>68740</v>
      </c>
      <c r="V128" s="145">
        <f>29387.96 * (1+H3)</f>
        <v>29387.96</v>
      </c>
      <c r="W128" s="145">
        <f>46164.16 * (1+H3)</f>
        <v>46164.160000000003</v>
      </c>
      <c r="X128" s="145">
        <f>55900 * (1+H3)</f>
        <v>55900</v>
      </c>
      <c r="Y128" s="145">
        <f>39393.9 * (1+H3)</f>
        <v>39393.9</v>
      </c>
      <c r="Z128" s="145">
        <f>49852.32 * (1+H3)</f>
        <v>49852.32</v>
      </c>
      <c r="AA128" s="145">
        <f>49189.28 * (1+H3)</f>
        <v>49189.279999999999</v>
      </c>
      <c r="AB128" s="145">
        <f>74974 * (1+H3)</f>
        <v>74974</v>
      </c>
    </row>
    <row r="129" spans="3:28" x14ac:dyDescent="0.25">
      <c r="C129" s="144">
        <f>29</f>
        <v>29</v>
      </c>
      <c r="D129" s="145">
        <f>24349.26 * (1+H3)</f>
        <v>24349.26</v>
      </c>
      <c r="E129" s="145">
        <f>36129.6 * (1+H3)</f>
        <v>36129.599999999999</v>
      </c>
      <c r="F129" s="145">
        <f>10454.4 * (1+H3)</f>
        <v>10454.4</v>
      </c>
      <c r="G129" s="145">
        <f>57608 * (1+H3)</f>
        <v>57608</v>
      </c>
      <c r="H129" s="145">
        <f>38891.44 * (1+H3)</f>
        <v>38891.440000000002</v>
      </c>
      <c r="I129" s="145">
        <f>21501.6 * (1+H3)</f>
        <v>21501.599999999999</v>
      </c>
      <c r="J129" s="145">
        <f>28229 * (1+H3)</f>
        <v>28229</v>
      </c>
      <c r="K129" s="145">
        <f>66828 * (1+H3)</f>
        <v>66828</v>
      </c>
      <c r="L129" s="145">
        <f>76500 * (1+H3)</f>
        <v>76500</v>
      </c>
      <c r="M129" s="145">
        <f>62835 * (1+H3)</f>
        <v>62835</v>
      </c>
      <c r="N129" s="145">
        <f>23224.11 * (1+H3)</f>
        <v>23224.11</v>
      </c>
      <c r="O129" s="145">
        <f>25530.05 * (1+H3)</f>
        <v>25530.05</v>
      </c>
      <c r="P129" s="145">
        <f>30598.05 * (1+H3)</f>
        <v>30598.05</v>
      </c>
      <c r="Q129" s="145">
        <f>22197.84 * (1+H3)</f>
        <v>22197.84</v>
      </c>
      <c r="R129" s="145">
        <f>25818.66 * (1+H3)</f>
        <v>25818.66</v>
      </c>
      <c r="S129" s="145">
        <f>40776.96 * (1+H3)</f>
        <v>40776.959999999999</v>
      </c>
      <c r="T129" s="145">
        <f>44610.16 * (1+H3)</f>
        <v>44610.16</v>
      </c>
      <c r="U129" s="145">
        <f>69240 * (1+H3)</f>
        <v>69240</v>
      </c>
      <c r="V129" s="145">
        <f>29460.06 * (1+H3)</f>
        <v>29460.06</v>
      </c>
      <c r="W129" s="145">
        <f>46267.76 * (1+H3)</f>
        <v>46267.76</v>
      </c>
      <c r="X129" s="145">
        <f>56200 * (1+H3)</f>
        <v>56200</v>
      </c>
      <c r="Y129" s="145">
        <f>39491.03 * (1+H3)</f>
        <v>39491.03</v>
      </c>
      <c r="Z129" s="145">
        <f>49955.92 * (1+H3)</f>
        <v>49955.92</v>
      </c>
      <c r="AA129" s="145">
        <f>49292.88 * (1+H3)</f>
        <v>49292.88</v>
      </c>
      <c r="AB129" s="145">
        <f>75078 * (1+H3)</f>
        <v>75078</v>
      </c>
    </row>
    <row r="130" spans="3:28" x14ac:dyDescent="0.25">
      <c r="C130" s="144">
        <f>30</f>
        <v>30</v>
      </c>
      <c r="D130" s="145">
        <f>24409.71 * (1+H3)</f>
        <v>24409.71</v>
      </c>
      <c r="E130" s="145">
        <f>36129.6 * (1+H3)</f>
        <v>36129.599999999999</v>
      </c>
      <c r="F130" s="145">
        <f>10490.4 * (1+H3)</f>
        <v>10490.4</v>
      </c>
      <c r="G130" s="145">
        <f>57815 * (1+H3)</f>
        <v>57815</v>
      </c>
      <c r="H130" s="145">
        <f>38995.04 * (1+H3)</f>
        <v>38995.040000000001</v>
      </c>
      <c r="I130" s="145">
        <f>21576 * (1+H3)</f>
        <v>21576</v>
      </c>
      <c r="J130" s="145">
        <f>28304 * (1+H3)</f>
        <v>28304</v>
      </c>
      <c r="K130" s="145">
        <f>66953 * (1+H3)</f>
        <v>66953</v>
      </c>
      <c r="L130" s="145">
        <f>77000 * (1+H3)</f>
        <v>77000</v>
      </c>
      <c r="M130" s="145">
        <f>63505 * (1+H3)</f>
        <v>63505</v>
      </c>
      <c r="N130" s="145">
        <f>23287.46 * (1+H3)</f>
        <v>23287.46</v>
      </c>
      <c r="O130" s="145">
        <f>25593.4 * (1+H3)</f>
        <v>25593.4</v>
      </c>
      <c r="P130" s="145">
        <f>30661.4 * (1+H3)</f>
        <v>30661.4</v>
      </c>
      <c r="Q130" s="145">
        <f>22261.19 * (1+H3)</f>
        <v>22261.19</v>
      </c>
      <c r="R130" s="145">
        <f>26079.06 * (1+H3)</f>
        <v>26079.06</v>
      </c>
      <c r="S130" s="145">
        <f>40880.56 * (1+H3)</f>
        <v>40880.559999999998</v>
      </c>
      <c r="T130" s="145">
        <f>44713.76 * (1+H3)</f>
        <v>44713.760000000002</v>
      </c>
      <c r="U130" s="145">
        <f>69740 * (1+H3)</f>
        <v>69740</v>
      </c>
      <c r="V130" s="145">
        <f>29532.16 * (1+H3)</f>
        <v>29532.16</v>
      </c>
      <c r="W130" s="145">
        <f>46371.36 * (1+H3)</f>
        <v>46371.360000000001</v>
      </c>
      <c r="X130" s="145">
        <f>56500 * (1+H3)</f>
        <v>56500</v>
      </c>
      <c r="Y130" s="145">
        <f>39588.15 * (1+H3)</f>
        <v>39588.15</v>
      </c>
      <c r="Z130" s="145">
        <f>50059.52 * (1+H3)</f>
        <v>50059.519999999997</v>
      </c>
      <c r="AA130" s="145">
        <f>49396.48 * (1+H3)</f>
        <v>49396.480000000003</v>
      </c>
      <c r="AB130" s="145">
        <f>75182 * (1+H3)</f>
        <v>75182</v>
      </c>
    </row>
    <row r="131" spans="3:28" x14ac:dyDescent="0.25">
      <c r="C131" s="144">
        <f>31</f>
        <v>31</v>
      </c>
      <c r="D131" s="145">
        <f>24409.71 * (1+H3)</f>
        <v>24409.71</v>
      </c>
      <c r="E131" s="145">
        <f>36129.6 * (1+H3)</f>
        <v>36129.599999999999</v>
      </c>
      <c r="F131" s="145">
        <f>10490.4 * (1+H3)</f>
        <v>10490.4</v>
      </c>
      <c r="G131" s="145">
        <f>57815 * (1+H3)</f>
        <v>57815</v>
      </c>
      <c r="H131" s="145">
        <f>38995.04 * (1+H3)</f>
        <v>38995.040000000001</v>
      </c>
      <c r="I131" s="145">
        <f>21576 * (1+H3)</f>
        <v>21576</v>
      </c>
      <c r="J131" s="145">
        <f>28304 * (1+H3)</f>
        <v>28304</v>
      </c>
      <c r="K131" s="145">
        <f>66953 * (1+H3)</f>
        <v>66953</v>
      </c>
      <c r="L131" s="145">
        <f>77000 * (1+H3)</f>
        <v>77000</v>
      </c>
      <c r="M131" s="145">
        <f>63505 * (1+H3)</f>
        <v>63505</v>
      </c>
      <c r="N131" s="145">
        <f>23287.46 * (1+H3)</f>
        <v>23287.46</v>
      </c>
      <c r="O131" s="145">
        <f>25593.4 * (1+H3)</f>
        <v>25593.4</v>
      </c>
      <c r="P131" s="145">
        <f>30661.4 * (1+H3)</f>
        <v>30661.4</v>
      </c>
      <c r="Q131" s="145">
        <f>22261.19 * (1+H3)</f>
        <v>22261.19</v>
      </c>
      <c r="R131" s="145">
        <f>26079.06 * (1+H3)</f>
        <v>26079.06</v>
      </c>
      <c r="S131" s="145">
        <f>40880.56 * (1+H3)</f>
        <v>40880.559999999998</v>
      </c>
      <c r="T131" s="145">
        <f>44713.76 * (1+H3)</f>
        <v>44713.760000000002</v>
      </c>
      <c r="U131" s="145">
        <f>69740 * (1+H3)</f>
        <v>69740</v>
      </c>
      <c r="V131" s="145">
        <f>29532.16 * (1+H3)</f>
        <v>29532.16</v>
      </c>
      <c r="W131" s="145">
        <f>46371.36 * (1+H3)</f>
        <v>46371.360000000001</v>
      </c>
      <c r="X131" s="145">
        <f>56500 * (1+H3)</f>
        <v>56500</v>
      </c>
      <c r="Y131" s="145">
        <f>39588.15 * (1+H3)</f>
        <v>39588.15</v>
      </c>
      <c r="Z131" s="145">
        <f>50059.52 * (1+H3)</f>
        <v>50059.519999999997</v>
      </c>
      <c r="AA131" s="145">
        <f>49396.48 * (1+H3)</f>
        <v>49396.480000000003</v>
      </c>
      <c r="AB131" s="145">
        <f>75182 * (1+H3)</f>
        <v>75182</v>
      </c>
    </row>
    <row r="132" spans="3:28" x14ac:dyDescent="0.25">
      <c r="C132" s="144">
        <f>32</f>
        <v>32</v>
      </c>
      <c r="D132" s="145">
        <f>24409.71 * (1+H3)</f>
        <v>24409.71</v>
      </c>
      <c r="E132" s="145">
        <f>36129.6 * (1+H3)</f>
        <v>36129.599999999999</v>
      </c>
      <c r="F132" s="145">
        <f>10490.4 * (1+H3)</f>
        <v>10490.4</v>
      </c>
      <c r="G132" s="145">
        <f>57815 * (1+H3)</f>
        <v>57815</v>
      </c>
      <c r="H132" s="145">
        <f>38995.04 * (1+H3)</f>
        <v>38995.040000000001</v>
      </c>
      <c r="I132" s="145">
        <f>21576 * (1+H3)</f>
        <v>21576</v>
      </c>
      <c r="J132" s="145">
        <f>28304 * (1+H3)</f>
        <v>28304</v>
      </c>
      <c r="K132" s="145">
        <f>66953 * (1+H3)</f>
        <v>66953</v>
      </c>
      <c r="L132" s="145">
        <f>77000 * (1+H3)</f>
        <v>77000</v>
      </c>
      <c r="M132" s="145">
        <f>63505 * (1+H3)</f>
        <v>63505</v>
      </c>
      <c r="N132" s="145">
        <f>23287.46 * (1+H3)</f>
        <v>23287.46</v>
      </c>
      <c r="O132" s="145">
        <f>25593.4 * (1+H3)</f>
        <v>25593.4</v>
      </c>
      <c r="P132" s="145">
        <f>30661.4 * (1+H3)</f>
        <v>30661.4</v>
      </c>
      <c r="Q132" s="145">
        <f>22261.19 * (1+H3)</f>
        <v>22261.19</v>
      </c>
      <c r="R132" s="145">
        <f>26079.06 * (1+H3)</f>
        <v>26079.06</v>
      </c>
      <c r="S132" s="145">
        <f>40880.56 * (1+H3)</f>
        <v>40880.559999999998</v>
      </c>
      <c r="T132" s="145">
        <f>44713.76 * (1+H3)</f>
        <v>44713.760000000002</v>
      </c>
      <c r="U132" s="145">
        <f>69740 * (1+H3)</f>
        <v>69740</v>
      </c>
      <c r="V132" s="145">
        <f>29532.16 * (1+H3)</f>
        <v>29532.16</v>
      </c>
      <c r="W132" s="145">
        <f>46371.36 * (1+H3)</f>
        <v>46371.360000000001</v>
      </c>
      <c r="X132" s="145">
        <f>56500 * (1+H3)</f>
        <v>56500</v>
      </c>
      <c r="Y132" s="145">
        <f>39588.15 * (1+H3)</f>
        <v>39588.15</v>
      </c>
      <c r="Z132" s="145">
        <f>50059.52 * (1+H3)</f>
        <v>50059.519999999997</v>
      </c>
      <c r="AA132" s="145">
        <f>49396.48 * (1+H3)</f>
        <v>49396.480000000003</v>
      </c>
      <c r="AB132" s="145">
        <f>75182 * (1+H3)</f>
        <v>75182</v>
      </c>
    </row>
    <row r="133" spans="3:28" x14ac:dyDescent="0.25">
      <c r="C133" s="144">
        <f>33</f>
        <v>33</v>
      </c>
      <c r="D133" s="145">
        <f>24409.71 * (1+H3)</f>
        <v>24409.71</v>
      </c>
      <c r="E133" s="145">
        <f>36129.6 * (1+H3)</f>
        <v>36129.599999999999</v>
      </c>
      <c r="F133" s="145">
        <f>10490.4 * (1+H3)</f>
        <v>10490.4</v>
      </c>
      <c r="G133" s="145">
        <f>57815 * (1+H3)</f>
        <v>57815</v>
      </c>
      <c r="H133" s="145">
        <f>38995.04 * (1+H3)</f>
        <v>38995.040000000001</v>
      </c>
      <c r="I133" s="145">
        <f>21576 * (1+H3)</f>
        <v>21576</v>
      </c>
      <c r="J133" s="145">
        <f>28304 * (1+H3)</f>
        <v>28304</v>
      </c>
      <c r="K133" s="145">
        <f>66953 * (1+H3)</f>
        <v>66953</v>
      </c>
      <c r="L133" s="145">
        <f>77000 * (1+H3)</f>
        <v>77000</v>
      </c>
      <c r="M133" s="145">
        <f>63505 * (1+H3)</f>
        <v>63505</v>
      </c>
      <c r="N133" s="145">
        <f>23287.46 * (1+H3)</f>
        <v>23287.46</v>
      </c>
      <c r="O133" s="145">
        <f>25593.4 * (1+H3)</f>
        <v>25593.4</v>
      </c>
      <c r="P133" s="145">
        <f>30661.4 * (1+H3)</f>
        <v>30661.4</v>
      </c>
      <c r="Q133" s="145">
        <f>22261.19 * (1+H3)</f>
        <v>22261.19</v>
      </c>
      <c r="R133" s="145">
        <f>26079.06 * (1+H3)</f>
        <v>26079.06</v>
      </c>
      <c r="S133" s="145">
        <f>40880.56 * (1+H3)</f>
        <v>40880.559999999998</v>
      </c>
      <c r="T133" s="145">
        <f>44713.76 * (1+H3)</f>
        <v>44713.760000000002</v>
      </c>
      <c r="U133" s="145">
        <f>69740 * (1+H3)</f>
        <v>69740</v>
      </c>
      <c r="V133" s="145">
        <f>29532.16 * (1+H3)</f>
        <v>29532.16</v>
      </c>
      <c r="W133" s="145">
        <f>46371.36 * (1+H3)</f>
        <v>46371.360000000001</v>
      </c>
      <c r="X133" s="145">
        <f>56500 * (1+H3)</f>
        <v>56500</v>
      </c>
      <c r="Y133" s="145">
        <f>39588.15 * (1+H3)</f>
        <v>39588.15</v>
      </c>
      <c r="Z133" s="145">
        <f>50059.52 * (1+H3)</f>
        <v>50059.519999999997</v>
      </c>
      <c r="AA133" s="145">
        <f>49396.48 * (1+H3)</f>
        <v>49396.480000000003</v>
      </c>
      <c r="AB133" s="145">
        <f>75182 * (1+H3)</f>
        <v>75182</v>
      </c>
    </row>
    <row r="134" spans="3:28" x14ac:dyDescent="0.25">
      <c r="C134" s="144">
        <f>34</f>
        <v>34</v>
      </c>
      <c r="D134" s="145">
        <f>24409.71 * (1+H3)</f>
        <v>24409.71</v>
      </c>
      <c r="E134" s="145">
        <f>36129.6 * (1+H3)</f>
        <v>36129.599999999999</v>
      </c>
      <c r="F134" s="145">
        <f>10490.4 * (1+H3)</f>
        <v>10490.4</v>
      </c>
      <c r="G134" s="145">
        <f>57815 * (1+H3)</f>
        <v>57815</v>
      </c>
      <c r="H134" s="145">
        <f>38995.04 * (1+H3)</f>
        <v>38995.040000000001</v>
      </c>
      <c r="I134" s="145">
        <f>21576 * (1+H3)</f>
        <v>21576</v>
      </c>
      <c r="J134" s="145">
        <f>28304 * (1+H3)</f>
        <v>28304</v>
      </c>
      <c r="K134" s="145">
        <f>66953 * (1+H3)</f>
        <v>66953</v>
      </c>
      <c r="L134" s="145">
        <f>77000 * (1+H3)</f>
        <v>77000</v>
      </c>
      <c r="M134" s="145">
        <f>63505 * (1+H3)</f>
        <v>63505</v>
      </c>
      <c r="N134" s="145">
        <f>23287.46 * (1+H3)</f>
        <v>23287.46</v>
      </c>
      <c r="O134" s="145">
        <f>25593.4 * (1+H3)</f>
        <v>25593.4</v>
      </c>
      <c r="P134" s="145">
        <f>30661.4 * (1+H3)</f>
        <v>30661.4</v>
      </c>
      <c r="Q134" s="145">
        <f>22261.19 * (1+H3)</f>
        <v>22261.19</v>
      </c>
      <c r="R134" s="145">
        <f>26079.06 * (1+H3)</f>
        <v>26079.06</v>
      </c>
      <c r="S134" s="145">
        <f>40880.56 * (1+H3)</f>
        <v>40880.559999999998</v>
      </c>
      <c r="T134" s="145">
        <f>44713.76 * (1+H3)</f>
        <v>44713.760000000002</v>
      </c>
      <c r="U134" s="145">
        <f>69740 * (1+H3)</f>
        <v>69740</v>
      </c>
      <c r="V134" s="145">
        <f>29532.16 * (1+H3)</f>
        <v>29532.16</v>
      </c>
      <c r="W134" s="145">
        <f>46371.36 * (1+H3)</f>
        <v>46371.360000000001</v>
      </c>
      <c r="X134" s="145">
        <f>56500 * (1+H3)</f>
        <v>56500</v>
      </c>
      <c r="Y134" s="145">
        <f>39588.15 * (1+H3)</f>
        <v>39588.15</v>
      </c>
      <c r="Z134" s="145">
        <f>50059.52 * (1+H3)</f>
        <v>50059.519999999997</v>
      </c>
      <c r="AA134" s="145">
        <f>49396.48 * (1+H3)</f>
        <v>49396.480000000003</v>
      </c>
      <c r="AB134" s="145">
        <f>75182 * (1+H3)</f>
        <v>75182</v>
      </c>
    </row>
    <row r="135" spans="3:28" x14ac:dyDescent="0.25">
      <c r="C135" s="144">
        <f>35</f>
        <v>35</v>
      </c>
      <c r="D135" s="145">
        <f>24409.71 * (1+H3)</f>
        <v>24409.71</v>
      </c>
      <c r="E135" s="145">
        <f>36129.6 * (1+H3)</f>
        <v>36129.599999999999</v>
      </c>
      <c r="F135" s="145">
        <f>10490.4 * (1+H3)</f>
        <v>10490.4</v>
      </c>
      <c r="G135" s="145">
        <f>57815 * (1+H3)</f>
        <v>57815</v>
      </c>
      <c r="H135" s="145">
        <f>38995.04 * (1+H3)</f>
        <v>38995.040000000001</v>
      </c>
      <c r="I135" s="145">
        <f>21576 * (1+H3)</f>
        <v>21576</v>
      </c>
      <c r="J135" s="145">
        <f>28304 * (1+H3)</f>
        <v>28304</v>
      </c>
      <c r="K135" s="145">
        <f>66953 * (1+H3)</f>
        <v>66953</v>
      </c>
      <c r="L135" s="145">
        <f>77000 * (1+H3)</f>
        <v>77000</v>
      </c>
      <c r="M135" s="145">
        <f>63505 * (1+H3)</f>
        <v>63505</v>
      </c>
      <c r="N135" s="145">
        <f>23287.46 * (1+H3)</f>
        <v>23287.46</v>
      </c>
      <c r="O135" s="145">
        <f>25593.4 * (1+H3)</f>
        <v>25593.4</v>
      </c>
      <c r="P135" s="145">
        <f>30661.4 * (1+H3)</f>
        <v>30661.4</v>
      </c>
      <c r="Q135" s="145">
        <f>22261.19 * (1+H3)</f>
        <v>22261.19</v>
      </c>
      <c r="R135" s="145">
        <f>26079.06 * (1+H3)</f>
        <v>26079.06</v>
      </c>
      <c r="S135" s="145">
        <f>40880.56 * (1+H3)</f>
        <v>40880.559999999998</v>
      </c>
      <c r="T135" s="145">
        <f>44713.76 * (1+H3)</f>
        <v>44713.760000000002</v>
      </c>
      <c r="U135" s="145">
        <f>69740 * (1+H3)</f>
        <v>69740</v>
      </c>
      <c r="V135" s="145">
        <f>29532.16 * (1+H3)</f>
        <v>29532.16</v>
      </c>
      <c r="W135" s="145">
        <f>46371.36 * (1+H3)</f>
        <v>46371.360000000001</v>
      </c>
      <c r="X135" s="145">
        <f>56500 * (1+H3)</f>
        <v>56500</v>
      </c>
      <c r="Y135" s="145">
        <f>39588.15 * (1+H3)</f>
        <v>39588.15</v>
      </c>
      <c r="Z135" s="145">
        <f>50059.52 * (1+H3)</f>
        <v>50059.519999999997</v>
      </c>
      <c r="AA135" s="145">
        <f>49396.48 * (1+H3)</f>
        <v>49396.480000000003</v>
      </c>
      <c r="AB135" s="145">
        <f>75182 * (1+H3)</f>
        <v>75182</v>
      </c>
    </row>
    <row r="136" spans="3:28" x14ac:dyDescent="0.25">
      <c r="C136" s="144">
        <f>36</f>
        <v>36</v>
      </c>
      <c r="D136" s="145">
        <f>24409.71 * (1+H3)</f>
        <v>24409.71</v>
      </c>
      <c r="E136" s="145">
        <f>36129.6 * (1+H3)</f>
        <v>36129.599999999999</v>
      </c>
      <c r="F136" s="145">
        <f>10490.4 * (1+H3)</f>
        <v>10490.4</v>
      </c>
      <c r="G136" s="145">
        <f>57815 * (1+H3)</f>
        <v>57815</v>
      </c>
      <c r="H136" s="145">
        <f>38995.04 * (1+H3)</f>
        <v>38995.040000000001</v>
      </c>
      <c r="I136" s="145">
        <f>21576 * (1+H3)</f>
        <v>21576</v>
      </c>
      <c r="J136" s="145">
        <f>28304 * (1+H3)</f>
        <v>28304</v>
      </c>
      <c r="K136" s="145">
        <f>66953 * (1+H3)</f>
        <v>66953</v>
      </c>
      <c r="L136" s="145">
        <f>77000 * (1+H3)</f>
        <v>77000</v>
      </c>
      <c r="M136" s="145">
        <f>63505 * (1+H3)</f>
        <v>63505</v>
      </c>
      <c r="N136" s="145">
        <f>23287.46 * (1+H3)</f>
        <v>23287.46</v>
      </c>
      <c r="O136" s="145">
        <f>25593.4 * (1+H3)</f>
        <v>25593.4</v>
      </c>
      <c r="P136" s="145">
        <f>30661.4 * (1+H3)</f>
        <v>30661.4</v>
      </c>
      <c r="Q136" s="145">
        <f>22261.19 * (1+H3)</f>
        <v>22261.19</v>
      </c>
      <c r="R136" s="145">
        <f>26079.06 * (1+H3)</f>
        <v>26079.06</v>
      </c>
      <c r="S136" s="145">
        <f>40880.56 * (1+H3)</f>
        <v>40880.559999999998</v>
      </c>
      <c r="T136" s="145">
        <f>44713.76 * (1+H3)</f>
        <v>44713.760000000002</v>
      </c>
      <c r="U136" s="145">
        <f>69740 * (1+H3)</f>
        <v>69740</v>
      </c>
      <c r="V136" s="145">
        <f>29532.16 * (1+H3)</f>
        <v>29532.16</v>
      </c>
      <c r="W136" s="145">
        <f>46371.36 * (1+H3)</f>
        <v>46371.360000000001</v>
      </c>
      <c r="X136" s="145">
        <f>56500 * (1+H3)</f>
        <v>56500</v>
      </c>
      <c r="Y136" s="145">
        <f>39588.15 * (1+H3)</f>
        <v>39588.15</v>
      </c>
      <c r="Z136" s="145">
        <f>50059.52 * (1+H3)</f>
        <v>50059.519999999997</v>
      </c>
      <c r="AA136" s="145">
        <f>49396.48 * (1+H3)</f>
        <v>49396.480000000003</v>
      </c>
      <c r="AB136" s="145">
        <f>75182 * (1+H3)</f>
        <v>75182</v>
      </c>
    </row>
    <row r="137" spans="3:28" x14ac:dyDescent="0.25">
      <c r="C137" s="144">
        <f>37</f>
        <v>37</v>
      </c>
      <c r="D137" s="145">
        <f>24409.71 * (1+H3)</f>
        <v>24409.71</v>
      </c>
      <c r="E137" s="145">
        <f>36129.6 * (1+H3)</f>
        <v>36129.599999999999</v>
      </c>
      <c r="F137" s="145">
        <f>10490.4 * (1+H3)</f>
        <v>10490.4</v>
      </c>
      <c r="G137" s="145">
        <f>57815 * (1+H3)</f>
        <v>57815</v>
      </c>
      <c r="H137" s="145">
        <f>38995.04 * (1+H3)</f>
        <v>38995.040000000001</v>
      </c>
      <c r="I137" s="145">
        <f>21576 * (1+H3)</f>
        <v>21576</v>
      </c>
      <c r="J137" s="145">
        <f>28304 * (1+H3)</f>
        <v>28304</v>
      </c>
      <c r="K137" s="145">
        <f>66953 * (1+H3)</f>
        <v>66953</v>
      </c>
      <c r="L137" s="145">
        <f>77000 * (1+H3)</f>
        <v>77000</v>
      </c>
      <c r="M137" s="145">
        <f>63505 * (1+H3)</f>
        <v>63505</v>
      </c>
      <c r="N137" s="145">
        <f>23287.46 * (1+H3)</f>
        <v>23287.46</v>
      </c>
      <c r="O137" s="145">
        <f>25593.4 * (1+H3)</f>
        <v>25593.4</v>
      </c>
      <c r="P137" s="145">
        <f>30661.4 * (1+H3)</f>
        <v>30661.4</v>
      </c>
      <c r="Q137" s="145">
        <f>22261.19 * (1+H3)</f>
        <v>22261.19</v>
      </c>
      <c r="R137" s="145">
        <f>26079.06 * (1+H3)</f>
        <v>26079.06</v>
      </c>
      <c r="S137" s="145">
        <f>40880.56 * (1+H3)</f>
        <v>40880.559999999998</v>
      </c>
      <c r="T137" s="145">
        <f>44713.76 * (1+H3)</f>
        <v>44713.760000000002</v>
      </c>
      <c r="U137" s="145">
        <f>69740 * (1+H3)</f>
        <v>69740</v>
      </c>
      <c r="V137" s="145">
        <f>29532.16 * (1+H3)</f>
        <v>29532.16</v>
      </c>
      <c r="W137" s="145">
        <f>46371.36 * (1+H3)</f>
        <v>46371.360000000001</v>
      </c>
      <c r="X137" s="145">
        <f>56500 * (1+H3)</f>
        <v>56500</v>
      </c>
      <c r="Y137" s="145">
        <f>39588.15 * (1+H3)</f>
        <v>39588.15</v>
      </c>
      <c r="Z137" s="145">
        <f>50059.52 * (1+H3)</f>
        <v>50059.519999999997</v>
      </c>
      <c r="AA137" s="145">
        <f>49396.48 * (1+H3)</f>
        <v>49396.480000000003</v>
      </c>
      <c r="AB137" s="145">
        <f>75182 * (1+H3)</f>
        <v>75182</v>
      </c>
    </row>
    <row r="138" spans="3:28" x14ac:dyDescent="0.25">
      <c r="C138" s="144">
        <f>38</f>
        <v>38</v>
      </c>
      <c r="D138" s="145">
        <f>24409.71 * (1+H3)</f>
        <v>24409.71</v>
      </c>
      <c r="E138" s="145">
        <f>36129.6 * (1+H3)</f>
        <v>36129.599999999999</v>
      </c>
      <c r="F138" s="145">
        <f>10490.4 * (1+H3)</f>
        <v>10490.4</v>
      </c>
      <c r="G138" s="145">
        <f>57815 * (1+H3)</f>
        <v>57815</v>
      </c>
      <c r="H138" s="145">
        <f>38995.04 * (1+H3)</f>
        <v>38995.040000000001</v>
      </c>
      <c r="I138" s="145">
        <f>21576 * (1+H3)</f>
        <v>21576</v>
      </c>
      <c r="J138" s="145">
        <f>28304 * (1+H3)</f>
        <v>28304</v>
      </c>
      <c r="K138" s="145">
        <f>66953 * (1+H3)</f>
        <v>66953</v>
      </c>
      <c r="L138" s="145">
        <f>77000 * (1+H3)</f>
        <v>77000</v>
      </c>
      <c r="M138" s="145">
        <f>63505 * (1+H3)</f>
        <v>63505</v>
      </c>
      <c r="N138" s="145">
        <f>23287.46 * (1+H3)</f>
        <v>23287.46</v>
      </c>
      <c r="O138" s="145">
        <f>25593.4 * (1+H3)</f>
        <v>25593.4</v>
      </c>
      <c r="P138" s="145">
        <f>30661.4 * (1+H3)</f>
        <v>30661.4</v>
      </c>
      <c r="Q138" s="145">
        <f>22261.19 * (1+H3)</f>
        <v>22261.19</v>
      </c>
      <c r="R138" s="145">
        <f>26079.06 * (1+H3)</f>
        <v>26079.06</v>
      </c>
      <c r="S138" s="145">
        <f>40880.56 * (1+H3)</f>
        <v>40880.559999999998</v>
      </c>
      <c r="T138" s="145">
        <f>44713.76 * (1+H3)</f>
        <v>44713.760000000002</v>
      </c>
      <c r="U138" s="145">
        <f>69740 * (1+H3)</f>
        <v>69740</v>
      </c>
      <c r="V138" s="145">
        <f>29532.16 * (1+H3)</f>
        <v>29532.16</v>
      </c>
      <c r="W138" s="145">
        <f>46371.36 * (1+H3)</f>
        <v>46371.360000000001</v>
      </c>
      <c r="X138" s="145">
        <f>56500 * (1+H3)</f>
        <v>56500</v>
      </c>
      <c r="Y138" s="145">
        <f>39588.15 * (1+H3)</f>
        <v>39588.15</v>
      </c>
      <c r="Z138" s="145">
        <f>50059.52 * (1+H3)</f>
        <v>50059.519999999997</v>
      </c>
      <c r="AA138" s="145">
        <f>49396.48 * (1+H3)</f>
        <v>49396.480000000003</v>
      </c>
      <c r="AB138" s="145">
        <f>75182 * (1+H3)</f>
        <v>75182</v>
      </c>
    </row>
    <row r="139" spans="3:28" x14ac:dyDescent="0.25">
      <c r="C139" s="144">
        <f>39</f>
        <v>39</v>
      </c>
      <c r="D139" s="145">
        <f>24409.71 * (1+H3)</f>
        <v>24409.71</v>
      </c>
      <c r="E139" s="145">
        <f>36129.6 * (1+H3)</f>
        <v>36129.599999999999</v>
      </c>
      <c r="F139" s="145">
        <f>10490.4 * (1+H3)</f>
        <v>10490.4</v>
      </c>
      <c r="G139" s="145">
        <f>57815 * (1+H3)</f>
        <v>57815</v>
      </c>
      <c r="H139" s="145">
        <f>38995.04 * (1+H3)</f>
        <v>38995.040000000001</v>
      </c>
      <c r="I139" s="145">
        <f>21576 * (1+H3)</f>
        <v>21576</v>
      </c>
      <c r="J139" s="145">
        <f>28304 * (1+H3)</f>
        <v>28304</v>
      </c>
      <c r="K139" s="145">
        <f>66953 * (1+H3)</f>
        <v>66953</v>
      </c>
      <c r="L139" s="145">
        <f>77000 * (1+H3)</f>
        <v>77000</v>
      </c>
      <c r="M139" s="145">
        <f>63505 * (1+H3)</f>
        <v>63505</v>
      </c>
      <c r="N139" s="145">
        <f>23287.46 * (1+H3)</f>
        <v>23287.46</v>
      </c>
      <c r="O139" s="145">
        <f>25593.4 * (1+H3)</f>
        <v>25593.4</v>
      </c>
      <c r="P139" s="145">
        <f>30661.4 * (1+H3)</f>
        <v>30661.4</v>
      </c>
      <c r="Q139" s="145">
        <f>22261.19 * (1+H3)</f>
        <v>22261.19</v>
      </c>
      <c r="R139" s="145">
        <f>26079.06 * (1+H3)</f>
        <v>26079.06</v>
      </c>
      <c r="S139" s="145">
        <f>40880.56 * (1+H3)</f>
        <v>40880.559999999998</v>
      </c>
      <c r="T139" s="145">
        <f>44713.76 * (1+H3)</f>
        <v>44713.760000000002</v>
      </c>
      <c r="U139" s="145">
        <f>69740 * (1+H3)</f>
        <v>69740</v>
      </c>
      <c r="V139" s="145">
        <f>29532.16 * (1+H3)</f>
        <v>29532.16</v>
      </c>
      <c r="W139" s="145">
        <f>46371.36 * (1+H3)</f>
        <v>46371.360000000001</v>
      </c>
      <c r="X139" s="145">
        <f>56500 * (1+H3)</f>
        <v>56500</v>
      </c>
      <c r="Y139" s="145">
        <f>39588.15 * (1+H3)</f>
        <v>39588.15</v>
      </c>
      <c r="Z139" s="145">
        <f>50059.52 * (1+H3)</f>
        <v>50059.519999999997</v>
      </c>
      <c r="AA139" s="145">
        <f>49396.48 * (1+H3)</f>
        <v>49396.480000000003</v>
      </c>
      <c r="AB139" s="145">
        <f>75182 * (1+H3)</f>
        <v>75182</v>
      </c>
    </row>
    <row r="140" spans="3:28" x14ac:dyDescent="0.25">
      <c r="C140" s="144">
        <f>40</f>
        <v>40</v>
      </c>
      <c r="D140" s="145">
        <f>24409.71 * (1+H3)</f>
        <v>24409.71</v>
      </c>
      <c r="E140" s="145">
        <f>36129.6 * (1+H3)</f>
        <v>36129.599999999999</v>
      </c>
      <c r="F140" s="145">
        <f>10490.4 * (1+H3)</f>
        <v>10490.4</v>
      </c>
      <c r="G140" s="145">
        <f>57815 * (1+H3)</f>
        <v>57815</v>
      </c>
      <c r="H140" s="145">
        <f>38995.04 * (1+H3)</f>
        <v>38995.040000000001</v>
      </c>
      <c r="I140" s="145">
        <f>21576 * (1+H3)</f>
        <v>21576</v>
      </c>
      <c r="J140" s="145">
        <f>28304 * (1+H3)</f>
        <v>28304</v>
      </c>
      <c r="K140" s="145">
        <f>66953 * (1+H3)</f>
        <v>66953</v>
      </c>
      <c r="L140" s="145">
        <f>77000 * (1+H3)</f>
        <v>77000</v>
      </c>
      <c r="M140" s="145">
        <f>63505 * (1+H3)</f>
        <v>63505</v>
      </c>
      <c r="N140" s="145">
        <f>23287.46 * (1+H3)</f>
        <v>23287.46</v>
      </c>
      <c r="O140" s="145">
        <f>25593.4 * (1+H3)</f>
        <v>25593.4</v>
      </c>
      <c r="P140" s="145">
        <f>30661.4 * (1+H3)</f>
        <v>30661.4</v>
      </c>
      <c r="Q140" s="145">
        <f>22261.19 * (1+H3)</f>
        <v>22261.19</v>
      </c>
      <c r="R140" s="145">
        <f>26079.06 * (1+H3)</f>
        <v>26079.06</v>
      </c>
      <c r="S140" s="145">
        <f>40880.56 * (1+H3)</f>
        <v>40880.559999999998</v>
      </c>
      <c r="T140" s="145">
        <f>44713.76 * (1+H3)</f>
        <v>44713.760000000002</v>
      </c>
      <c r="U140" s="145">
        <f>69740 * (1+H3)</f>
        <v>69740</v>
      </c>
      <c r="V140" s="145">
        <f>29532.16 * (1+H3)</f>
        <v>29532.16</v>
      </c>
      <c r="W140" s="145">
        <f>46371.36 * (1+H3)</f>
        <v>46371.360000000001</v>
      </c>
      <c r="X140" s="145">
        <f>56500 * (1+H3)</f>
        <v>56500</v>
      </c>
      <c r="Y140" s="145">
        <f>39588.15 * (1+H3)</f>
        <v>39588.15</v>
      </c>
      <c r="Z140" s="145">
        <f>50059.52 * (1+H3)</f>
        <v>50059.519999999997</v>
      </c>
      <c r="AA140" s="145">
        <f>49396.48 * (1+H3)</f>
        <v>49396.480000000003</v>
      </c>
      <c r="AB140" s="145">
        <f>75182 * (1+H3)</f>
        <v>75182</v>
      </c>
    </row>
    <row r="141" spans="3:28" x14ac:dyDescent="0.25">
      <c r="C141" s="144">
        <f>41</f>
        <v>41</v>
      </c>
      <c r="E141" s="145">
        <f>0 * (1+H3)</f>
        <v>0</v>
      </c>
      <c r="I141" s="145">
        <f>21576 * (1+H3)</f>
        <v>21576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3"/>
  <sheetViews>
    <sheetView tabSelected="1" topLeftCell="A127" workbookViewId="0">
      <selection activeCell="L144" sqref="L144"/>
    </sheetView>
  </sheetViews>
  <sheetFormatPr defaultRowHeight="15" x14ac:dyDescent="0.25"/>
  <cols>
    <col min="1" max="1" width="9.140625" style="223"/>
    <col min="2" max="2" width="11.42578125" style="223" customWidth="1"/>
    <col min="3" max="3" width="17.28515625" customWidth="1"/>
    <col min="4" max="4" width="25.140625" customWidth="1"/>
    <col min="5" max="5" width="20.28515625" customWidth="1"/>
    <col min="6" max="7" width="15.28515625" customWidth="1"/>
    <col min="8" max="8" width="12.42578125" customWidth="1"/>
    <col min="9" max="9" width="14.42578125" customWidth="1"/>
    <col min="10" max="10" width="16.28515625" customWidth="1"/>
    <col min="11" max="13" width="12.42578125" customWidth="1"/>
  </cols>
  <sheetData>
    <row r="1" spans="1:10" ht="15.75" hidden="1" x14ac:dyDescent="0.25">
      <c r="A1" s="267" t="s">
        <v>0</v>
      </c>
      <c r="B1" s="280"/>
      <c r="C1" s="267"/>
      <c r="D1" s="267"/>
      <c r="E1" s="267"/>
      <c r="F1" s="267"/>
      <c r="G1" s="267"/>
      <c r="H1" s="267"/>
      <c r="I1" s="267"/>
      <c r="J1" s="267">
        <f ca="1">NOW()</f>
        <v>45768.368190624999</v>
      </c>
    </row>
    <row r="2" spans="1:10" ht="15.75" hidden="1" x14ac:dyDescent="0.25">
      <c r="A2" s="267" t="str">
        <f>Summary!D3</f>
        <v>Dayton, KY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 hidden="1" x14ac:dyDescent="0.25">
      <c r="A3" s="222" t="s">
        <v>11</v>
      </c>
    </row>
    <row r="4" spans="1:10" ht="15.75" hidden="1" x14ac:dyDescent="0.25">
      <c r="A4" s="267" t="s">
        <v>178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ht="15.75" hidden="1" x14ac:dyDescent="0.25">
      <c r="A5" s="267" t="str">
        <f>Summary!G8 &amp; " ELEMENTARY SCHOOL MAXIMUM CLASS SIZE STAFFING"</f>
        <v>2023-2024 ELEMENTARY SCHOOL MAXIMUM CLASS SIZE STAFFING</v>
      </c>
      <c r="B5" s="267"/>
      <c r="C5" s="267"/>
      <c r="D5" s="267"/>
      <c r="E5" s="267"/>
      <c r="F5" s="267"/>
      <c r="G5" s="267"/>
      <c r="H5" s="267"/>
      <c r="I5" s="267"/>
      <c r="J5" s="267"/>
    </row>
    <row r="6" spans="1:10" ht="15.75" hidden="1" x14ac:dyDescent="0.25">
      <c r="A6" s="267" t="s">
        <v>25</v>
      </c>
      <c r="B6" s="267"/>
      <c r="C6" s="267"/>
      <c r="D6" s="267"/>
      <c r="E6" s="267"/>
      <c r="F6" s="267"/>
      <c r="G6" s="267"/>
      <c r="H6" s="267"/>
      <c r="I6" s="267"/>
      <c r="J6" s="267"/>
    </row>
    <row r="7" spans="1:10" hidden="1" x14ac:dyDescent="0.25"/>
    <row r="8" spans="1:10" ht="15.75" hidden="1" x14ac:dyDescent="0.25">
      <c r="A8" s="267" t="s">
        <v>179</v>
      </c>
      <c r="B8" s="267"/>
      <c r="C8" s="267"/>
      <c r="D8" s="267"/>
      <c r="E8" s="267"/>
      <c r="F8" s="267"/>
      <c r="G8" s="267"/>
      <c r="H8" s="267"/>
      <c r="I8" s="267"/>
      <c r="J8" s="267"/>
    </row>
    <row r="9" spans="1:10" hidden="1" x14ac:dyDescent="0.25"/>
    <row r="10" spans="1:10" hidden="1" x14ac:dyDescent="0.25">
      <c r="C10" s="147" t="s">
        <v>136</v>
      </c>
      <c r="D10" s="51"/>
      <c r="E10" s="51"/>
      <c r="F10" s="148" t="s">
        <v>22</v>
      </c>
      <c r="G10" s="148" t="s">
        <v>180</v>
      </c>
      <c r="H10" s="149" t="s">
        <v>24</v>
      </c>
    </row>
    <row r="11" spans="1:10" hidden="1" x14ac:dyDescent="0.25">
      <c r="C11" s="150" t="str">
        <f>A6</f>
        <v>LINCOLN ELEMENTARY SCHOOL</v>
      </c>
      <c r="D11" s="39"/>
      <c r="E11" s="39"/>
      <c r="F11" s="39"/>
      <c r="G11" s="151" t="s">
        <v>181</v>
      </c>
      <c r="H11" s="152" t="s">
        <v>182</v>
      </c>
    </row>
    <row r="12" spans="1:10" ht="15.75" hidden="1" x14ac:dyDescent="0.25">
      <c r="F12" s="11" t="s">
        <v>183</v>
      </c>
      <c r="G12" s="30">
        <f>ROUND(H12/48,1)</f>
        <v>1.1000000000000001</v>
      </c>
      <c r="H12" s="153">
        <v>52</v>
      </c>
    </row>
    <row r="13" spans="1:10" ht="15.75" hidden="1" x14ac:dyDescent="0.25">
      <c r="F13" s="11" t="s">
        <v>184</v>
      </c>
      <c r="G13" s="30">
        <f>ROUND(H13/24,1)</f>
        <v>2.2999999999999998</v>
      </c>
      <c r="H13" s="153">
        <v>56</v>
      </c>
    </row>
    <row r="14" spans="1:10" ht="15.75" hidden="1" x14ac:dyDescent="0.25">
      <c r="F14" s="11" t="s">
        <v>185</v>
      </c>
      <c r="G14" s="30">
        <f>ROUND(H14/24,1)</f>
        <v>2</v>
      </c>
      <c r="H14" s="153">
        <v>47</v>
      </c>
    </row>
    <row r="15" spans="1:10" ht="15.75" hidden="1" x14ac:dyDescent="0.25">
      <c r="F15" s="11" t="s">
        <v>186</v>
      </c>
      <c r="G15" s="30">
        <f>ROUND(H15/24,1)</f>
        <v>2.2999999999999998</v>
      </c>
      <c r="H15" s="153">
        <v>55</v>
      </c>
    </row>
    <row r="16" spans="1:10" ht="15.75" hidden="1" x14ac:dyDescent="0.25">
      <c r="F16" s="11" t="s">
        <v>187</v>
      </c>
      <c r="G16" s="30">
        <f>ROUND(H16/28,1)</f>
        <v>2.2999999999999998</v>
      </c>
      <c r="H16" s="153">
        <v>64</v>
      </c>
    </row>
    <row r="17" spans="3:8" ht="15.75" hidden="1" x14ac:dyDescent="0.25">
      <c r="F17" s="11" t="s">
        <v>188</v>
      </c>
      <c r="G17" s="30">
        <f>ROUND(H17/29,1)</f>
        <v>2.6</v>
      </c>
      <c r="H17" s="153">
        <v>75</v>
      </c>
    </row>
    <row r="18" spans="3:8" ht="15.75" hidden="1" x14ac:dyDescent="0.25">
      <c r="F18" s="11" t="s">
        <v>189</v>
      </c>
      <c r="G18" s="30">
        <f>ROUND(H18/29,1)</f>
        <v>2.1</v>
      </c>
      <c r="H18" s="153">
        <v>60</v>
      </c>
    </row>
    <row r="19" spans="3:8" ht="15.75" hidden="1" x14ac:dyDescent="0.25">
      <c r="F19" s="11" t="s">
        <v>94</v>
      </c>
      <c r="G19" s="154">
        <f>ROUND(SUM(G12:G18),1)</f>
        <v>14.7</v>
      </c>
      <c r="H19" s="155">
        <f>ROUND(SUM(H12:H18),1)</f>
        <v>409</v>
      </c>
    </row>
    <row r="20" spans="3:8" hidden="1" x14ac:dyDescent="0.25"/>
    <row r="21" spans="3:8" hidden="1" x14ac:dyDescent="0.25"/>
    <row r="22" spans="3:8" hidden="1" x14ac:dyDescent="0.25">
      <c r="C22" s="156" t="s">
        <v>190</v>
      </c>
      <c r="D22" s="39"/>
      <c r="E22" s="157" t="s">
        <v>191</v>
      </c>
      <c r="F22" s="157" t="s">
        <v>192</v>
      </c>
      <c r="G22" s="157" t="s">
        <v>193</v>
      </c>
      <c r="H22" s="157" t="s">
        <v>194</v>
      </c>
    </row>
    <row r="23" spans="3:8" ht="15.75" hidden="1" x14ac:dyDescent="0.25">
      <c r="C23" s="118" t="s">
        <v>55</v>
      </c>
      <c r="F23" s="158">
        <v>1</v>
      </c>
      <c r="G23" s="159"/>
      <c r="H23" s="160" t="s">
        <v>195</v>
      </c>
    </row>
    <row r="24" spans="3:8" ht="15.75" hidden="1" x14ac:dyDescent="0.25">
      <c r="C24" s="118" t="s">
        <v>70</v>
      </c>
      <c r="F24" s="158">
        <v>1</v>
      </c>
      <c r="G24" s="159"/>
      <c r="H24" s="160" t="s">
        <v>195</v>
      </c>
    </row>
    <row r="25" spans="3:8" ht="15.75" hidden="1" x14ac:dyDescent="0.25">
      <c r="C25" s="118" t="s">
        <v>71</v>
      </c>
      <c r="F25" s="158">
        <v>1</v>
      </c>
      <c r="G25" s="159"/>
      <c r="H25" s="160" t="s">
        <v>195</v>
      </c>
    </row>
    <row r="26" spans="3:8" ht="15.75" hidden="1" x14ac:dyDescent="0.25">
      <c r="C26" s="118" t="s">
        <v>56</v>
      </c>
      <c r="F26" s="158">
        <f>ROUND(H19/G26,1)</f>
        <v>17</v>
      </c>
      <c r="G26" s="159">
        <v>24</v>
      </c>
      <c r="H26" s="160" t="s">
        <v>196</v>
      </c>
    </row>
    <row r="27" spans="3:8" ht="15.75" hidden="1" x14ac:dyDescent="0.25">
      <c r="C27" s="118" t="s">
        <v>72</v>
      </c>
      <c r="F27" s="158">
        <v>1</v>
      </c>
      <c r="G27" s="159"/>
      <c r="H27" s="160" t="s">
        <v>195</v>
      </c>
    </row>
    <row r="28" spans="3:8" ht="15.75" hidden="1" x14ac:dyDescent="0.25">
      <c r="C28" s="118" t="s">
        <v>57</v>
      </c>
      <c r="F28" s="158">
        <f>ROUND(H19/G28,1)</f>
        <v>13.2</v>
      </c>
      <c r="G28" s="159">
        <v>31</v>
      </c>
      <c r="H28" s="160" t="s">
        <v>196</v>
      </c>
    </row>
    <row r="29" spans="3:8" ht="15.75" hidden="1" x14ac:dyDescent="0.25">
      <c r="C29" s="118" t="s">
        <v>58</v>
      </c>
      <c r="F29" s="158">
        <v>1</v>
      </c>
      <c r="G29" s="159"/>
      <c r="H29" s="160" t="s">
        <v>195</v>
      </c>
    </row>
    <row r="30" spans="3:8" ht="15.75" hidden="1" x14ac:dyDescent="0.25">
      <c r="C30" s="118" t="s">
        <v>73</v>
      </c>
      <c r="F30" s="158">
        <v>2</v>
      </c>
      <c r="G30" s="159"/>
      <c r="H30" s="160" t="s">
        <v>195</v>
      </c>
    </row>
    <row r="31" spans="3:8" ht="15.75" hidden="1" x14ac:dyDescent="0.25">
      <c r="C31" s="118" t="s">
        <v>59</v>
      </c>
      <c r="F31" s="158">
        <f>ROUND(H19/G31,1)</f>
        <v>13.2</v>
      </c>
      <c r="G31" s="159">
        <v>31</v>
      </c>
      <c r="H31" s="160" t="s">
        <v>196</v>
      </c>
    </row>
    <row r="32" spans="3:8" ht="15.75" hidden="1" x14ac:dyDescent="0.25">
      <c r="C32" s="118" t="s">
        <v>74</v>
      </c>
      <c r="F32" s="158">
        <v>2</v>
      </c>
      <c r="G32" s="159"/>
      <c r="H32" s="160" t="s">
        <v>195</v>
      </c>
    </row>
    <row r="33" spans="1:10" ht="15.75" hidden="1" x14ac:dyDescent="0.25">
      <c r="C33" s="118" t="s">
        <v>60</v>
      </c>
      <c r="F33" s="158">
        <f>ROUND(H19/G33,1)</f>
        <v>17</v>
      </c>
      <c r="G33" s="159">
        <v>24</v>
      </c>
      <c r="H33" s="160" t="s">
        <v>196</v>
      </c>
    </row>
    <row r="34" spans="1:10" ht="15.75" hidden="1" x14ac:dyDescent="0.25">
      <c r="C34" s="118" t="s">
        <v>61</v>
      </c>
      <c r="F34" s="158">
        <v>1</v>
      </c>
      <c r="G34" s="159"/>
      <c r="H34" s="160" t="s">
        <v>195</v>
      </c>
    </row>
    <row r="35" spans="1:10" ht="15.75" hidden="1" x14ac:dyDescent="0.25">
      <c r="C35" s="118" t="s">
        <v>62</v>
      </c>
      <c r="F35" s="158">
        <v>1</v>
      </c>
      <c r="G35" s="159"/>
      <c r="H35" s="160" t="s">
        <v>195</v>
      </c>
    </row>
    <row r="36" spans="1:10" ht="15.75" hidden="1" x14ac:dyDescent="0.25">
      <c r="C36" s="118" t="s">
        <v>63</v>
      </c>
      <c r="F36" s="158">
        <v>0</v>
      </c>
      <c r="G36" s="159"/>
      <c r="H36" s="160" t="s">
        <v>195</v>
      </c>
    </row>
    <row r="37" spans="1:10" hidden="1" x14ac:dyDescent="0.25"/>
    <row r="38" spans="1:10" ht="15.75" hidden="1" x14ac:dyDescent="0.25">
      <c r="A38" s="267" t="s">
        <v>179</v>
      </c>
      <c r="B38" s="267"/>
      <c r="C38" s="267"/>
      <c r="D38" s="267"/>
      <c r="E38" s="267"/>
      <c r="F38" s="267"/>
      <c r="G38" s="267"/>
      <c r="H38" s="267"/>
      <c r="I38" s="267"/>
      <c r="J38" s="267"/>
    </row>
    <row r="39" spans="1:10" hidden="1" x14ac:dyDescent="0.25"/>
    <row r="40" spans="1:10" ht="15.75" hidden="1" x14ac:dyDescent="0.25">
      <c r="A40" s="279" t="s">
        <v>197</v>
      </c>
      <c r="B40" s="279"/>
      <c r="C40" s="279"/>
      <c r="D40" s="279"/>
      <c r="E40" s="279"/>
      <c r="F40" s="279"/>
      <c r="G40" s="279"/>
      <c r="H40" s="279"/>
      <c r="I40" s="279"/>
      <c r="J40" s="279"/>
    </row>
    <row r="41" spans="1:10" hidden="1" x14ac:dyDescent="0.25">
      <c r="A41" s="224" t="s">
        <v>198</v>
      </c>
      <c r="B41" s="233" t="s">
        <v>199</v>
      </c>
      <c r="C41" s="161" t="s">
        <v>200</v>
      </c>
      <c r="D41" s="161" t="s">
        <v>201</v>
      </c>
      <c r="E41" s="161" t="e">
        <f>DETAIL JC</f>
        <v>#NAME?</v>
      </c>
      <c r="F41" s="161" t="s">
        <v>202</v>
      </c>
      <c r="G41" s="161" t="s">
        <v>203</v>
      </c>
      <c r="H41" s="161" t="s">
        <v>93</v>
      </c>
      <c r="I41" s="161" t="s">
        <v>204</v>
      </c>
      <c r="J41" s="162"/>
    </row>
    <row r="42" spans="1:10" hidden="1" x14ac:dyDescent="0.25">
      <c r="A42" s="225" t="s">
        <v>205</v>
      </c>
      <c r="B42" s="234" t="s">
        <v>204</v>
      </c>
      <c r="C42" s="163" t="s">
        <v>206</v>
      </c>
      <c r="D42" s="39"/>
      <c r="E42" s="163" t="s">
        <v>204</v>
      </c>
      <c r="F42" s="39"/>
      <c r="G42" s="39"/>
      <c r="H42" s="163" t="str">
        <f>IF((SalarySchedule!H2 + SalarySchedule!J2) = 0,Summary!G8,"PROJECTED")</f>
        <v>2023-2024</v>
      </c>
      <c r="I42" s="163" t="s">
        <v>207</v>
      </c>
      <c r="J42" s="164" t="s">
        <v>208</v>
      </c>
    </row>
    <row r="43" spans="1:10" ht="15.75" hidden="1" x14ac:dyDescent="0.25">
      <c r="A43" s="226" t="s">
        <v>209</v>
      </c>
      <c r="B43" s="235" t="s">
        <v>61</v>
      </c>
      <c r="C43" s="165">
        <v>1</v>
      </c>
      <c r="D43" s="251" t="s">
        <v>235</v>
      </c>
      <c r="E43" s="115" t="s">
        <v>236</v>
      </c>
      <c r="F43" s="166">
        <v>30</v>
      </c>
      <c r="G43" s="160" t="s">
        <v>38</v>
      </c>
      <c r="H43" s="36">
        <f>ROUND(HLOOKUP(G43,SalarySchedule!C6:G48,(F43+2+SalarySchedule!J2),FALSE)*C43,FALSE)</f>
        <v>78295</v>
      </c>
      <c r="I43" s="167" t="s">
        <v>212</v>
      </c>
      <c r="J43" s="167" t="s">
        <v>213</v>
      </c>
    </row>
    <row r="44" spans="1:10" ht="15.75" hidden="1" x14ac:dyDescent="0.25">
      <c r="A44" s="226" t="s">
        <v>209</v>
      </c>
      <c r="B44" s="235" t="s">
        <v>55</v>
      </c>
      <c r="C44" s="165">
        <v>1</v>
      </c>
      <c r="D44" s="251" t="s">
        <v>210</v>
      </c>
      <c r="E44" s="115" t="s">
        <v>211</v>
      </c>
      <c r="F44" s="166">
        <v>25</v>
      </c>
      <c r="G44" s="160" t="s">
        <v>38</v>
      </c>
      <c r="H44" s="36">
        <f>ROUND(HLOOKUP(G44,SalarySchedule!C6:G48,(F44+2+SalarySchedule!J2),FALSE)*C44,FALSE)</f>
        <v>74461</v>
      </c>
      <c r="I44" s="167" t="s">
        <v>212</v>
      </c>
      <c r="J44" s="167" t="s">
        <v>213</v>
      </c>
    </row>
    <row r="45" spans="1:10" ht="15.75" hidden="1" x14ac:dyDescent="0.25">
      <c r="A45" s="226" t="s">
        <v>237</v>
      </c>
      <c r="B45" s="235" t="s">
        <v>62</v>
      </c>
      <c r="C45" s="165">
        <v>1</v>
      </c>
      <c r="D45" s="251" t="s">
        <v>238</v>
      </c>
      <c r="E45" s="115" t="s">
        <v>239</v>
      </c>
      <c r="F45" s="166">
        <v>14</v>
      </c>
      <c r="G45" s="160" t="s">
        <v>149</v>
      </c>
      <c r="H45" s="36">
        <f>ROUND(HLOOKUP(G45,SalarySchedule!C6:G48,(F45+2+SalarySchedule!J2),FALSE)*C45,FALSE)</f>
        <v>59336</v>
      </c>
      <c r="I45" s="167" t="s">
        <v>212</v>
      </c>
      <c r="J45" s="167" t="s">
        <v>213</v>
      </c>
    </row>
    <row r="46" spans="1:10" ht="15.75" hidden="1" x14ac:dyDescent="0.25">
      <c r="A46" s="226" t="s">
        <v>214</v>
      </c>
      <c r="B46" s="235" t="s">
        <v>56</v>
      </c>
      <c r="C46" s="165">
        <v>1</v>
      </c>
      <c r="D46" s="251" t="s">
        <v>215</v>
      </c>
      <c r="E46" s="115" t="s">
        <v>216</v>
      </c>
      <c r="F46" s="166">
        <v>24</v>
      </c>
      <c r="G46" s="160" t="s">
        <v>149</v>
      </c>
      <c r="H46" s="36">
        <f>ROUND(HLOOKUP(G46,SalarySchedule!C6:G48,(F46+2+SalarySchedule!J2),FALSE)*C46,FALSE)</f>
        <v>67389</v>
      </c>
      <c r="I46" s="167" t="s">
        <v>212</v>
      </c>
      <c r="J46" s="167" t="s">
        <v>213</v>
      </c>
    </row>
    <row r="47" spans="1:10" ht="15.75" hidden="1" x14ac:dyDescent="0.25">
      <c r="A47" s="226" t="s">
        <v>214</v>
      </c>
      <c r="B47" s="235" t="s">
        <v>56</v>
      </c>
      <c r="C47" s="165">
        <v>1</v>
      </c>
      <c r="D47" s="251" t="s">
        <v>218</v>
      </c>
      <c r="E47" s="115" t="s">
        <v>216</v>
      </c>
      <c r="F47" s="166">
        <v>20</v>
      </c>
      <c r="G47" s="160" t="s">
        <v>149</v>
      </c>
      <c r="H47" s="36">
        <f>ROUND(HLOOKUP(G47,SalarySchedule!C6:G48,(F47+2+SalarySchedule!J2),FALSE)*C47,FALSE)</f>
        <v>63851</v>
      </c>
      <c r="I47" s="167" t="s">
        <v>212</v>
      </c>
      <c r="J47" s="167" t="s">
        <v>213</v>
      </c>
    </row>
    <row r="48" spans="1:10" ht="15.75" hidden="1" x14ac:dyDescent="0.25">
      <c r="A48" s="226" t="s">
        <v>214</v>
      </c>
      <c r="B48" s="235" t="s">
        <v>56</v>
      </c>
      <c r="C48" s="165">
        <v>1</v>
      </c>
      <c r="D48" s="251" t="s">
        <v>219</v>
      </c>
      <c r="E48" s="115" t="s">
        <v>216</v>
      </c>
      <c r="F48" s="166">
        <v>30</v>
      </c>
      <c r="G48" s="160" t="s">
        <v>149</v>
      </c>
      <c r="H48" s="36">
        <f>ROUND(HLOOKUP(G48,SalarySchedule!C6:G48,(F48+2+SalarySchedule!J2),FALSE)*C48,FALSE)</f>
        <v>72005</v>
      </c>
      <c r="I48" s="167" t="s">
        <v>212</v>
      </c>
      <c r="J48" s="167" t="s">
        <v>213</v>
      </c>
    </row>
    <row r="49" spans="1:10" ht="15.75" hidden="1" x14ac:dyDescent="0.25">
      <c r="A49" s="226" t="s">
        <v>214</v>
      </c>
      <c r="B49" s="235" t="s">
        <v>56</v>
      </c>
      <c r="C49" s="165">
        <v>1</v>
      </c>
      <c r="D49" s="251" t="s">
        <v>220</v>
      </c>
      <c r="E49" s="115" t="s">
        <v>216</v>
      </c>
      <c r="F49" s="166">
        <v>5</v>
      </c>
      <c r="G49" s="160" t="s">
        <v>150</v>
      </c>
      <c r="H49" s="36">
        <f>ROUND(HLOOKUP(G49,SalarySchedule!C6:G48,(F49+2+SalarySchedule!J2),FALSE)*C49,FALSE)</f>
        <v>46623</v>
      </c>
      <c r="I49" s="167" t="s">
        <v>212</v>
      </c>
      <c r="J49" s="167" t="s">
        <v>213</v>
      </c>
    </row>
    <row r="50" spans="1:10" ht="15.75" hidden="1" x14ac:dyDescent="0.25">
      <c r="A50" s="226" t="s">
        <v>214</v>
      </c>
      <c r="B50" s="235" t="s">
        <v>56</v>
      </c>
      <c r="C50" s="165">
        <v>1</v>
      </c>
      <c r="D50" s="251" t="s">
        <v>221</v>
      </c>
      <c r="E50" s="115" t="s">
        <v>216</v>
      </c>
      <c r="F50" s="166">
        <v>15</v>
      </c>
      <c r="G50" s="160" t="s">
        <v>150</v>
      </c>
      <c r="H50" s="36">
        <f>ROUND(HLOOKUP(G50,SalarySchedule!C6:G48,(F50+2+SalarySchedule!J2),FALSE)*C50,FALSE)</f>
        <v>55514</v>
      </c>
      <c r="I50" s="167" t="s">
        <v>212</v>
      </c>
      <c r="J50" s="167" t="s">
        <v>213</v>
      </c>
    </row>
    <row r="51" spans="1:10" ht="15.75" hidden="1" x14ac:dyDescent="0.25">
      <c r="A51" s="226" t="s">
        <v>214</v>
      </c>
      <c r="B51" s="235" t="s">
        <v>56</v>
      </c>
      <c r="C51" s="165">
        <v>1</v>
      </c>
      <c r="D51" s="251" t="s">
        <v>309</v>
      </c>
      <c r="E51" s="115" t="s">
        <v>216</v>
      </c>
      <c r="F51" s="166">
        <v>5</v>
      </c>
      <c r="G51" s="160" t="s">
        <v>150</v>
      </c>
      <c r="H51" s="36">
        <v>43648</v>
      </c>
      <c r="I51" s="167" t="s">
        <v>212</v>
      </c>
      <c r="J51" s="167" t="s">
        <v>213</v>
      </c>
    </row>
    <row r="52" spans="1:10" ht="15.75" hidden="1" x14ac:dyDescent="0.25">
      <c r="A52" s="226" t="s">
        <v>214</v>
      </c>
      <c r="B52" s="235" t="s">
        <v>56</v>
      </c>
      <c r="C52" s="165">
        <v>1</v>
      </c>
      <c r="D52" s="251" t="s">
        <v>310</v>
      </c>
      <c r="E52" s="115" t="s">
        <v>216</v>
      </c>
      <c r="F52" s="166">
        <v>1</v>
      </c>
      <c r="G52" s="160" t="s">
        <v>150</v>
      </c>
      <c r="H52" s="36">
        <v>43648</v>
      </c>
      <c r="I52" s="167" t="s">
        <v>212</v>
      </c>
      <c r="J52" s="167" t="s">
        <v>213</v>
      </c>
    </row>
    <row r="53" spans="1:10" ht="15.75" hidden="1" x14ac:dyDescent="0.25">
      <c r="A53" s="226" t="s">
        <v>214</v>
      </c>
      <c r="B53" s="235" t="s">
        <v>56</v>
      </c>
      <c r="C53" s="165">
        <v>1</v>
      </c>
      <c r="D53" s="251" t="s">
        <v>222</v>
      </c>
      <c r="E53" s="115" t="s">
        <v>216</v>
      </c>
      <c r="F53" s="166">
        <v>10</v>
      </c>
      <c r="G53" s="160" t="s">
        <v>149</v>
      </c>
      <c r="H53" s="36">
        <f>ROUND(HLOOKUP(G53,SalarySchedule!C6:G48,(F53+2+SalarySchedule!J2),FALSE)*C53,FALSE)</f>
        <v>57008</v>
      </c>
      <c r="I53" s="167" t="s">
        <v>212</v>
      </c>
      <c r="J53" s="167" t="s">
        <v>213</v>
      </c>
    </row>
    <row r="54" spans="1:10" ht="15.75" hidden="1" x14ac:dyDescent="0.25">
      <c r="A54" s="226" t="s">
        <v>214</v>
      </c>
      <c r="B54" s="235" t="s">
        <v>60</v>
      </c>
      <c r="C54" s="165">
        <v>1</v>
      </c>
      <c r="D54" s="251" t="s">
        <v>226</v>
      </c>
      <c r="E54" s="115" t="s">
        <v>227</v>
      </c>
      <c r="F54" s="166">
        <v>26</v>
      </c>
      <c r="G54" s="160" t="s">
        <v>149</v>
      </c>
      <c r="H54" s="36">
        <f>ROUND(HLOOKUP(G54,SalarySchedule!C6:G48,(F54+2+SalarySchedule!J2),FALSE)*C54,FALSE)</f>
        <v>69121</v>
      </c>
      <c r="I54" s="167" t="s">
        <v>212</v>
      </c>
      <c r="J54" s="167" t="s">
        <v>213</v>
      </c>
    </row>
    <row r="55" spans="1:10" ht="15.75" hidden="1" x14ac:dyDescent="0.25">
      <c r="A55" s="226" t="s">
        <v>214</v>
      </c>
      <c r="B55" s="235" t="s">
        <v>60</v>
      </c>
      <c r="C55" s="165">
        <v>1</v>
      </c>
      <c r="D55" s="251" t="s">
        <v>228</v>
      </c>
      <c r="E55" s="115" t="s">
        <v>227</v>
      </c>
      <c r="F55" s="166">
        <v>19</v>
      </c>
      <c r="G55" s="160" t="s">
        <v>149</v>
      </c>
      <c r="H55" s="36">
        <f>ROUND(HLOOKUP(G55,SalarySchedule!C6:G48,(F55+2+SalarySchedule!J2),FALSE)*C55,FALSE)</f>
        <v>62780</v>
      </c>
      <c r="I55" s="167" t="s">
        <v>212</v>
      </c>
      <c r="J55" s="167" t="s">
        <v>213</v>
      </c>
    </row>
    <row r="56" spans="1:10" ht="15.75" hidden="1" x14ac:dyDescent="0.25">
      <c r="A56" s="226" t="s">
        <v>214</v>
      </c>
      <c r="B56" s="235" t="s">
        <v>60</v>
      </c>
      <c r="C56" s="165">
        <v>1</v>
      </c>
      <c r="D56" s="251" t="s">
        <v>229</v>
      </c>
      <c r="E56" s="115" t="s">
        <v>227</v>
      </c>
      <c r="F56" s="166">
        <v>13</v>
      </c>
      <c r="G56" s="160" t="s">
        <v>149</v>
      </c>
      <c r="H56" s="36">
        <f>ROUND(HLOOKUP(G56,SalarySchedule!C6:G48,(F56+2+SalarySchedule!J2),FALSE)*C56,FALSE)</f>
        <v>58717</v>
      </c>
      <c r="I56" s="167" t="s">
        <v>212</v>
      </c>
      <c r="J56" s="167" t="s">
        <v>213</v>
      </c>
    </row>
    <row r="57" spans="1:10" ht="15.75" hidden="1" x14ac:dyDescent="0.25">
      <c r="A57" s="226" t="s">
        <v>214</v>
      </c>
      <c r="B57" s="235" t="s">
        <v>60</v>
      </c>
      <c r="C57" s="165">
        <v>1</v>
      </c>
      <c r="D57" s="251" t="s">
        <v>230</v>
      </c>
      <c r="E57" s="115" t="s">
        <v>227</v>
      </c>
      <c r="F57" s="166">
        <v>7</v>
      </c>
      <c r="G57" s="160" t="s">
        <v>149</v>
      </c>
      <c r="H57" s="36">
        <f>ROUND(HLOOKUP(G57,SalarySchedule!C6:G48,(F57+2+SalarySchedule!J2),FALSE)*C57,FALSE)</f>
        <v>52146</v>
      </c>
      <c r="I57" s="167" t="s">
        <v>212</v>
      </c>
      <c r="J57" s="167" t="s">
        <v>213</v>
      </c>
    </row>
    <row r="58" spans="1:10" ht="15.75" hidden="1" x14ac:dyDescent="0.25">
      <c r="A58" s="226" t="s">
        <v>214</v>
      </c>
      <c r="B58" s="235" t="s">
        <v>60</v>
      </c>
      <c r="C58" s="165">
        <v>1</v>
      </c>
      <c r="D58" s="251" t="s">
        <v>231</v>
      </c>
      <c r="E58" s="115" t="s">
        <v>227</v>
      </c>
      <c r="F58" s="166">
        <v>6</v>
      </c>
      <c r="G58" s="160" t="s">
        <v>150</v>
      </c>
      <c r="H58" s="36">
        <f>ROUND(HLOOKUP(G58,SalarySchedule!C6:G48,(F58+2+SalarySchedule!J2),FALSE)*C58,FALSE)</f>
        <v>47394</v>
      </c>
      <c r="I58" s="167" t="s">
        <v>212</v>
      </c>
      <c r="J58" s="167" t="s">
        <v>213</v>
      </c>
    </row>
    <row r="59" spans="1:10" ht="15.75" hidden="1" x14ac:dyDescent="0.25">
      <c r="A59" s="226" t="s">
        <v>214</v>
      </c>
      <c r="B59" s="235" t="s">
        <v>60</v>
      </c>
      <c r="C59" s="165">
        <v>1</v>
      </c>
      <c r="D59" s="251" t="s">
        <v>232</v>
      </c>
      <c r="E59" s="115" t="s">
        <v>227</v>
      </c>
      <c r="F59" s="166">
        <v>7</v>
      </c>
      <c r="G59" s="160" t="s">
        <v>150</v>
      </c>
      <c r="H59" s="36">
        <f>ROUND(HLOOKUP(G59,SalarySchedule!C6:G48,(F59+2+SalarySchedule!J2),FALSE)*C59,FALSE)</f>
        <v>48126</v>
      </c>
      <c r="I59" s="167" t="s">
        <v>212</v>
      </c>
      <c r="J59" s="167" t="s">
        <v>213</v>
      </c>
    </row>
    <row r="60" spans="1:10" ht="15.75" hidden="1" x14ac:dyDescent="0.25">
      <c r="A60" s="226" t="s">
        <v>214</v>
      </c>
      <c r="B60" s="235" t="s">
        <v>60</v>
      </c>
      <c r="C60" s="165">
        <v>1</v>
      </c>
      <c r="D60" s="251" t="s">
        <v>233</v>
      </c>
      <c r="E60" s="115" t="s">
        <v>227</v>
      </c>
      <c r="F60" s="166">
        <v>22</v>
      </c>
      <c r="G60" s="160" t="s">
        <v>149</v>
      </c>
      <c r="H60" s="36">
        <f>ROUND(HLOOKUP(G60,SalarySchedule!C6:G48,(F60+2+SalarySchedule!J2),FALSE)*C60,FALSE)</f>
        <v>65753</v>
      </c>
      <c r="I60" s="167" t="s">
        <v>212</v>
      </c>
      <c r="J60" s="167" t="s">
        <v>213</v>
      </c>
    </row>
    <row r="61" spans="1:10" ht="15.75" hidden="1" x14ac:dyDescent="0.25">
      <c r="A61" s="226" t="s">
        <v>214</v>
      </c>
      <c r="B61" s="235" t="s">
        <v>60</v>
      </c>
      <c r="C61" s="165">
        <v>1</v>
      </c>
      <c r="D61" s="251" t="s">
        <v>234</v>
      </c>
      <c r="E61" s="115" t="s">
        <v>227</v>
      </c>
      <c r="F61" s="166">
        <v>9</v>
      </c>
      <c r="G61" s="160" t="s">
        <v>149</v>
      </c>
      <c r="H61" s="36">
        <f>ROUND(HLOOKUP(G61,SalarySchedule!C6:G48,(F61+2+SalarySchedule!J2),FALSE)*C61,FALSE)</f>
        <v>53938</v>
      </c>
      <c r="I61" s="167" t="s">
        <v>212</v>
      </c>
      <c r="J61" s="167" t="s">
        <v>213</v>
      </c>
    </row>
    <row r="62" spans="1:10" ht="15.75" hidden="1" x14ac:dyDescent="0.25">
      <c r="A62" s="226" t="s">
        <v>240</v>
      </c>
      <c r="B62" s="235" t="s">
        <v>63</v>
      </c>
      <c r="C62" s="165">
        <v>1</v>
      </c>
      <c r="D62" s="251" t="s">
        <v>241</v>
      </c>
      <c r="E62" s="115" t="s">
        <v>242</v>
      </c>
      <c r="F62" s="166">
        <v>5</v>
      </c>
      <c r="G62" s="160" t="s">
        <v>149</v>
      </c>
      <c r="H62" s="36">
        <f>ROUND(HLOOKUP(G62,SalarySchedule!C6:G48,(F62+2+SalarySchedule!J2),FALSE)*C62,FALSE)</f>
        <v>50306</v>
      </c>
      <c r="I62" s="167" t="s">
        <v>212</v>
      </c>
      <c r="J62" s="167" t="s">
        <v>213</v>
      </c>
    </row>
    <row r="63" spans="1:10" ht="15.75" hidden="1" x14ac:dyDescent="0.25">
      <c r="A63" s="226" t="s">
        <v>240</v>
      </c>
      <c r="B63" s="235" t="s">
        <v>63</v>
      </c>
      <c r="C63" s="165">
        <v>1</v>
      </c>
      <c r="D63" s="251" t="s">
        <v>243</v>
      </c>
      <c r="E63" s="115" t="s">
        <v>242</v>
      </c>
      <c r="F63" s="166">
        <v>22</v>
      </c>
      <c r="G63" s="160" t="s">
        <v>38</v>
      </c>
      <c r="H63" s="36">
        <f>ROUND(HLOOKUP(G63,SalarySchedule!C6:G48,(F63+2+SalarySchedule!J2),FALSE)*C63,FALSE)</f>
        <v>71750</v>
      </c>
      <c r="I63" s="167" t="s">
        <v>212</v>
      </c>
      <c r="J63" s="167" t="s">
        <v>213</v>
      </c>
    </row>
    <row r="64" spans="1:10" ht="15.75" hidden="1" x14ac:dyDescent="0.25">
      <c r="A64" s="226" t="s">
        <v>240</v>
      </c>
      <c r="B64" s="235" t="s">
        <v>63</v>
      </c>
      <c r="C64" s="165">
        <v>1</v>
      </c>
      <c r="D64" s="251" t="s">
        <v>244</v>
      </c>
      <c r="E64" s="115" t="s">
        <v>242</v>
      </c>
      <c r="F64" s="166">
        <v>19</v>
      </c>
      <c r="G64" s="160" t="s">
        <v>149</v>
      </c>
      <c r="H64" s="36">
        <f>ROUND(HLOOKUP(G64,SalarySchedule!C6:G48,(F64+2+SalarySchedule!J2),FALSE)*C64,FALSE)</f>
        <v>62780</v>
      </c>
      <c r="I64" s="167" t="s">
        <v>212</v>
      </c>
      <c r="J64" s="167" t="s">
        <v>213</v>
      </c>
    </row>
    <row r="65" spans="1:10" hidden="1" x14ac:dyDescent="0.25">
      <c r="C65" s="250">
        <f>SUM(C43:C64)</f>
        <v>22</v>
      </c>
    </row>
    <row r="66" spans="1:10" ht="15.75" hidden="1" x14ac:dyDescent="0.25">
      <c r="A66" s="267" t="s">
        <v>301</v>
      </c>
      <c r="B66" s="267"/>
      <c r="C66" s="267"/>
      <c r="D66" s="267"/>
      <c r="E66" s="267"/>
      <c r="F66" s="267"/>
      <c r="G66" s="267"/>
      <c r="H66" s="267"/>
      <c r="I66" s="267"/>
      <c r="J66" s="267"/>
    </row>
    <row r="67" spans="1:10" ht="15.75" hidden="1" x14ac:dyDescent="0.25">
      <c r="A67" s="226" t="s">
        <v>302</v>
      </c>
      <c r="B67" s="235" t="s">
        <v>58</v>
      </c>
      <c r="C67" s="165">
        <v>0.6</v>
      </c>
      <c r="D67" s="251" t="s">
        <v>223</v>
      </c>
      <c r="E67" s="115" t="s">
        <v>224</v>
      </c>
      <c r="F67" s="166">
        <v>26</v>
      </c>
      <c r="G67" s="160" t="s">
        <v>38</v>
      </c>
      <c r="H67" s="36">
        <f>ROUND(HLOOKUP(G67,SalarySchedule!C6:G48,(F67+2+SalarySchedule!J2),FALSE)*C67,FALSE)</f>
        <v>45223</v>
      </c>
      <c r="I67" s="167" t="s">
        <v>212</v>
      </c>
      <c r="J67" s="167" t="s">
        <v>213</v>
      </c>
    </row>
    <row r="68" spans="1:10" hidden="1" x14ac:dyDescent="0.25">
      <c r="C68" s="250">
        <f>SUM(C67)</f>
        <v>0.6</v>
      </c>
    </row>
    <row r="69" spans="1:10" hidden="1" x14ac:dyDescent="0.25">
      <c r="A69" s="223" t="s">
        <v>303</v>
      </c>
    </row>
    <row r="70" spans="1:10" hidden="1" x14ac:dyDescent="0.25"/>
    <row r="71" spans="1:10" hidden="1" x14ac:dyDescent="0.25"/>
    <row r="72" spans="1:10" ht="15.75" hidden="1" x14ac:dyDescent="0.25">
      <c r="A72" s="267" t="s">
        <v>179</v>
      </c>
      <c r="B72" s="267"/>
      <c r="C72" s="267"/>
      <c r="D72" s="267"/>
      <c r="E72" s="267"/>
      <c r="F72" s="267"/>
      <c r="G72" s="267"/>
      <c r="H72" s="267"/>
      <c r="I72" s="267"/>
      <c r="J72" s="267"/>
    </row>
    <row r="73" spans="1:10" hidden="1" x14ac:dyDescent="0.25">
      <c r="A73" s="278" t="s">
        <v>245</v>
      </c>
      <c r="B73" s="278"/>
      <c r="C73" s="278"/>
      <c r="D73" s="278"/>
      <c r="E73" s="278"/>
      <c r="F73" s="278"/>
      <c r="G73" s="278"/>
      <c r="H73" s="278"/>
      <c r="I73" s="278"/>
      <c r="J73" s="278"/>
    </row>
    <row r="74" spans="1:10" ht="15.75" hidden="1" x14ac:dyDescent="0.25">
      <c r="B74" s="236"/>
      <c r="C74" s="168"/>
      <c r="D74" s="168"/>
      <c r="E74" s="168"/>
      <c r="F74" s="168"/>
      <c r="G74" s="169" t="s">
        <v>246</v>
      </c>
      <c r="H74" s="169" t="s">
        <v>247</v>
      </c>
      <c r="I74" s="169" t="s">
        <v>246</v>
      </c>
      <c r="J74" s="170" t="s">
        <v>248</v>
      </c>
    </row>
    <row r="75" spans="1:10" ht="15.75" hidden="1" x14ac:dyDescent="0.25">
      <c r="B75" s="237" t="s">
        <v>247</v>
      </c>
      <c r="C75" s="171"/>
      <c r="D75" s="172" t="s">
        <v>249</v>
      </c>
      <c r="E75" s="172" t="s">
        <v>8</v>
      </c>
      <c r="F75" s="172" t="s">
        <v>250</v>
      </c>
      <c r="G75" s="172" t="s">
        <v>251</v>
      </c>
      <c r="H75" s="172" t="s">
        <v>252</v>
      </c>
      <c r="I75" s="172" t="s">
        <v>253</v>
      </c>
      <c r="J75" s="173" t="s">
        <v>254</v>
      </c>
    </row>
    <row r="76" spans="1:10" hidden="1" x14ac:dyDescent="0.25">
      <c r="B76" s="238" t="s">
        <v>55</v>
      </c>
      <c r="D76" s="174">
        <f>SUM(C44)</f>
        <v>1</v>
      </c>
      <c r="E76" s="175">
        <f>F23</f>
        <v>1</v>
      </c>
      <c r="F76" s="176">
        <f>SUM(H44)</f>
        <v>74461</v>
      </c>
      <c r="G76" s="175">
        <f t="shared" ref="G76:G81" si="0">D76 - E76</f>
        <v>0</v>
      </c>
      <c r="H76" s="252">
        <v>71803</v>
      </c>
      <c r="I76" s="175">
        <f t="shared" ref="I76:I81" si="1">G76 * H76</f>
        <v>0</v>
      </c>
      <c r="J76" s="177">
        <f t="shared" ref="J76:J81" si="2">F76 - I76</f>
        <v>74461</v>
      </c>
    </row>
    <row r="77" spans="1:10" hidden="1" x14ac:dyDescent="0.25">
      <c r="B77" s="238" t="s">
        <v>56</v>
      </c>
      <c r="D77" s="174">
        <v>9</v>
      </c>
      <c r="E77" s="175">
        <v>9</v>
      </c>
      <c r="F77" s="176">
        <f>SUM(H46:H53)</f>
        <v>449686</v>
      </c>
      <c r="G77" s="175">
        <f t="shared" si="0"/>
        <v>0</v>
      </c>
      <c r="H77" s="175">
        <v>56763</v>
      </c>
      <c r="I77" s="175">
        <f t="shared" si="1"/>
        <v>0</v>
      </c>
      <c r="J77" s="177">
        <f t="shared" si="2"/>
        <v>449686</v>
      </c>
    </row>
    <row r="78" spans="1:10" hidden="1" x14ac:dyDescent="0.25">
      <c r="B78" s="238" t="s">
        <v>60</v>
      </c>
      <c r="D78" s="174">
        <v>9</v>
      </c>
      <c r="E78" s="175">
        <v>9</v>
      </c>
      <c r="F78" s="176">
        <f>SUM(H54:H61)</f>
        <v>457975</v>
      </c>
      <c r="G78" s="175">
        <f t="shared" si="0"/>
        <v>0</v>
      </c>
      <c r="H78" s="175">
        <v>55389</v>
      </c>
      <c r="I78" s="175">
        <f t="shared" si="1"/>
        <v>0</v>
      </c>
      <c r="J78" s="177">
        <f t="shared" si="2"/>
        <v>457975</v>
      </c>
    </row>
    <row r="79" spans="1:10" hidden="1" x14ac:dyDescent="0.25">
      <c r="B79" s="238" t="s">
        <v>61</v>
      </c>
      <c r="D79" s="174">
        <f>SUM(C43)</f>
        <v>1</v>
      </c>
      <c r="E79" s="175">
        <v>1</v>
      </c>
      <c r="F79" s="176">
        <f>SUM(H43)</f>
        <v>78295</v>
      </c>
      <c r="G79" s="175">
        <f t="shared" si="0"/>
        <v>0</v>
      </c>
      <c r="H79" s="175">
        <v>76554</v>
      </c>
      <c r="I79" s="175">
        <f t="shared" si="1"/>
        <v>0</v>
      </c>
      <c r="J79" s="177">
        <f t="shared" si="2"/>
        <v>78295</v>
      </c>
    </row>
    <row r="80" spans="1:10" hidden="1" x14ac:dyDescent="0.25">
      <c r="B80" s="238" t="s">
        <v>62</v>
      </c>
      <c r="D80" s="174">
        <f>SUM(C45)</f>
        <v>1</v>
      </c>
      <c r="E80" s="175">
        <v>1</v>
      </c>
      <c r="F80" s="176">
        <f>SUM(H45)</f>
        <v>59336</v>
      </c>
      <c r="G80" s="175">
        <f t="shared" si="0"/>
        <v>0</v>
      </c>
      <c r="H80" s="175">
        <v>57836</v>
      </c>
      <c r="I80" s="175">
        <f t="shared" si="1"/>
        <v>0</v>
      </c>
      <c r="J80" s="177">
        <f t="shared" si="2"/>
        <v>59336</v>
      </c>
    </row>
    <row r="81" spans="1:12" hidden="1" x14ac:dyDescent="0.25">
      <c r="B81" s="238" t="s">
        <v>63</v>
      </c>
      <c r="D81" s="174">
        <v>3</v>
      </c>
      <c r="E81" s="175">
        <v>3</v>
      </c>
      <c r="F81" s="176">
        <f>SUM(H62:H64)</f>
        <v>184836</v>
      </c>
      <c r="G81" s="175">
        <f t="shared" si="0"/>
        <v>0</v>
      </c>
      <c r="H81" s="175">
        <v>59765</v>
      </c>
      <c r="I81" s="175">
        <f t="shared" si="1"/>
        <v>0</v>
      </c>
      <c r="J81" s="177">
        <f t="shared" si="2"/>
        <v>184836</v>
      </c>
    </row>
    <row r="82" spans="1:12" hidden="1" x14ac:dyDescent="0.25">
      <c r="B82" s="178" t="s">
        <v>24</v>
      </c>
      <c r="C82" s="171"/>
      <c r="D82" s="179">
        <f>SUM(D76:D81)</f>
        <v>24</v>
      </c>
      <c r="E82" s="180">
        <f>SUM(E76:E81)</f>
        <v>24</v>
      </c>
      <c r="F82" s="181">
        <f>SUM(F76:F81)</f>
        <v>1304589</v>
      </c>
      <c r="G82" s="180">
        <f>SUM(G76:G81)</f>
        <v>0</v>
      </c>
      <c r="H82" s="171"/>
      <c r="I82" s="180">
        <f>SUM(I76:I81)</f>
        <v>0</v>
      </c>
      <c r="J82" s="182">
        <f>SUM(J76:J81)</f>
        <v>1304589</v>
      </c>
    </row>
    <row r="83" spans="1:12" hidden="1" x14ac:dyDescent="0.25"/>
    <row r="84" spans="1:12" hidden="1" x14ac:dyDescent="0.25">
      <c r="B84" s="230" t="s">
        <v>305</v>
      </c>
      <c r="C84" s="183"/>
      <c r="D84" s="183"/>
      <c r="E84" s="183"/>
      <c r="F84" s="183"/>
      <c r="G84" s="183"/>
      <c r="H84" s="183"/>
      <c r="I84" s="183"/>
      <c r="J84" s="184"/>
    </row>
    <row r="85" spans="1:12" hidden="1" x14ac:dyDescent="0.25">
      <c r="B85" s="256" t="s">
        <v>58</v>
      </c>
      <c r="C85" s="257"/>
      <c r="D85" s="259">
        <v>0.6</v>
      </c>
      <c r="E85" s="260">
        <v>0.6</v>
      </c>
      <c r="F85" s="261">
        <v>43593</v>
      </c>
      <c r="G85" s="261">
        <v>0</v>
      </c>
      <c r="H85" s="261">
        <v>43593</v>
      </c>
      <c r="I85" s="255">
        <v>0</v>
      </c>
      <c r="J85" s="258">
        <v>43593</v>
      </c>
    </row>
    <row r="86" spans="1:12" ht="16.5" hidden="1" thickBot="1" x14ac:dyDescent="0.3">
      <c r="B86" s="231"/>
      <c r="D86" s="185"/>
      <c r="I86" s="186"/>
      <c r="J86" s="187"/>
    </row>
    <row r="87" spans="1:12" ht="15.75" hidden="1" x14ac:dyDescent="0.25">
      <c r="B87" s="232" t="s">
        <v>255</v>
      </c>
      <c r="C87" s="188"/>
      <c r="D87" s="189"/>
      <c r="E87" s="188"/>
      <c r="F87" s="188"/>
      <c r="G87" s="188"/>
      <c r="H87" s="188"/>
      <c r="I87" s="190"/>
      <c r="J87" s="191"/>
    </row>
    <row r="88" spans="1:12" ht="15.75" hidden="1" thickTop="1" x14ac:dyDescent="0.25">
      <c r="B88" s="229" t="s">
        <v>256</v>
      </c>
    </row>
    <row r="89" spans="1:12" hidden="1" x14ac:dyDescent="0.25"/>
    <row r="90" spans="1:12" hidden="1" x14ac:dyDescent="0.25"/>
    <row r="91" spans="1:12" ht="15.75" hidden="1" x14ac:dyDescent="0.25">
      <c r="A91" s="267" t="s">
        <v>257</v>
      </c>
      <c r="B91" s="267"/>
      <c r="C91" s="267"/>
      <c r="D91" s="267"/>
      <c r="E91" s="267"/>
      <c r="F91" s="267"/>
      <c r="G91" s="267"/>
      <c r="H91" s="267"/>
      <c r="I91" s="267"/>
      <c r="J91" s="267"/>
    </row>
    <row r="92" spans="1:12" hidden="1" x14ac:dyDescent="0.25"/>
    <row r="93" spans="1:12" hidden="1" x14ac:dyDescent="0.25">
      <c r="A93" s="278" t="s">
        <v>258</v>
      </c>
      <c r="B93" s="278"/>
      <c r="C93" s="278"/>
      <c r="D93" s="278"/>
      <c r="E93" s="278"/>
      <c r="F93" s="278"/>
      <c r="G93" s="278"/>
      <c r="H93" s="278"/>
      <c r="I93" s="278"/>
      <c r="J93" s="278"/>
    </row>
    <row r="94" spans="1:12" hidden="1" x14ac:dyDescent="0.25">
      <c r="A94" s="278" t="s">
        <v>259</v>
      </c>
      <c r="B94" s="278"/>
      <c r="C94" s="278"/>
      <c r="D94" s="278"/>
      <c r="E94" s="278"/>
      <c r="F94" s="278"/>
      <c r="G94" s="278"/>
      <c r="H94" s="278"/>
      <c r="I94" s="278"/>
      <c r="J94" s="278"/>
    </row>
    <row r="95" spans="1:12" hidden="1" x14ac:dyDescent="0.25">
      <c r="A95" s="227" t="s">
        <v>260</v>
      </c>
      <c r="B95" s="239" t="s">
        <v>109</v>
      </c>
      <c r="C95" s="192" t="s">
        <v>201</v>
      </c>
      <c r="D95" s="192" t="s">
        <v>199</v>
      </c>
      <c r="E95" s="192" t="s">
        <v>261</v>
      </c>
      <c r="F95" s="192" t="s">
        <v>22</v>
      </c>
      <c r="G95" s="192" t="s">
        <v>262</v>
      </c>
      <c r="H95" s="192" t="s">
        <v>263</v>
      </c>
      <c r="I95" s="192" t="s">
        <v>264</v>
      </c>
      <c r="J95" s="192" t="str">
        <f>IF((SalarySchedule!H3 + SalarySchedule!J2) = 0,Summary!G8,"PROJECTED")</f>
        <v>2023-2024</v>
      </c>
      <c r="K95" s="193" t="s">
        <v>204</v>
      </c>
      <c r="L95" s="184"/>
    </row>
    <row r="96" spans="1:12" ht="15.75" hidden="1" thickBot="1" x14ac:dyDescent="0.3">
      <c r="A96" s="228" t="s">
        <v>205</v>
      </c>
      <c r="B96" s="240" t="s">
        <v>265</v>
      </c>
      <c r="C96" s="195"/>
      <c r="D96" s="194" t="s">
        <v>204</v>
      </c>
      <c r="E96" s="194" t="s">
        <v>266</v>
      </c>
      <c r="F96" s="195"/>
      <c r="G96" s="194" t="s">
        <v>267</v>
      </c>
      <c r="H96" s="194" t="s">
        <v>158</v>
      </c>
      <c r="I96" s="194" t="s">
        <v>268</v>
      </c>
      <c r="J96" s="194" t="s">
        <v>93</v>
      </c>
      <c r="K96" s="196" t="s">
        <v>207</v>
      </c>
      <c r="L96" s="197" t="s">
        <v>208</v>
      </c>
    </row>
    <row r="97" spans="1:12" ht="15.75" hidden="1" x14ac:dyDescent="0.25">
      <c r="A97" s="226" t="s">
        <v>240</v>
      </c>
      <c r="B97" s="241">
        <f t="shared" ref="B97:B103" si="3">IF(I97=0,0,1)</f>
        <v>1</v>
      </c>
      <c r="C97" s="115" t="s">
        <v>269</v>
      </c>
      <c r="D97" s="115" t="s">
        <v>71</v>
      </c>
      <c r="E97" s="160" t="s">
        <v>270</v>
      </c>
      <c r="F97" s="160" t="s">
        <v>152</v>
      </c>
      <c r="G97" s="160">
        <v>6.5</v>
      </c>
      <c r="H97" s="160">
        <v>186</v>
      </c>
      <c r="I97" s="198">
        <v>14.01</v>
      </c>
      <c r="J97" s="36">
        <f t="shared" ref="J97:J103" si="4">ROUND(B97*((G97*I97)*H97),0)</f>
        <v>16938</v>
      </c>
      <c r="K97" s="167" t="s">
        <v>212</v>
      </c>
      <c r="L97" s="199" t="s">
        <v>213</v>
      </c>
    </row>
    <row r="98" spans="1:12" ht="15.75" hidden="1" x14ac:dyDescent="0.25">
      <c r="A98" s="226" t="s">
        <v>240</v>
      </c>
      <c r="B98" s="241">
        <f t="shared" si="3"/>
        <v>1</v>
      </c>
      <c r="C98" s="115" t="s">
        <v>273</v>
      </c>
      <c r="D98" s="115" t="s">
        <v>71</v>
      </c>
      <c r="E98" s="160" t="s">
        <v>274</v>
      </c>
      <c r="F98" s="160" t="s">
        <v>152</v>
      </c>
      <c r="G98" s="160">
        <v>6.5</v>
      </c>
      <c r="H98" s="160">
        <v>186</v>
      </c>
      <c r="I98" s="198">
        <v>14.77</v>
      </c>
      <c r="J98" s="36">
        <f t="shared" si="4"/>
        <v>17857</v>
      </c>
      <c r="K98" s="167" t="s">
        <v>212</v>
      </c>
      <c r="L98" s="199" t="s">
        <v>213</v>
      </c>
    </row>
    <row r="99" spans="1:12" ht="15.75" hidden="1" x14ac:dyDescent="0.25">
      <c r="A99" s="226" t="s">
        <v>240</v>
      </c>
      <c r="B99" s="241">
        <f t="shared" si="3"/>
        <v>1</v>
      </c>
      <c r="C99" s="115" t="s">
        <v>275</v>
      </c>
      <c r="D99" s="115" t="s">
        <v>71</v>
      </c>
      <c r="E99" s="160" t="s">
        <v>272</v>
      </c>
      <c r="F99" s="160" t="s">
        <v>152</v>
      </c>
      <c r="G99" s="160">
        <v>6.5</v>
      </c>
      <c r="H99" s="160">
        <v>186</v>
      </c>
      <c r="I99" s="198">
        <v>14.97</v>
      </c>
      <c r="J99" s="36">
        <f t="shared" si="4"/>
        <v>18099</v>
      </c>
      <c r="K99" s="167" t="s">
        <v>212</v>
      </c>
      <c r="L99" s="199" t="s">
        <v>213</v>
      </c>
    </row>
    <row r="100" spans="1:12" ht="15.75" hidden="1" x14ac:dyDescent="0.25">
      <c r="A100" s="226" t="s">
        <v>237</v>
      </c>
      <c r="B100" s="241">
        <f t="shared" si="3"/>
        <v>1</v>
      </c>
      <c r="C100" s="115" t="s">
        <v>278</v>
      </c>
      <c r="D100" s="115" t="s">
        <v>73</v>
      </c>
      <c r="E100" s="160" t="s">
        <v>279</v>
      </c>
      <c r="F100" s="160" t="s">
        <v>173</v>
      </c>
      <c r="G100" s="160">
        <v>7.5</v>
      </c>
      <c r="H100" s="160">
        <v>216</v>
      </c>
      <c r="I100" s="198">
        <v>19.52</v>
      </c>
      <c r="J100" s="36">
        <f t="shared" si="4"/>
        <v>31622</v>
      </c>
      <c r="K100" s="167" t="s">
        <v>212</v>
      </c>
      <c r="L100" s="199" t="s">
        <v>213</v>
      </c>
    </row>
    <row r="101" spans="1:12" ht="15.75" hidden="1" x14ac:dyDescent="0.25">
      <c r="A101" s="226" t="s">
        <v>209</v>
      </c>
      <c r="B101" s="241">
        <f t="shared" si="3"/>
        <v>1</v>
      </c>
      <c r="C101" s="115" t="s">
        <v>280</v>
      </c>
      <c r="D101" s="115" t="s">
        <v>73</v>
      </c>
      <c r="E101" s="160" t="s">
        <v>271</v>
      </c>
      <c r="F101" s="160" t="s">
        <v>173</v>
      </c>
      <c r="G101" s="160">
        <v>8</v>
      </c>
      <c r="H101" s="160">
        <v>223</v>
      </c>
      <c r="I101" s="198">
        <v>20.88</v>
      </c>
      <c r="J101" s="36">
        <f t="shared" si="4"/>
        <v>37250</v>
      </c>
      <c r="K101" s="167" t="s">
        <v>212</v>
      </c>
      <c r="L101" s="199" t="s">
        <v>213</v>
      </c>
    </row>
    <row r="102" spans="1:12" ht="15.75" hidden="1" x14ac:dyDescent="0.25">
      <c r="A102" s="226" t="s">
        <v>276</v>
      </c>
      <c r="B102" s="241">
        <f t="shared" si="3"/>
        <v>1</v>
      </c>
      <c r="C102" s="115" t="s">
        <v>277</v>
      </c>
      <c r="D102" s="115" t="s">
        <v>72</v>
      </c>
      <c r="E102" s="160" t="s">
        <v>217</v>
      </c>
      <c r="F102" s="160" t="s">
        <v>167</v>
      </c>
      <c r="G102" s="160">
        <v>8</v>
      </c>
      <c r="H102" s="160">
        <v>259</v>
      </c>
      <c r="I102" s="198">
        <v>19.739999999999998</v>
      </c>
      <c r="J102" s="36">
        <f t="shared" si="4"/>
        <v>40901</v>
      </c>
      <c r="K102" s="167" t="s">
        <v>212</v>
      </c>
      <c r="L102" s="199" t="s">
        <v>213</v>
      </c>
    </row>
    <row r="103" spans="1:12" ht="15.75" hidden="1" x14ac:dyDescent="0.25">
      <c r="A103" s="226" t="s">
        <v>276</v>
      </c>
      <c r="B103" s="241">
        <f t="shared" si="3"/>
        <v>1</v>
      </c>
      <c r="C103" s="115" t="s">
        <v>281</v>
      </c>
      <c r="D103" s="115" t="s">
        <v>74</v>
      </c>
      <c r="E103" s="160" t="s">
        <v>225</v>
      </c>
      <c r="F103" s="160" t="s">
        <v>156</v>
      </c>
      <c r="G103" s="160">
        <v>8</v>
      </c>
      <c r="H103" s="160">
        <v>259</v>
      </c>
      <c r="I103" s="198">
        <v>19.399999999999999</v>
      </c>
      <c r="J103" s="36">
        <f t="shared" si="4"/>
        <v>40197</v>
      </c>
      <c r="K103" s="167" t="s">
        <v>212</v>
      </c>
      <c r="L103" s="199" t="s">
        <v>213</v>
      </c>
    </row>
    <row r="104" spans="1:12" hidden="1" x14ac:dyDescent="0.25">
      <c r="B104" s="253">
        <f>SUM(B97:B103)</f>
        <v>7</v>
      </c>
    </row>
    <row r="105" spans="1:12" hidden="1" x14ac:dyDescent="0.25"/>
    <row r="106" spans="1:12" hidden="1" x14ac:dyDescent="0.25">
      <c r="A106" s="229" t="s">
        <v>282</v>
      </c>
    </row>
    <row r="107" spans="1:12" hidden="1" x14ac:dyDescent="0.25">
      <c r="A107" s="223" t="s">
        <v>304</v>
      </c>
    </row>
    <row r="108" spans="1:12" hidden="1" x14ac:dyDescent="0.25">
      <c r="B108" s="223">
        <v>11.7</v>
      </c>
      <c r="C108" t="s">
        <v>308</v>
      </c>
    </row>
    <row r="109" spans="1:12" ht="15.75" hidden="1" x14ac:dyDescent="0.25">
      <c r="A109" s="267" t="s">
        <v>257</v>
      </c>
      <c r="B109" s="267"/>
      <c r="C109" s="267"/>
      <c r="D109" s="267"/>
      <c r="E109" s="267"/>
      <c r="F109" s="267"/>
      <c r="G109" s="267"/>
      <c r="H109" s="267"/>
      <c r="I109" s="267"/>
      <c r="J109" s="267"/>
    </row>
    <row r="110" spans="1:12" hidden="1" x14ac:dyDescent="0.25"/>
    <row r="111" spans="1:12" hidden="1" x14ac:dyDescent="0.25">
      <c r="A111" s="278" t="s">
        <v>283</v>
      </c>
      <c r="B111" s="278"/>
      <c r="C111" s="278"/>
      <c r="D111" s="278"/>
      <c r="E111" s="278"/>
      <c r="F111" s="278"/>
      <c r="G111" s="278"/>
      <c r="H111" s="278"/>
      <c r="I111" s="278"/>
      <c r="J111" s="278"/>
    </row>
    <row r="112" spans="1:12" ht="15.75" hidden="1" x14ac:dyDescent="0.25">
      <c r="B112" s="236"/>
      <c r="C112" s="168"/>
      <c r="D112" s="168"/>
      <c r="E112" s="168"/>
      <c r="F112" s="168"/>
      <c r="G112" s="169" t="s">
        <v>246</v>
      </c>
      <c r="H112" s="169" t="s">
        <v>247</v>
      </c>
      <c r="I112" s="169" t="s">
        <v>246</v>
      </c>
      <c r="J112" s="170" t="s">
        <v>248</v>
      </c>
    </row>
    <row r="113" spans="1:10" ht="15.75" hidden="1" x14ac:dyDescent="0.25">
      <c r="B113" s="237" t="s">
        <v>247</v>
      </c>
      <c r="C113" s="171"/>
      <c r="D113" s="172" t="s">
        <v>249</v>
      </c>
      <c r="E113" s="172" t="s">
        <v>8</v>
      </c>
      <c r="F113" s="172" t="s">
        <v>250</v>
      </c>
      <c r="G113" s="172" t="s">
        <v>251</v>
      </c>
      <c r="H113" s="172" t="s">
        <v>252</v>
      </c>
      <c r="I113" s="172" t="s">
        <v>253</v>
      </c>
      <c r="J113" s="173" t="s">
        <v>254</v>
      </c>
    </row>
    <row r="114" spans="1:10" hidden="1" x14ac:dyDescent="0.25">
      <c r="B114" s="238" t="s">
        <v>71</v>
      </c>
      <c r="D114" s="174">
        <v>3</v>
      </c>
      <c r="E114" s="175">
        <v>3</v>
      </c>
      <c r="F114" s="176">
        <v>51032</v>
      </c>
      <c r="G114" s="175">
        <f>D114 - E114</f>
        <v>0</v>
      </c>
      <c r="H114" s="200">
        <v>17011</v>
      </c>
      <c r="I114" s="175">
        <f>G114 * H114</f>
        <v>0</v>
      </c>
      <c r="J114" s="201">
        <f>F114 - I114</f>
        <v>51032</v>
      </c>
    </row>
    <row r="115" spans="1:10" hidden="1" x14ac:dyDescent="0.25">
      <c r="B115" s="238" t="s">
        <v>72</v>
      </c>
      <c r="D115" s="174">
        <v>1</v>
      </c>
      <c r="E115" s="175">
        <f>F27</f>
        <v>1</v>
      </c>
      <c r="F115" s="176">
        <v>38291</v>
      </c>
      <c r="G115" s="175">
        <f>D115 - E115</f>
        <v>0</v>
      </c>
      <c r="H115" s="200">
        <v>38291</v>
      </c>
      <c r="I115" s="175">
        <f>G115 * H115</f>
        <v>0</v>
      </c>
      <c r="J115" s="201">
        <f>F115 - I115</f>
        <v>38291</v>
      </c>
    </row>
    <row r="116" spans="1:10" hidden="1" x14ac:dyDescent="0.25">
      <c r="B116" s="238" t="s">
        <v>73</v>
      </c>
      <c r="D116" s="174">
        <v>2</v>
      </c>
      <c r="E116" s="175">
        <f>F30</f>
        <v>2</v>
      </c>
      <c r="F116" s="176">
        <v>67008</v>
      </c>
      <c r="G116" s="175">
        <f>D116 - E116</f>
        <v>0</v>
      </c>
      <c r="H116" s="200">
        <v>18504</v>
      </c>
      <c r="I116" s="175">
        <f>G116 * H116</f>
        <v>0</v>
      </c>
      <c r="J116" s="201">
        <f>F116 - I116</f>
        <v>67008</v>
      </c>
    </row>
    <row r="117" spans="1:10" hidden="1" x14ac:dyDescent="0.25">
      <c r="B117" s="238" t="s">
        <v>74</v>
      </c>
      <c r="D117" s="174">
        <v>2</v>
      </c>
      <c r="E117" s="175">
        <f>F32</f>
        <v>2</v>
      </c>
      <c r="F117" s="176">
        <v>75690</v>
      </c>
      <c r="G117" s="175">
        <f>D117 - E117</f>
        <v>0</v>
      </c>
      <c r="H117" s="200">
        <v>37845</v>
      </c>
      <c r="I117" s="175">
        <f>G117 * H117</f>
        <v>0</v>
      </c>
      <c r="J117" s="201">
        <f>F117 - I117</f>
        <v>75690</v>
      </c>
    </row>
    <row r="118" spans="1:10" hidden="1" x14ac:dyDescent="0.25">
      <c r="B118" s="178" t="s">
        <v>24</v>
      </c>
      <c r="C118" s="171"/>
      <c r="D118" s="179">
        <f>SUM(D114:D117)</f>
        <v>8</v>
      </c>
      <c r="E118" s="180">
        <f>SUM(E114:E117)</f>
        <v>8</v>
      </c>
      <c r="F118" s="202">
        <f>SUM(F114:F117)</f>
        <v>232021</v>
      </c>
      <c r="G118" s="180">
        <f>SUM(G114:G117)</f>
        <v>0</v>
      </c>
      <c r="H118" s="171"/>
      <c r="I118" s="180">
        <f>SUM(I114:I117)</f>
        <v>0</v>
      </c>
      <c r="J118" s="182">
        <f>SUM(J114:J117)</f>
        <v>232021</v>
      </c>
    </row>
    <row r="119" spans="1:10" hidden="1" x14ac:dyDescent="0.25"/>
    <row r="120" spans="1:10" hidden="1" x14ac:dyDescent="0.25"/>
    <row r="121" spans="1:10" hidden="1" x14ac:dyDescent="0.25"/>
    <row r="122" spans="1:10" hidden="1" x14ac:dyDescent="0.25">
      <c r="A122" s="230" t="s">
        <v>284</v>
      </c>
      <c r="B122" s="242"/>
      <c r="C122" s="183"/>
      <c r="D122" s="183"/>
      <c r="E122" s="183"/>
      <c r="F122" s="183"/>
      <c r="G122" s="183"/>
      <c r="H122" s="183"/>
      <c r="I122" s="183"/>
      <c r="J122" s="184"/>
    </row>
    <row r="123" spans="1:10" ht="15.75" hidden="1" x14ac:dyDescent="0.25">
      <c r="A123" s="231"/>
      <c r="C123" s="185"/>
      <c r="H123" s="186"/>
      <c r="J123" s="187"/>
    </row>
    <row r="124" spans="1:10" ht="15.75" hidden="1" x14ac:dyDescent="0.25">
      <c r="A124" s="231"/>
      <c r="C124" s="185"/>
      <c r="H124" s="186"/>
      <c r="J124" s="187"/>
    </row>
    <row r="125" spans="1:10" hidden="1" x14ac:dyDescent="0.25">
      <c r="A125" s="232" t="s">
        <v>255</v>
      </c>
      <c r="B125" s="243"/>
      <c r="C125" s="188"/>
      <c r="D125" s="188"/>
      <c r="E125" s="188"/>
      <c r="F125" s="188"/>
      <c r="G125" s="188"/>
      <c r="H125" s="188"/>
      <c r="I125" s="188"/>
      <c r="J125" s="191"/>
    </row>
    <row r="126" spans="1:10" hidden="1" x14ac:dyDescent="0.25"/>
    <row r="129" spans="1:10" ht="15.75" x14ac:dyDescent="0.25">
      <c r="A129" s="267" t="s">
        <v>285</v>
      </c>
      <c r="B129" s="267"/>
      <c r="C129" s="267"/>
      <c r="D129" s="267"/>
      <c r="E129" s="267"/>
      <c r="F129" s="267"/>
      <c r="G129" s="267"/>
      <c r="H129" s="267"/>
      <c r="I129" s="267"/>
      <c r="J129" s="267"/>
    </row>
    <row r="131" spans="1:10" x14ac:dyDescent="0.25">
      <c r="B131" s="244" t="s">
        <v>260</v>
      </c>
      <c r="C131" s="203" t="s">
        <v>286</v>
      </c>
      <c r="D131" s="204" t="s">
        <v>208</v>
      </c>
      <c r="E131" s="162"/>
      <c r="F131" s="203" t="s">
        <v>287</v>
      </c>
      <c r="G131" s="205"/>
      <c r="H131" s="204" t="s">
        <v>288</v>
      </c>
      <c r="I131" s="162"/>
    </row>
    <row r="132" spans="1:10" x14ac:dyDescent="0.25">
      <c r="B132" s="245" t="s">
        <v>205</v>
      </c>
      <c r="C132" s="206" t="s">
        <v>205</v>
      </c>
      <c r="D132" s="207"/>
      <c r="E132" s="208"/>
      <c r="F132" s="206" t="s">
        <v>116</v>
      </c>
      <c r="G132" s="209"/>
      <c r="H132" s="210" t="s">
        <v>289</v>
      </c>
      <c r="I132" s="208"/>
    </row>
    <row r="133" spans="1:10" x14ac:dyDescent="0.25">
      <c r="B133" s="211" t="s">
        <v>311</v>
      </c>
      <c r="C133" s="211" t="s">
        <v>290</v>
      </c>
      <c r="D133" s="212" t="s">
        <v>61</v>
      </c>
      <c r="E133" s="213"/>
      <c r="F133" s="214">
        <v>79960</v>
      </c>
      <c r="G133" s="215"/>
      <c r="H133" s="216"/>
      <c r="I133" s="213"/>
    </row>
    <row r="134" spans="1:10" x14ac:dyDescent="0.25">
      <c r="B134" s="211" t="s">
        <v>311</v>
      </c>
      <c r="C134" s="211" t="s">
        <v>290</v>
      </c>
      <c r="D134" s="212" t="s">
        <v>55</v>
      </c>
      <c r="E134" s="213"/>
      <c r="F134" s="214">
        <v>65179</v>
      </c>
      <c r="G134" s="215"/>
      <c r="H134" s="216"/>
      <c r="I134" s="213"/>
    </row>
    <row r="135" spans="1:10" x14ac:dyDescent="0.25">
      <c r="B135" s="211" t="s">
        <v>312</v>
      </c>
      <c r="C135" s="211" t="s">
        <v>290</v>
      </c>
      <c r="D135" s="212" t="s">
        <v>314</v>
      </c>
      <c r="E135" s="213"/>
      <c r="F135" s="214">
        <v>263855</v>
      </c>
      <c r="G135" s="215"/>
      <c r="H135" s="216"/>
      <c r="I135" s="213"/>
    </row>
    <row r="136" spans="1:10" x14ac:dyDescent="0.25">
      <c r="B136" s="211" t="s">
        <v>313</v>
      </c>
      <c r="C136" s="211" t="s">
        <v>290</v>
      </c>
      <c r="D136" s="212" t="s">
        <v>58</v>
      </c>
      <c r="E136" s="213"/>
      <c r="F136" s="214">
        <v>32365</v>
      </c>
      <c r="G136" s="215"/>
      <c r="H136" s="216"/>
      <c r="I136" s="213"/>
    </row>
    <row r="137" spans="1:10" x14ac:dyDescent="0.25">
      <c r="B137" s="211" t="s">
        <v>312</v>
      </c>
      <c r="C137" s="211" t="s">
        <v>315</v>
      </c>
      <c r="D137" s="212" t="s">
        <v>59</v>
      </c>
      <c r="E137" s="213"/>
      <c r="F137" s="214">
        <v>599855</v>
      </c>
      <c r="G137" s="215"/>
      <c r="H137" s="216"/>
      <c r="I137" s="213"/>
    </row>
    <row r="138" spans="1:10" x14ac:dyDescent="0.25">
      <c r="B138" s="211" t="s">
        <v>316</v>
      </c>
      <c r="C138" s="211" t="s">
        <v>315</v>
      </c>
      <c r="D138" s="212" t="s">
        <v>62</v>
      </c>
      <c r="E138" s="213"/>
      <c r="F138" s="214">
        <v>70500</v>
      </c>
      <c r="G138" s="215"/>
      <c r="H138" s="216"/>
      <c r="I138" s="213"/>
    </row>
    <row r="139" spans="1:10" x14ac:dyDescent="0.25">
      <c r="B139" s="211" t="s">
        <v>317</v>
      </c>
      <c r="C139" s="211" t="s">
        <v>318</v>
      </c>
      <c r="D139" s="212" t="s">
        <v>71</v>
      </c>
      <c r="E139" s="213"/>
      <c r="F139" s="214">
        <v>43363</v>
      </c>
      <c r="G139" s="215"/>
      <c r="H139" s="216"/>
      <c r="I139" s="213"/>
    </row>
    <row r="140" spans="1:10" x14ac:dyDescent="0.25">
      <c r="B140" s="211" t="s">
        <v>319</v>
      </c>
      <c r="C140" s="211" t="s">
        <v>291</v>
      </c>
      <c r="D140" s="212" t="s">
        <v>72</v>
      </c>
      <c r="E140" s="213"/>
      <c r="F140" s="214">
        <v>44622</v>
      </c>
      <c r="G140" s="215"/>
      <c r="H140" s="216"/>
      <c r="I140" s="213"/>
    </row>
    <row r="141" spans="1:10" x14ac:dyDescent="0.25">
      <c r="B141" s="211" t="s">
        <v>311</v>
      </c>
      <c r="C141" s="211" t="s">
        <v>318</v>
      </c>
      <c r="D141" s="212" t="s">
        <v>73</v>
      </c>
      <c r="E141" s="213"/>
      <c r="F141" s="214">
        <v>87103</v>
      </c>
      <c r="G141" s="215"/>
      <c r="H141" s="216"/>
      <c r="I141" s="213"/>
    </row>
    <row r="142" spans="1:10" x14ac:dyDescent="0.25">
      <c r="B142" s="211" t="s">
        <v>320</v>
      </c>
      <c r="C142" s="211" t="s">
        <v>291</v>
      </c>
      <c r="D142" s="212" t="s">
        <v>74</v>
      </c>
      <c r="E142" s="213"/>
      <c r="F142" s="214">
        <v>52753</v>
      </c>
      <c r="G142" s="215"/>
      <c r="H142" s="216"/>
      <c r="I142" s="213"/>
    </row>
    <row r="143" spans="1:10" ht="15.75" x14ac:dyDescent="0.25">
      <c r="B143" s="246"/>
      <c r="C143" s="217"/>
      <c r="D143" s="262" t="s">
        <v>307</v>
      </c>
      <c r="E143" s="263"/>
      <c r="F143" s="264">
        <v>12426</v>
      </c>
      <c r="G143" s="254"/>
      <c r="H143" s="216"/>
      <c r="I143" s="213"/>
    </row>
    <row r="144" spans="1:10" ht="15.75" x14ac:dyDescent="0.25">
      <c r="B144" s="246"/>
      <c r="C144" s="217"/>
      <c r="D144" s="262" t="s">
        <v>306</v>
      </c>
      <c r="E144" s="263"/>
      <c r="F144" s="264">
        <v>34500</v>
      </c>
      <c r="G144" s="254" t="s">
        <v>321</v>
      </c>
      <c r="H144" s="216"/>
      <c r="I144" s="213"/>
    </row>
    <row r="145" spans="2:9" ht="15.75" x14ac:dyDescent="0.25">
      <c r="B145" s="247" t="s">
        <v>292</v>
      </c>
      <c r="C145" s="217"/>
      <c r="D145" s="212" t="str">
        <f>"Social Security Classified @ " &amp; (Summary!G13*100) &amp; "%"</f>
        <v>Social Security Classified @ 6.2%</v>
      </c>
      <c r="E145" s="213"/>
      <c r="F145" s="218">
        <f>SUM(F139:F142) * Summary!G13</f>
        <v>14126.142</v>
      </c>
      <c r="G145" s="215"/>
      <c r="H145" s="216"/>
      <c r="I145" s="213"/>
    </row>
    <row r="146" spans="2:9" ht="15.75" x14ac:dyDescent="0.25">
      <c r="B146" s="248" t="s">
        <v>292</v>
      </c>
      <c r="C146" s="215"/>
      <c r="D146" s="212" t="str">
        <f>"Medicare Classified @ " &amp; (Summary!G14*100) &amp; "%"</f>
        <v>Medicare Classified @ 1.45%</v>
      </c>
      <c r="E146" s="213"/>
      <c r="F146" s="218">
        <f>SUM(F139:F142) * Summary!G14</f>
        <v>3303.6945000000001</v>
      </c>
      <c r="G146" s="215"/>
      <c r="H146" s="216"/>
      <c r="I146" s="213"/>
    </row>
    <row r="147" spans="2:9" ht="15.75" x14ac:dyDescent="0.25">
      <c r="B147" s="248" t="s">
        <v>292</v>
      </c>
      <c r="C147" s="215"/>
      <c r="D147" s="212" t="str">
        <f>"Medicare Certified @ " &amp; (Summary!G14*100) &amp; "%"</f>
        <v>Medicare Certified @ 1.45%</v>
      </c>
      <c r="E147" s="213"/>
      <c r="F147" s="218">
        <f>SUM(F133:F138) * Summary!G14</f>
        <v>16119.853000000001</v>
      </c>
      <c r="G147" s="215"/>
      <c r="H147" s="216"/>
      <c r="I147" s="213"/>
    </row>
    <row r="148" spans="2:9" ht="15.75" x14ac:dyDescent="0.25">
      <c r="B148" s="248" t="s">
        <v>292</v>
      </c>
      <c r="C148" s="215"/>
      <c r="D148" s="212" t="str">
        <f>"Other Retirement Classified @ " &amp; (Summary!G15*100) &amp; "%"</f>
        <v>Other Retirement Classified @ 19.89%</v>
      </c>
      <c r="E148" s="213"/>
      <c r="F148" s="218">
        <f>SUM(F139:F142) * Summary!G15</f>
        <v>45317.5749</v>
      </c>
      <c r="G148" s="215"/>
      <c r="H148" s="216"/>
      <c r="I148" s="213"/>
    </row>
    <row r="149" spans="2:9" ht="15.75" x14ac:dyDescent="0.25">
      <c r="B149" s="248" t="s">
        <v>292</v>
      </c>
      <c r="C149" s="215"/>
      <c r="D149" s="212" t="str">
        <f>"Workers Comp Classified @ " &amp; (Summary!G16*100) &amp; "%"</f>
        <v>Workers Comp Classified @ 0.33%</v>
      </c>
      <c r="E149" s="213"/>
      <c r="F149" s="218">
        <f>SUM(F139:F142) * Summary!G16</f>
        <v>751.87530000000004</v>
      </c>
      <c r="G149" s="215"/>
      <c r="H149" s="216"/>
      <c r="I149" s="213"/>
    </row>
    <row r="150" spans="2:9" ht="15.75" x14ac:dyDescent="0.25">
      <c r="B150" s="248" t="s">
        <v>292</v>
      </c>
      <c r="C150" s="215"/>
      <c r="D150" s="212" t="str">
        <f>"Workers Comp Certified @ " &amp; (Summary!G16*100) &amp; "%"</f>
        <v>Workers Comp Certified @ 0.33%</v>
      </c>
      <c r="E150" s="213"/>
      <c r="F150" s="218">
        <f>SUM(F133:F138) * Summary!G16</f>
        <v>3668.6561999999999</v>
      </c>
      <c r="G150" s="215"/>
      <c r="H150" s="216"/>
      <c r="I150" s="213"/>
    </row>
    <row r="151" spans="2:9" ht="15.75" x14ac:dyDescent="0.25">
      <c r="B151" s="248" t="s">
        <v>292</v>
      </c>
      <c r="C151" s="215"/>
      <c r="D151" s="212" t="str">
        <f>"Unemployment Classified @ " &amp; (Summary!G17*100) &amp; "% 1st $6,000"</f>
        <v>Unemployment Classified @ 1% 1st $6,000</v>
      </c>
      <c r="E151" s="213"/>
      <c r="F151" s="218">
        <f>((Summary!D79 + Summary!D81)* 6000) * Summary!G17</f>
        <v>420</v>
      </c>
      <c r="G151" s="215"/>
      <c r="H151" s="216"/>
      <c r="I151" s="213"/>
    </row>
    <row r="152" spans="2:9" ht="15.75" x14ac:dyDescent="0.25">
      <c r="B152" s="248" t="s">
        <v>292</v>
      </c>
      <c r="C152" s="215"/>
      <c r="D152" s="212" t="str">
        <f>"Unemployment Certified @ " &amp; (Summary!G17*100) &amp; "% 1st $6,000"</f>
        <v>Unemployment Certified @ 1% 1st $6,000</v>
      </c>
      <c r="E152" s="213"/>
      <c r="F152" s="219">
        <f>((Summary!D68) * 6000) * Summary!G17</f>
        <v>3864.0000000000005</v>
      </c>
      <c r="G152" s="215"/>
      <c r="H152" s="216"/>
      <c r="I152" s="213"/>
    </row>
    <row r="153" spans="2:9" ht="15.75" x14ac:dyDescent="0.25">
      <c r="B153" s="248" t="s">
        <v>292</v>
      </c>
      <c r="C153" s="215"/>
      <c r="D153" s="212" t="str">
        <f>"KTRS Employer Match @ " &amp; (Summary!G18*100)</f>
        <v>KTRS Employer Match @ 3</v>
      </c>
      <c r="E153" s="213"/>
      <c r="F153" s="219">
        <f>(Summary!D53) * Summary!G18</f>
        <v>39137.67</v>
      </c>
      <c r="G153" s="215"/>
      <c r="H153" s="216"/>
      <c r="I153" s="213"/>
    </row>
    <row r="154" spans="2:9" ht="15.75" x14ac:dyDescent="0.25">
      <c r="B154" s="249"/>
      <c r="C154" s="220" t="s">
        <v>293</v>
      </c>
      <c r="D154" s="26"/>
      <c r="E154" s="213"/>
      <c r="F154" s="219">
        <f>SUM(F133:F153)</f>
        <v>1513190.4658999997</v>
      </c>
      <c r="G154" s="215"/>
      <c r="H154" s="216"/>
      <c r="I154" s="213"/>
    </row>
    <row r="155" spans="2:9" ht="15.75" x14ac:dyDescent="0.25">
      <c r="B155" s="249"/>
      <c r="C155" s="221" t="s">
        <v>294</v>
      </c>
      <c r="D155" s="26"/>
      <c r="E155" s="213"/>
      <c r="F155" s="219">
        <f>+F144+F143+F142+F141+F140+F139+F138+F137+F136+F135+F134+F133</f>
        <v>1386481</v>
      </c>
      <c r="G155" s="215"/>
      <c r="H155" s="216"/>
      <c r="I155" s="213"/>
    </row>
    <row r="157" spans="2:9" x14ac:dyDescent="0.25">
      <c r="B157" s="229" t="s">
        <v>295</v>
      </c>
    </row>
    <row r="158" spans="2:9" x14ac:dyDescent="0.25">
      <c r="B158" s="229" t="s">
        <v>296</v>
      </c>
    </row>
    <row r="161" spans="2:9" x14ac:dyDescent="0.25">
      <c r="B161" s="281" t="s">
        <v>297</v>
      </c>
      <c r="C161" s="281"/>
      <c r="D161" s="281"/>
      <c r="E161" s="281"/>
      <c r="G161" s="281" t="s">
        <v>298</v>
      </c>
      <c r="H161" s="281"/>
      <c r="I161" s="281"/>
    </row>
    <row r="163" spans="2:9" x14ac:dyDescent="0.25">
      <c r="B163" s="281" t="s">
        <v>123</v>
      </c>
      <c r="C163" s="281"/>
      <c r="D163" s="281"/>
      <c r="E163" s="281"/>
      <c r="G163" s="281" t="s">
        <v>299</v>
      </c>
      <c r="H163" s="281"/>
      <c r="I163" s="281"/>
    </row>
  </sheetData>
  <sortState ref="A97:L114">
    <sortCondition ref="A97:A114"/>
  </sortState>
  <mergeCells count="21">
    <mergeCell ref="B161:E161"/>
    <mergeCell ref="A129:J129"/>
    <mergeCell ref="G161:I161"/>
    <mergeCell ref="B163:E163"/>
    <mergeCell ref="G163:I163"/>
    <mergeCell ref="A1:J1"/>
    <mergeCell ref="A2:J2"/>
    <mergeCell ref="A4:J4"/>
    <mergeCell ref="A5:J5"/>
    <mergeCell ref="A6:J6"/>
    <mergeCell ref="A8:J8"/>
    <mergeCell ref="A38:J38"/>
    <mergeCell ref="A40:J40"/>
    <mergeCell ref="A72:J72"/>
    <mergeCell ref="A73:J73"/>
    <mergeCell ref="A66:J66"/>
    <mergeCell ref="A91:J91"/>
    <mergeCell ref="A93:J93"/>
    <mergeCell ref="A94:J94"/>
    <mergeCell ref="A109:J109"/>
    <mergeCell ref="A111:J111"/>
  </mergeCells>
  <pageMargins left="0.7" right="0.7" top="0.75" bottom="0.75" header="0.3" footer="0.3"/>
  <pageSetup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84f034-3e01-4e72-9242-a93a2dbf12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1C542767824DA8D564093337EF17" ma:contentTypeVersion="16" ma:contentTypeDescription="Create a new document." ma:contentTypeScope="" ma:versionID="73a6a9c3e4d5a536902c073e19158a9e">
  <xsd:schema xmlns:xsd="http://www.w3.org/2001/XMLSchema" xmlns:xs="http://www.w3.org/2001/XMLSchema" xmlns:p="http://schemas.microsoft.com/office/2006/metadata/properties" xmlns:ns3="2284f034-3e01-4e72-9242-a93a2dbf12a8" xmlns:ns4="cf6a6c7d-3984-4841-bcdb-911fd8779ac6" targetNamespace="http://schemas.microsoft.com/office/2006/metadata/properties" ma:root="true" ma:fieldsID="794073a546a3ac114a584aa7aa5fa38e" ns3:_="" ns4:_="">
    <xsd:import namespace="2284f034-3e01-4e72-9242-a93a2dbf12a8"/>
    <xsd:import namespace="cf6a6c7d-3984-4841-bcdb-911fd8779a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f034-3e01-4e72-9242-a93a2dbf1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6c7d-3984-4841-bcdb-911fd8779a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1A723-D653-4488-A0EA-84EF7288E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55C33-A133-439C-A05A-C649FF11A616}">
  <ds:schemaRefs>
    <ds:schemaRef ds:uri="http://purl.org/dc/elements/1.1/"/>
    <ds:schemaRef ds:uri="cf6a6c7d-3984-4841-bcdb-911fd8779ac6"/>
    <ds:schemaRef ds:uri="2284f034-3e01-4e72-9242-a93a2dbf12a8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9389D2-83A2-41EC-8D08-7D87D88B3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4f034-3e01-4e72-9242-a93a2dbf12a8"/>
    <ds:schemaRef ds:uri="cf6a6c7d-3984-4841-bcdb-911fd8779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KDEForms</vt:lpstr>
      <vt:lpstr>SalarySchedule</vt:lpstr>
      <vt:lpstr>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Gosney, Trish - Dayton Finance Dept</dc:creator>
  <cp:lastModifiedBy>Hughey, Anthony - Dayton Finance Officer</cp:lastModifiedBy>
  <cp:lastPrinted>2024-04-19T17:51:44Z</cp:lastPrinted>
  <dcterms:created xsi:type="dcterms:W3CDTF">2023-02-13T17:24:37Z</dcterms:created>
  <dcterms:modified xsi:type="dcterms:W3CDTF">2025-04-21T12:50:28Z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0x01010057971C542767824DA8D564093337EF17</vt:lpwstr>
  </property>
</Properties>
</file>