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April 2025\"/>
    </mc:Choice>
  </mc:AlternateContent>
  <xr:revisionPtr revIDLastSave="0" documentId="13_ncr:1_{3D0624DD-B6F4-4772-9129-9939FDACD2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G90" i="1" l="1"/>
  <c r="AA90" i="1"/>
  <c r="Y90" i="1"/>
  <c r="S90" i="1"/>
  <c r="Q90" i="1"/>
  <c r="N90" i="1"/>
  <c r="I90" i="1"/>
  <c r="H90" i="1"/>
  <c r="E90" i="1"/>
  <c r="D90" i="1"/>
  <c r="C90" i="1"/>
  <c r="AF89" i="1"/>
  <c r="AF90" i="1" s="1"/>
  <c r="AE89" i="1"/>
  <c r="AD89" i="1"/>
  <c r="AC89" i="1"/>
  <c r="AC90" i="1" s="1"/>
  <c r="AB89" i="1"/>
  <c r="AB90" i="1" s="1"/>
  <c r="Z89" i="1"/>
  <c r="Z90" i="1" s="1"/>
  <c r="Y89" i="1"/>
  <c r="X89" i="1"/>
  <c r="X90" i="1" s="1"/>
  <c r="W89" i="1"/>
  <c r="V89" i="1"/>
  <c r="U89" i="1"/>
  <c r="U90" i="1" s="1"/>
  <c r="T89" i="1"/>
  <c r="T90" i="1" s="1"/>
  <c r="S89" i="1"/>
  <c r="R89" i="1"/>
  <c r="R90" i="1" s="1"/>
  <c r="Q89" i="1"/>
  <c r="P89" i="1"/>
  <c r="P90" i="1" s="1"/>
  <c r="O89" i="1"/>
  <c r="N89" i="1"/>
  <c r="M89" i="1"/>
  <c r="M90" i="1" s="1"/>
  <c r="L89" i="1"/>
  <c r="L90" i="1" s="1"/>
  <c r="J89" i="1"/>
  <c r="J90" i="1" s="1"/>
  <c r="I89" i="1"/>
  <c r="H89" i="1"/>
  <c r="G89" i="1"/>
  <c r="G90" i="1" s="1"/>
  <c r="F89" i="1"/>
  <c r="AH89" i="1" s="1"/>
  <c r="E89" i="1"/>
  <c r="F88" i="1"/>
  <c r="AH88" i="1" s="1"/>
  <c r="AE87" i="1"/>
  <c r="AE90" i="1" s="1"/>
  <c r="AD87" i="1"/>
  <c r="AD90" i="1" s="1"/>
  <c r="W87" i="1"/>
  <c r="W90" i="1" s="1"/>
  <c r="V87" i="1"/>
  <c r="V90" i="1" s="1"/>
  <c r="U87" i="1"/>
  <c r="O87" i="1"/>
  <c r="O90" i="1" s="1"/>
  <c r="K87" i="1"/>
  <c r="K90" i="1" s="1"/>
  <c r="I87" i="1"/>
  <c r="F87" i="1"/>
  <c r="AH87" i="1" s="1"/>
  <c r="B87" i="1"/>
  <c r="B90" i="1" s="1"/>
  <c r="AH86" i="1"/>
  <c r="AE85" i="1"/>
  <c r="AC85" i="1"/>
  <c r="AB85" i="1"/>
  <c r="AA85" i="1"/>
  <c r="Z85" i="1"/>
  <c r="W85" i="1"/>
  <c r="S85" i="1"/>
  <c r="Q85" i="1"/>
  <c r="P85" i="1"/>
  <c r="O85" i="1"/>
  <c r="M85" i="1"/>
  <c r="J85" i="1"/>
  <c r="H85" i="1"/>
  <c r="G85" i="1"/>
  <c r="D85" i="1"/>
  <c r="C85" i="1"/>
  <c r="AH84" i="1"/>
  <c r="B84" i="1"/>
  <c r="AE83" i="1"/>
  <c r="Y83" i="1"/>
  <c r="V83" i="1"/>
  <c r="U83" i="1"/>
  <c r="T83" i="1"/>
  <c r="L83" i="1"/>
  <c r="AH83" i="1" s="1"/>
  <c r="K83" i="1"/>
  <c r="AG82" i="1"/>
  <c r="AG85" i="1" s="1"/>
  <c r="AE82" i="1"/>
  <c r="AD82" i="1"/>
  <c r="Z82" i="1"/>
  <c r="Y82" i="1"/>
  <c r="X82" i="1"/>
  <c r="X85" i="1" s="1"/>
  <c r="W82" i="1"/>
  <c r="V82" i="1"/>
  <c r="U82" i="1"/>
  <c r="R82" i="1"/>
  <c r="O82" i="1"/>
  <c r="L82" i="1"/>
  <c r="K82" i="1"/>
  <c r="I82" i="1"/>
  <c r="I85" i="1" s="1"/>
  <c r="G82" i="1"/>
  <c r="F82" i="1"/>
  <c r="AH82" i="1" s="1"/>
  <c r="E82" i="1"/>
  <c r="B82" i="1"/>
  <c r="AE81" i="1"/>
  <c r="AD81" i="1"/>
  <c r="Y81" i="1"/>
  <c r="W81" i="1"/>
  <c r="V81" i="1"/>
  <c r="U81" i="1"/>
  <c r="O81" i="1"/>
  <c r="L81" i="1"/>
  <c r="K81" i="1"/>
  <c r="G81" i="1"/>
  <c r="F81" i="1"/>
  <c r="F85" i="1" s="1"/>
  <c r="B81" i="1"/>
  <c r="AH81" i="1" s="1"/>
  <c r="AF80" i="1"/>
  <c r="AF85" i="1" s="1"/>
  <c r="AE80" i="1"/>
  <c r="AD80" i="1"/>
  <c r="AD85" i="1" s="1"/>
  <c r="Y80" i="1"/>
  <c r="Y85" i="1" s="1"/>
  <c r="W80" i="1"/>
  <c r="V80" i="1"/>
  <c r="V85" i="1" s="1"/>
  <c r="U80" i="1"/>
  <c r="U85" i="1" s="1"/>
  <c r="T80" i="1"/>
  <c r="T85" i="1" s="1"/>
  <c r="R80" i="1"/>
  <c r="R85" i="1" s="1"/>
  <c r="N80" i="1"/>
  <c r="N85" i="1" s="1"/>
  <c r="L80" i="1"/>
  <c r="L85" i="1" s="1"/>
  <c r="K80" i="1"/>
  <c r="K85" i="1" s="1"/>
  <c r="E80" i="1"/>
  <c r="E85" i="1" s="1"/>
  <c r="B80" i="1"/>
  <c r="B85" i="1" s="1"/>
  <c r="AH79" i="1"/>
  <c r="AG78" i="1"/>
  <c r="AF78" i="1"/>
  <c r="AC78" i="1"/>
  <c r="AB78" i="1"/>
  <c r="Z78" i="1"/>
  <c r="T78" i="1"/>
  <c r="S78" i="1"/>
  <c r="R78" i="1"/>
  <c r="Q78" i="1"/>
  <c r="P78" i="1"/>
  <c r="N78" i="1"/>
  <c r="M78" i="1"/>
  <c r="L78" i="1"/>
  <c r="J78" i="1"/>
  <c r="I78" i="1"/>
  <c r="D78" i="1"/>
  <c r="C78" i="1"/>
  <c r="AE77" i="1"/>
  <c r="AD77" i="1"/>
  <c r="AB77" i="1"/>
  <c r="AA77" i="1"/>
  <c r="AA78" i="1" s="1"/>
  <c r="Y77" i="1"/>
  <c r="X77" i="1"/>
  <c r="W77" i="1"/>
  <c r="V77" i="1"/>
  <c r="U77" i="1"/>
  <c r="T77" i="1"/>
  <c r="O77" i="1"/>
  <c r="L77" i="1"/>
  <c r="K77" i="1"/>
  <c r="I77" i="1"/>
  <c r="H77" i="1"/>
  <c r="H78" i="1" s="1"/>
  <c r="G77" i="1"/>
  <c r="AH77" i="1" s="1"/>
  <c r="F77" i="1"/>
  <c r="E77" i="1"/>
  <c r="D77" i="1"/>
  <c r="B77" i="1"/>
  <c r="AH76" i="1"/>
  <c r="X76" i="1"/>
  <c r="X78" i="1" s="1"/>
  <c r="L76" i="1"/>
  <c r="K76" i="1"/>
  <c r="K78" i="1" s="1"/>
  <c r="I76" i="1"/>
  <c r="F76" i="1"/>
  <c r="E76" i="1"/>
  <c r="B76" i="1"/>
  <c r="AE75" i="1"/>
  <c r="AD75" i="1"/>
  <c r="Y75" i="1"/>
  <c r="W75" i="1"/>
  <c r="V75" i="1"/>
  <c r="U75" i="1"/>
  <c r="F75" i="1"/>
  <c r="E75" i="1"/>
  <c r="AH75" i="1" s="1"/>
  <c r="B75" i="1"/>
  <c r="AE74" i="1"/>
  <c r="AD74" i="1"/>
  <c r="AD78" i="1" s="1"/>
  <c r="Y74" i="1"/>
  <c r="W74" i="1"/>
  <c r="W78" i="1" s="1"/>
  <c r="V74" i="1"/>
  <c r="U74" i="1"/>
  <c r="T74" i="1"/>
  <c r="O74" i="1"/>
  <c r="AH74" i="1" s="1"/>
  <c r="F74" i="1"/>
  <c r="E74" i="1"/>
  <c r="B74" i="1"/>
  <c r="AE73" i="1"/>
  <c r="AE78" i="1" s="1"/>
  <c r="Y73" i="1"/>
  <c r="Y78" i="1" s="1"/>
  <c r="V73" i="1"/>
  <c r="U73" i="1"/>
  <c r="O73" i="1"/>
  <c r="O78" i="1" s="1"/>
  <c r="F73" i="1"/>
  <c r="B73" i="1"/>
  <c r="V72" i="1"/>
  <c r="V78" i="1" s="1"/>
  <c r="U72" i="1"/>
  <c r="U78" i="1" s="1"/>
  <c r="F72" i="1"/>
  <c r="F78" i="1" s="1"/>
  <c r="B72" i="1"/>
  <c r="AH72" i="1" s="1"/>
  <c r="AH71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O69" i="1"/>
  <c r="F69" i="1"/>
  <c r="B69" i="1"/>
  <c r="AH69" i="1" s="1"/>
  <c r="F68" i="1"/>
  <c r="B68" i="1"/>
  <c r="B70" i="1" s="1"/>
  <c r="AH70" i="1" s="1"/>
  <c r="AH67" i="1"/>
  <c r="AG66" i="1"/>
  <c r="AF66" i="1"/>
  <c r="AE66" i="1"/>
  <c r="AC66" i="1"/>
  <c r="AB66" i="1"/>
  <c r="AA66" i="1"/>
  <c r="X66" i="1"/>
  <c r="W66" i="1"/>
  <c r="U66" i="1"/>
  <c r="T66" i="1"/>
  <c r="S66" i="1"/>
  <c r="R66" i="1"/>
  <c r="Q66" i="1"/>
  <c r="P66" i="1"/>
  <c r="O66" i="1"/>
  <c r="N66" i="1"/>
  <c r="M66" i="1"/>
  <c r="L66" i="1"/>
  <c r="J66" i="1"/>
  <c r="H66" i="1"/>
  <c r="G66" i="1"/>
  <c r="E66" i="1"/>
  <c r="C66" i="1"/>
  <c r="AD65" i="1"/>
  <c r="B65" i="1"/>
  <c r="AH65" i="1" s="1"/>
  <c r="AE64" i="1"/>
  <c r="B64" i="1"/>
  <c r="AH64" i="1" s="1"/>
  <c r="AE63" i="1"/>
  <c r="AD63" i="1"/>
  <c r="AD66" i="1" s="1"/>
  <c r="Z63" i="1"/>
  <c r="Z66" i="1" s="1"/>
  <c r="Y63" i="1"/>
  <c r="Y66" i="1" s="1"/>
  <c r="W63" i="1"/>
  <c r="V63" i="1"/>
  <c r="U63" i="1"/>
  <c r="T63" i="1"/>
  <c r="O63" i="1"/>
  <c r="K63" i="1"/>
  <c r="K66" i="1" s="1"/>
  <c r="I63" i="1"/>
  <c r="I66" i="1" s="1"/>
  <c r="F63" i="1"/>
  <c r="E63" i="1"/>
  <c r="D63" i="1"/>
  <c r="D66" i="1" s="1"/>
  <c r="B63" i="1"/>
  <c r="AH63" i="1" s="1"/>
  <c r="F62" i="1"/>
  <c r="B62" i="1"/>
  <c r="AH62" i="1" s="1"/>
  <c r="V61" i="1"/>
  <c r="AH61" i="1" s="1"/>
  <c r="F60" i="1"/>
  <c r="B60" i="1"/>
  <c r="AH60" i="1" s="1"/>
  <c r="F59" i="1"/>
  <c r="B59" i="1"/>
  <c r="AH59" i="1" s="1"/>
  <c r="F58" i="1"/>
  <c r="AH58" i="1" s="1"/>
  <c r="B58" i="1"/>
  <c r="AH57" i="1"/>
  <c r="F57" i="1"/>
  <c r="F66" i="1" s="1"/>
  <c r="B57" i="1"/>
  <c r="B66" i="1" s="1"/>
  <c r="AH56" i="1"/>
  <c r="AE55" i="1"/>
  <c r="AD55" i="1"/>
  <c r="Y55" i="1"/>
  <c r="X55" i="1"/>
  <c r="W55" i="1"/>
  <c r="O55" i="1"/>
  <c r="K55" i="1"/>
  <c r="I55" i="1"/>
  <c r="H55" i="1"/>
  <c r="G55" i="1"/>
  <c r="F55" i="1"/>
  <c r="E55" i="1"/>
  <c r="B55" i="1"/>
  <c r="AH55" i="1" s="1"/>
  <c r="AG54" i="1"/>
  <c r="AF54" i="1"/>
  <c r="AD54" i="1"/>
  <c r="AC54" i="1"/>
  <c r="AB54" i="1"/>
  <c r="AA54" i="1"/>
  <c r="Z54" i="1"/>
  <c r="X54" i="1"/>
  <c r="W54" i="1"/>
  <c r="V54" i="1"/>
  <c r="T54" i="1"/>
  <c r="S54" i="1"/>
  <c r="R54" i="1"/>
  <c r="O54" i="1"/>
  <c r="N54" i="1"/>
  <c r="L54" i="1"/>
  <c r="J54" i="1"/>
  <c r="G54" i="1"/>
  <c r="F54" i="1"/>
  <c r="D54" i="1"/>
  <c r="C54" i="1"/>
  <c r="AE53" i="1"/>
  <c r="AD53" i="1"/>
  <c r="Y53" i="1"/>
  <c r="W53" i="1"/>
  <c r="V53" i="1"/>
  <c r="U53" i="1"/>
  <c r="T53" i="1"/>
  <c r="O53" i="1"/>
  <c r="M53" i="1"/>
  <c r="M54" i="1" s="1"/>
  <c r="I53" i="1"/>
  <c r="I54" i="1" s="1"/>
  <c r="H53" i="1"/>
  <c r="F53" i="1"/>
  <c r="E53" i="1"/>
  <c r="E54" i="1" s="1"/>
  <c r="B53" i="1"/>
  <c r="AH53" i="1" s="1"/>
  <c r="F52" i="1"/>
  <c r="B52" i="1"/>
  <c r="AH52" i="1" s="1"/>
  <c r="B51" i="1"/>
  <c r="AH51" i="1" s="1"/>
  <c r="AE50" i="1"/>
  <c r="AE54" i="1" s="1"/>
  <c r="AD50" i="1"/>
  <c r="Y50" i="1"/>
  <c r="Y54" i="1" s="1"/>
  <c r="V50" i="1"/>
  <c r="U50" i="1"/>
  <c r="U54" i="1" s="1"/>
  <c r="T50" i="1"/>
  <c r="Q50" i="1"/>
  <c r="Q54" i="1" s="1"/>
  <c r="P50" i="1"/>
  <c r="P54" i="1" s="1"/>
  <c r="N50" i="1"/>
  <c r="K50" i="1"/>
  <c r="K54" i="1" s="1"/>
  <c r="H50" i="1"/>
  <c r="H54" i="1" s="1"/>
  <c r="F50" i="1"/>
  <c r="B50" i="1"/>
  <c r="B54" i="1" s="1"/>
  <c r="AH54" i="1" s="1"/>
  <c r="AH49" i="1"/>
  <c r="AC48" i="1"/>
  <c r="AB48" i="1"/>
  <c r="AA48" i="1"/>
  <c r="X48" i="1"/>
  <c r="S48" i="1"/>
  <c r="R48" i="1"/>
  <c r="K48" i="1"/>
  <c r="J48" i="1"/>
  <c r="D48" i="1"/>
  <c r="C48" i="1"/>
  <c r="AF47" i="1"/>
  <c r="AE47" i="1"/>
  <c r="AD47" i="1"/>
  <c r="Z47" i="1"/>
  <c r="Y47" i="1"/>
  <c r="W47" i="1"/>
  <c r="V47" i="1"/>
  <c r="U47" i="1"/>
  <c r="R47" i="1"/>
  <c r="P47" i="1"/>
  <c r="O47" i="1"/>
  <c r="L47" i="1"/>
  <c r="H47" i="1"/>
  <c r="G47" i="1"/>
  <c r="E47" i="1"/>
  <c r="AH47" i="1" s="1"/>
  <c r="AE46" i="1"/>
  <c r="AD46" i="1"/>
  <c r="Y46" i="1"/>
  <c r="W46" i="1"/>
  <c r="R46" i="1"/>
  <c r="Q46" i="1"/>
  <c r="O46" i="1"/>
  <c r="N46" i="1"/>
  <c r="M46" i="1"/>
  <c r="J46" i="1"/>
  <c r="I46" i="1"/>
  <c r="G46" i="1"/>
  <c r="F46" i="1"/>
  <c r="E46" i="1"/>
  <c r="AH46" i="1" s="1"/>
  <c r="AF45" i="1"/>
  <c r="AE45" i="1"/>
  <c r="AD45" i="1"/>
  <c r="W45" i="1"/>
  <c r="V45" i="1"/>
  <c r="S45" i="1"/>
  <c r="R45" i="1"/>
  <c r="Q45" i="1"/>
  <c r="P45" i="1"/>
  <c r="O45" i="1"/>
  <c r="N45" i="1"/>
  <c r="M45" i="1"/>
  <c r="J45" i="1"/>
  <c r="I45" i="1"/>
  <c r="F45" i="1"/>
  <c r="B45" i="1"/>
  <c r="AH45" i="1" s="1"/>
  <c r="AF44" i="1"/>
  <c r="AF48" i="1" s="1"/>
  <c r="AE44" i="1"/>
  <c r="AE48" i="1" s="1"/>
  <c r="AD44" i="1"/>
  <c r="V44" i="1"/>
  <c r="U44" i="1"/>
  <c r="Q44" i="1"/>
  <c r="P44" i="1"/>
  <c r="N44" i="1"/>
  <c r="F44" i="1"/>
  <c r="B44" i="1"/>
  <c r="AH44" i="1" s="1"/>
  <c r="AF43" i="1"/>
  <c r="AE43" i="1"/>
  <c r="AD43" i="1"/>
  <c r="Z43" i="1"/>
  <c r="Z48" i="1" s="1"/>
  <c r="Y43" i="1"/>
  <c r="W43" i="1"/>
  <c r="V43" i="1"/>
  <c r="U43" i="1"/>
  <c r="R43" i="1"/>
  <c r="P43" i="1"/>
  <c r="O43" i="1"/>
  <c r="L43" i="1"/>
  <c r="H43" i="1"/>
  <c r="G43" i="1"/>
  <c r="E43" i="1"/>
  <c r="AH43" i="1" s="1"/>
  <c r="AE42" i="1"/>
  <c r="AD42" i="1"/>
  <c r="Y42" i="1"/>
  <c r="V42" i="1"/>
  <c r="U42" i="1"/>
  <c r="Q42" i="1"/>
  <c r="P42" i="1"/>
  <c r="O42" i="1"/>
  <c r="N42" i="1"/>
  <c r="J42" i="1"/>
  <c r="F42" i="1"/>
  <c r="E42" i="1"/>
  <c r="B42" i="1"/>
  <c r="AH42" i="1" s="1"/>
  <c r="AG41" i="1"/>
  <c r="AF41" i="1"/>
  <c r="AE41" i="1"/>
  <c r="AD41" i="1"/>
  <c r="Z41" i="1"/>
  <c r="Y41" i="1"/>
  <c r="W41" i="1"/>
  <c r="V41" i="1"/>
  <c r="U41" i="1"/>
  <c r="T41" i="1"/>
  <c r="S41" i="1"/>
  <c r="R41" i="1"/>
  <c r="O41" i="1"/>
  <c r="N41" i="1"/>
  <c r="M41" i="1"/>
  <c r="L41" i="1"/>
  <c r="I41" i="1"/>
  <c r="H41" i="1"/>
  <c r="G41" i="1"/>
  <c r="F41" i="1"/>
  <c r="E41" i="1"/>
  <c r="B41" i="1"/>
  <c r="AH41" i="1" s="1"/>
  <c r="AG40" i="1"/>
  <c r="AG48" i="1" s="1"/>
  <c r="AF40" i="1"/>
  <c r="AE40" i="1"/>
  <c r="AD40" i="1"/>
  <c r="Z40" i="1"/>
  <c r="Y40" i="1"/>
  <c r="W40" i="1"/>
  <c r="W48" i="1" s="1"/>
  <c r="V40" i="1"/>
  <c r="U40" i="1"/>
  <c r="T40" i="1"/>
  <c r="T48" i="1" s="1"/>
  <c r="S40" i="1"/>
  <c r="R40" i="1"/>
  <c r="Q40" i="1"/>
  <c r="P40" i="1"/>
  <c r="O40" i="1"/>
  <c r="N40" i="1"/>
  <c r="M40" i="1"/>
  <c r="M48" i="1" s="1"/>
  <c r="L40" i="1"/>
  <c r="J40" i="1"/>
  <c r="I40" i="1"/>
  <c r="I48" i="1" s="1"/>
  <c r="H40" i="1"/>
  <c r="G40" i="1"/>
  <c r="G48" i="1" s="1"/>
  <c r="F40" i="1"/>
  <c r="E40" i="1"/>
  <c r="B40" i="1"/>
  <c r="AH40" i="1" s="1"/>
  <c r="AE39" i="1"/>
  <c r="AD39" i="1"/>
  <c r="Y39" i="1"/>
  <c r="V39" i="1"/>
  <c r="U39" i="1"/>
  <c r="Q39" i="1"/>
  <c r="Q48" i="1" s="1"/>
  <c r="P39" i="1"/>
  <c r="P48" i="1" s="1"/>
  <c r="O39" i="1"/>
  <c r="O48" i="1" s="1"/>
  <c r="N39" i="1"/>
  <c r="N48" i="1" s="1"/>
  <c r="J39" i="1"/>
  <c r="F39" i="1"/>
  <c r="F48" i="1" s="1"/>
  <c r="E39" i="1"/>
  <c r="B39" i="1"/>
  <c r="AH39" i="1" s="1"/>
  <c r="B38" i="1"/>
  <c r="B48" i="1" s="1"/>
  <c r="AF37" i="1"/>
  <c r="AE37" i="1"/>
  <c r="AD37" i="1"/>
  <c r="AD48" i="1" s="1"/>
  <c r="Z37" i="1"/>
  <c r="Y37" i="1"/>
  <c r="Y48" i="1" s="1"/>
  <c r="W37" i="1"/>
  <c r="V37" i="1"/>
  <c r="V48" i="1" s="1"/>
  <c r="U37" i="1"/>
  <c r="U48" i="1" s="1"/>
  <c r="R37" i="1"/>
  <c r="P37" i="1"/>
  <c r="O37" i="1"/>
  <c r="L37" i="1"/>
  <c r="L48" i="1" s="1"/>
  <c r="H37" i="1"/>
  <c r="H48" i="1" s="1"/>
  <c r="G37" i="1"/>
  <c r="E37" i="1"/>
  <c r="AH37" i="1" s="1"/>
  <c r="AH36" i="1"/>
  <c r="AE35" i="1"/>
  <c r="AE91" i="1" s="1"/>
  <c r="AD35" i="1"/>
  <c r="AB35" i="1"/>
  <c r="AA35" i="1"/>
  <c r="AA91" i="1" s="1"/>
  <c r="X35" i="1"/>
  <c r="X91" i="1" s="1"/>
  <c r="W35" i="1"/>
  <c r="W91" i="1" s="1"/>
  <c r="V35" i="1"/>
  <c r="T35" i="1"/>
  <c r="O35" i="1"/>
  <c r="L35" i="1"/>
  <c r="L91" i="1" s="1"/>
  <c r="K35" i="1"/>
  <c r="D35" i="1"/>
  <c r="D91" i="1" s="1"/>
  <c r="C35" i="1"/>
  <c r="C91" i="1" s="1"/>
  <c r="AE34" i="1"/>
  <c r="AD34" i="1"/>
  <c r="Y34" i="1"/>
  <c r="V34" i="1"/>
  <c r="U34" i="1"/>
  <c r="Q34" i="1"/>
  <c r="Q35" i="1" s="1"/>
  <c r="Q91" i="1" s="1"/>
  <c r="P34" i="1"/>
  <c r="P35" i="1" s="1"/>
  <c r="P91" i="1" s="1"/>
  <c r="O34" i="1"/>
  <c r="N34" i="1"/>
  <c r="J34" i="1"/>
  <c r="J35" i="1" s="1"/>
  <c r="F34" i="1"/>
  <c r="F35" i="1" s="1"/>
  <c r="E34" i="1"/>
  <c r="B34" i="1"/>
  <c r="AH34" i="1" s="1"/>
  <c r="AG33" i="1"/>
  <c r="AG35" i="1" s="1"/>
  <c r="AG91" i="1" s="1"/>
  <c r="AF33" i="1"/>
  <c r="AF35" i="1" s="1"/>
  <c r="AF91" i="1" s="1"/>
  <c r="AE33" i="1"/>
  <c r="AD33" i="1"/>
  <c r="AC33" i="1"/>
  <c r="AC35" i="1" s="1"/>
  <c r="AC91" i="1" s="1"/>
  <c r="Z33" i="1"/>
  <c r="Z35" i="1" s="1"/>
  <c r="Z91" i="1" s="1"/>
  <c r="Y33" i="1"/>
  <c r="Y35" i="1" s="1"/>
  <c r="W33" i="1"/>
  <c r="V33" i="1"/>
  <c r="U33" i="1"/>
  <c r="U35" i="1" s="1"/>
  <c r="T33" i="1"/>
  <c r="S33" i="1"/>
  <c r="S35" i="1" s="1"/>
  <c r="S91" i="1" s="1"/>
  <c r="R33" i="1"/>
  <c r="R35" i="1" s="1"/>
  <c r="R91" i="1" s="1"/>
  <c r="O33" i="1"/>
  <c r="N33" i="1"/>
  <c r="N35" i="1" s="1"/>
  <c r="M33" i="1"/>
  <c r="M35" i="1" s="1"/>
  <c r="M91" i="1" s="1"/>
  <c r="L33" i="1"/>
  <c r="K33" i="1"/>
  <c r="I33" i="1"/>
  <c r="I35" i="1" s="1"/>
  <c r="I91" i="1" s="1"/>
  <c r="H33" i="1"/>
  <c r="H35" i="1" s="1"/>
  <c r="G33" i="1"/>
  <c r="G35" i="1" s="1"/>
  <c r="F33" i="1"/>
  <c r="E33" i="1"/>
  <c r="E35" i="1" s="1"/>
  <c r="B33" i="1"/>
  <c r="AH33" i="1" s="1"/>
  <c r="AH32" i="1"/>
  <c r="AF29" i="1"/>
  <c r="AF30" i="1" s="1"/>
  <c r="AF92" i="1" s="1"/>
  <c r="AF93" i="1" s="1"/>
  <c r="X29" i="1"/>
  <c r="X30" i="1" s="1"/>
  <c r="X92" i="1" s="1"/>
  <c r="X93" i="1" s="1"/>
  <c r="N29" i="1"/>
  <c r="N30" i="1" s="1"/>
  <c r="AG28" i="1"/>
  <c r="AF28" i="1"/>
  <c r="AE28" i="1"/>
  <c r="AA28" i="1"/>
  <c r="Z28" i="1"/>
  <c r="Y28" i="1"/>
  <c r="X28" i="1"/>
  <c r="W28" i="1"/>
  <c r="R28" i="1"/>
  <c r="O28" i="1"/>
  <c r="N28" i="1"/>
  <c r="M28" i="1"/>
  <c r="L28" i="1"/>
  <c r="K28" i="1"/>
  <c r="J28" i="1"/>
  <c r="I28" i="1"/>
  <c r="G28" i="1"/>
  <c r="F28" i="1"/>
  <c r="D28" i="1"/>
  <c r="C28" i="1"/>
  <c r="B28" i="1"/>
  <c r="AE27" i="1"/>
  <c r="AD27" i="1"/>
  <c r="AD28" i="1" s="1"/>
  <c r="AD29" i="1" s="1"/>
  <c r="AD30" i="1" s="1"/>
  <c r="AC27" i="1"/>
  <c r="AC28" i="1" s="1"/>
  <c r="AB27" i="1"/>
  <c r="AB28" i="1" s="1"/>
  <c r="Z27" i="1"/>
  <c r="Y27" i="1"/>
  <c r="W27" i="1"/>
  <c r="V27" i="1"/>
  <c r="V28" i="1" s="1"/>
  <c r="V29" i="1" s="1"/>
  <c r="V30" i="1" s="1"/>
  <c r="U27" i="1"/>
  <c r="U28" i="1" s="1"/>
  <c r="T27" i="1"/>
  <c r="T28" i="1" s="1"/>
  <c r="R27" i="1"/>
  <c r="O27" i="1"/>
  <c r="H27" i="1"/>
  <c r="H28" i="1" s="1"/>
  <c r="H29" i="1" s="1"/>
  <c r="H30" i="1" s="1"/>
  <c r="G27" i="1"/>
  <c r="E27" i="1"/>
  <c r="E28" i="1" s="1"/>
  <c r="S26" i="1"/>
  <c r="S28" i="1" s="1"/>
  <c r="Q26" i="1"/>
  <c r="AH26" i="1" s="1"/>
  <c r="P26" i="1"/>
  <c r="P28" i="1" s="1"/>
  <c r="P29" i="1" s="1"/>
  <c r="P30" i="1" s="1"/>
  <c r="P92" i="1" s="1"/>
  <c r="P93" i="1" s="1"/>
  <c r="N26" i="1"/>
  <c r="AH25" i="1"/>
  <c r="B24" i="1"/>
  <c r="AH24" i="1" s="1"/>
  <c r="AH23" i="1"/>
  <c r="B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H22" i="1"/>
  <c r="G22" i="1"/>
  <c r="E22" i="1"/>
  <c r="D22" i="1"/>
  <c r="C22" i="1"/>
  <c r="B22" i="1"/>
  <c r="AH21" i="1"/>
  <c r="F21" i="1"/>
  <c r="M20" i="1"/>
  <c r="I20" i="1"/>
  <c r="I22" i="1" s="1"/>
  <c r="F20" i="1"/>
  <c r="AH20" i="1" s="1"/>
  <c r="AG19" i="1"/>
  <c r="AG29" i="1" s="1"/>
  <c r="AG30" i="1" s="1"/>
  <c r="AF19" i="1"/>
  <c r="AE19" i="1"/>
  <c r="AE29" i="1" s="1"/>
  <c r="AE30" i="1" s="1"/>
  <c r="AE92" i="1" s="1"/>
  <c r="AE93" i="1" s="1"/>
  <c r="AD19" i="1"/>
  <c r="AC19" i="1"/>
  <c r="AC29" i="1" s="1"/>
  <c r="AC30" i="1" s="1"/>
  <c r="AB19" i="1"/>
  <c r="AA19" i="1"/>
  <c r="AA29" i="1" s="1"/>
  <c r="AA30" i="1" s="1"/>
  <c r="AA92" i="1" s="1"/>
  <c r="AA93" i="1" s="1"/>
  <c r="Z19" i="1"/>
  <c r="Z29" i="1" s="1"/>
  <c r="Z30" i="1" s="1"/>
  <c r="Z92" i="1" s="1"/>
  <c r="Z93" i="1" s="1"/>
  <c r="Y19" i="1"/>
  <c r="Y29" i="1" s="1"/>
  <c r="Y30" i="1" s="1"/>
  <c r="X19" i="1"/>
  <c r="W19" i="1"/>
  <c r="W29" i="1" s="1"/>
  <c r="W30" i="1" s="1"/>
  <c r="W92" i="1" s="1"/>
  <c r="W93" i="1" s="1"/>
  <c r="V19" i="1"/>
  <c r="U19" i="1"/>
  <c r="U29" i="1" s="1"/>
  <c r="U30" i="1" s="1"/>
  <c r="T19" i="1"/>
  <c r="S19" i="1"/>
  <c r="R19" i="1"/>
  <c r="R29" i="1" s="1"/>
  <c r="R30" i="1" s="1"/>
  <c r="R92" i="1" s="1"/>
  <c r="R93" i="1" s="1"/>
  <c r="Q19" i="1"/>
  <c r="P19" i="1"/>
  <c r="O19" i="1"/>
  <c r="O29" i="1" s="1"/>
  <c r="O30" i="1" s="1"/>
  <c r="N19" i="1"/>
  <c r="M19" i="1"/>
  <c r="M29" i="1" s="1"/>
  <c r="M30" i="1" s="1"/>
  <c r="M92" i="1" s="1"/>
  <c r="M93" i="1" s="1"/>
  <c r="L19" i="1"/>
  <c r="L29" i="1" s="1"/>
  <c r="L30" i="1" s="1"/>
  <c r="L92" i="1" s="1"/>
  <c r="L93" i="1" s="1"/>
  <c r="I19" i="1"/>
  <c r="I29" i="1" s="1"/>
  <c r="I30" i="1" s="1"/>
  <c r="H19" i="1"/>
  <c r="G19" i="1"/>
  <c r="G29" i="1" s="1"/>
  <c r="G30" i="1" s="1"/>
  <c r="E19" i="1"/>
  <c r="E29" i="1" s="1"/>
  <c r="E30" i="1" s="1"/>
  <c r="D19" i="1"/>
  <c r="D29" i="1" s="1"/>
  <c r="D30" i="1" s="1"/>
  <c r="D92" i="1" s="1"/>
  <c r="D93" i="1" s="1"/>
  <c r="C19" i="1"/>
  <c r="C29" i="1" s="1"/>
  <c r="C30" i="1" s="1"/>
  <c r="AH18" i="1"/>
  <c r="F18" i="1"/>
  <c r="AH17" i="1"/>
  <c r="C17" i="1"/>
  <c r="B17" i="1"/>
  <c r="B16" i="1"/>
  <c r="AH16" i="1" s="1"/>
  <c r="B15" i="1"/>
  <c r="AH15" i="1" s="1"/>
  <c r="AH14" i="1"/>
  <c r="B14" i="1"/>
  <c r="L13" i="1"/>
  <c r="K13" i="1"/>
  <c r="F13" i="1"/>
  <c r="AH13" i="1" s="1"/>
  <c r="B13" i="1"/>
  <c r="AH12" i="1"/>
  <c r="F12" i="1"/>
  <c r="F19" i="1" s="1"/>
  <c r="AF11" i="1"/>
  <c r="X11" i="1"/>
  <c r="J11" i="1"/>
  <c r="AH11" i="1" s="1"/>
  <c r="L10" i="1"/>
  <c r="K10" i="1"/>
  <c r="K19" i="1" s="1"/>
  <c r="K29" i="1" s="1"/>
  <c r="K30" i="1" s="1"/>
  <c r="AH9" i="1"/>
  <c r="B9" i="1"/>
  <c r="B8" i="1"/>
  <c r="AH8" i="1" s="1"/>
  <c r="AH7" i="1"/>
  <c r="I92" i="1" l="1"/>
  <c r="I93" i="1" s="1"/>
  <c r="S29" i="1"/>
  <c r="S30" i="1" s="1"/>
  <c r="S92" i="1" s="1"/>
  <c r="S93" i="1" s="1"/>
  <c r="U91" i="1"/>
  <c r="K92" i="1"/>
  <c r="K93" i="1" s="1"/>
  <c r="T29" i="1"/>
  <c r="T30" i="1" s="1"/>
  <c r="T92" i="1" s="1"/>
  <c r="T93" i="1" s="1"/>
  <c r="V92" i="1"/>
  <c r="V93" i="1" s="1"/>
  <c r="K91" i="1"/>
  <c r="AB91" i="1"/>
  <c r="AH85" i="1"/>
  <c r="AB29" i="1"/>
  <c r="AB30" i="1" s="1"/>
  <c r="AB92" i="1" s="1"/>
  <c r="AB93" i="1" s="1"/>
  <c r="U92" i="1"/>
  <c r="U93" i="1" s="1"/>
  <c r="AD91" i="1"/>
  <c r="AD92" i="1" s="1"/>
  <c r="AD93" i="1" s="1"/>
  <c r="AC92" i="1"/>
  <c r="AC93" i="1" s="1"/>
  <c r="C92" i="1"/>
  <c r="C93" i="1" s="1"/>
  <c r="N91" i="1"/>
  <c r="Y91" i="1"/>
  <c r="O91" i="1"/>
  <c r="F29" i="1"/>
  <c r="F30" i="1" s="1"/>
  <c r="O92" i="1"/>
  <c r="O93" i="1" s="1"/>
  <c r="T91" i="1"/>
  <c r="J91" i="1"/>
  <c r="V91" i="1"/>
  <c r="Y92" i="1"/>
  <c r="Y93" i="1" s="1"/>
  <c r="AG92" i="1"/>
  <c r="AG93" i="1" s="1"/>
  <c r="N92" i="1"/>
  <c r="N93" i="1" s="1"/>
  <c r="H91" i="1"/>
  <c r="H92" i="1" s="1"/>
  <c r="H93" i="1" s="1"/>
  <c r="B78" i="1"/>
  <c r="AH78" i="1" s="1"/>
  <c r="AH80" i="1"/>
  <c r="B19" i="1"/>
  <c r="J19" i="1"/>
  <c r="J29" i="1" s="1"/>
  <c r="J30" i="1" s="1"/>
  <c r="AH38" i="1"/>
  <c r="AH50" i="1"/>
  <c r="V66" i="1"/>
  <c r="AH66" i="1" s="1"/>
  <c r="AH68" i="1"/>
  <c r="F90" i="1"/>
  <c r="F91" i="1" s="1"/>
  <c r="E78" i="1"/>
  <c r="AH10" i="1"/>
  <c r="F22" i="1"/>
  <c r="AH22" i="1" s="1"/>
  <c r="AH73" i="1"/>
  <c r="AH27" i="1"/>
  <c r="Q28" i="1"/>
  <c r="AH28" i="1" s="1"/>
  <c r="E48" i="1"/>
  <c r="AH48" i="1" s="1"/>
  <c r="G78" i="1"/>
  <c r="G91" i="1" s="1"/>
  <c r="G92" i="1" s="1"/>
  <c r="G93" i="1" s="1"/>
  <c r="B35" i="1"/>
  <c r="AH90" i="1" l="1"/>
  <c r="F92" i="1"/>
  <c r="F93" i="1" s="1"/>
  <c r="Q29" i="1"/>
  <c r="Q30" i="1" s="1"/>
  <c r="Q92" i="1" s="1"/>
  <c r="Q93" i="1" s="1"/>
  <c r="B29" i="1"/>
  <c r="AH19" i="1"/>
  <c r="E91" i="1"/>
  <c r="E92" i="1" s="1"/>
  <c r="E93" i="1" s="1"/>
  <c r="J92" i="1"/>
  <c r="J93" i="1" s="1"/>
  <c r="B91" i="1"/>
  <c r="AH91" i="1" s="1"/>
  <c r="AH35" i="1"/>
  <c r="B30" i="1" l="1"/>
  <c r="AH29" i="1"/>
  <c r="B92" i="1" l="1"/>
  <c r="AH30" i="1"/>
  <c r="B93" i="1" l="1"/>
  <c r="AH93" i="1" s="1"/>
  <c r="AH92" i="1"/>
</calcChain>
</file>

<file path=xl/sharedStrings.xml><?xml version="1.0" encoding="utf-8"?>
<sst xmlns="http://schemas.openxmlformats.org/spreadsheetml/2006/main" count="124" uniqueCount="124">
  <si>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</si>
  <si>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</si>
  <si>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</si>
  <si>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</si>
  <si>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</si>
  <si>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</si>
  <si>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</si>
  <si>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</si>
  <si>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</si>
  <si>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</si>
  <si>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</si>
  <si>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</si>
  <si>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</si>
  <si>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</si>
  <si>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</t>
  </si>
  <si>
    <t>2943 - DCBS</t>
  </si>
  <si>
    <t>3010 - FRYSC - Fed</t>
  </si>
  <si>
    <t>3220 - PERS Effectiveness Coach</t>
  </si>
  <si>
    <t>3299 - ARP</t>
  </si>
  <si>
    <t>336K - IDEA B 23-24</t>
  </si>
  <si>
    <t>336L - IDEA B 24-25</t>
  </si>
  <si>
    <t>3416- SPF</t>
  </si>
  <si>
    <t>3420 - Interact for Health</t>
  </si>
  <si>
    <t>3425 - Deeper Learning</t>
  </si>
  <si>
    <t>345K - Title III EL 23-24</t>
  </si>
  <si>
    <t>345L - Title III EL 24-25</t>
  </si>
  <si>
    <t>3601 - School Based Interventions</t>
  </si>
  <si>
    <t>3602 - Healthy Schools 24-25</t>
  </si>
  <si>
    <t>3800 - Trauma Informed</t>
  </si>
  <si>
    <t>3925 - Mental Health</t>
  </si>
  <si>
    <t>3931 - RSP SBMH Counselor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</si>
  <si>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</si>
  <si>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</si>
  <si>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</si>
  <si>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</si>
  <si>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</si>
  <si>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</si>
  <si>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</si>
  <si>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</si>
  <si>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</si>
  <si>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</si>
  <si>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</si>
  <si>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</si>
  <si>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</si>
  <si>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</si>
  <si>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</si>
  <si>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</si>
  <si>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</si>
  <si>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</si>
  <si>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</si>
  <si>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</si>
  <si>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</si>
  <si>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</si>
  <si>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</si>
  <si>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</si>
  <si>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</si>
  <si>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</si>
  <si>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</si>
  <si>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</si>
  <si>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</si>
  <si>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</si>
  <si>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</si>
  <si>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</si>
  <si>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</si>
  <si>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</si>
  <si>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</si>
  <si>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</si>
  <si>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</si>
  <si>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</si>
  <si>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</si>
  <si>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</si>
  <si>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</si>
  <si>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</si>
  <si>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</si>
  <si>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</si>
  <si>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</si>
  <si>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</si>
  <si>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</si>
  <si>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</si>
  <si>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</si>
  <si>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</si>
  <si>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</si>
  <si>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</si>
  <si>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</si>
  <si>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</si>
  <si>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</si>
  <si>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</si>
  <si>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</si>
  <si>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</si>
  <si>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</si>
  <si>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</si>
  <si>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</si>
  <si>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</si>
  <si>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</si>
  <si>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</si>
  <si>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</si>
  <si>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</si>
  <si>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</si>
  <si>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</si>
  <si>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</si>
  <si>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</si>
  <si>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</si>
  <si>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</si>
  <si>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</si>
  <si>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</si>
  <si>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</si>
  <si>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</si>
  <si>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</si>
  <si>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</si>
  <si>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</si>
  <si>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</si>
  <si>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</si>
  <si>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</si>
  <si>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</si>
  <si>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</si>
  <si>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40830 DISTRICT RECORD FEE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</si>
  <si>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</si>
  <si>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</si>
  <si>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</si>
  <si>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</si>
  <si>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</si>
  <si>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</si>
  <si>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</si>
  <si>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2024 -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</si>
</sst>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7"/>
  <sheetViews>
    <sheetView tabSelected="1" workbookViewId="0">
      <selection activeCell="A97" sqref="A97:AH97"/>
    </sheetView>
  </sheetViews>
  <sheetFormatPr defaultRowHeight="15" x14ac:dyDescent="0.25"/>
  <cols>
    <col min="1" max="1" width="37.85546875" customWidth="1"/>
    <col min="2" max="2" width="12" customWidth="1"/>
    <col min="3" max="3" width="7.7109375" customWidth="1"/>
    <col min="4" max="4" width="10.28515625" customWidth="1"/>
    <col min="5" max="5" width="9.42578125" customWidth="1"/>
    <col min="6" max="6" width="12" customWidth="1"/>
    <col min="7" max="7" width="10.28515625" customWidth="1"/>
    <col min="8" max="9" width="9.42578125" customWidth="1"/>
    <col min="10" max="10" width="11.140625" customWidth="1"/>
    <col min="11" max="11" width="10.28515625" customWidth="1"/>
    <col min="12" max="13" width="9.42578125" customWidth="1"/>
    <col min="14" max="14" width="10.28515625" customWidth="1"/>
    <col min="15" max="15" width="11.140625" customWidth="1"/>
    <col min="16" max="18" width="10.28515625" customWidth="1"/>
    <col min="19" max="19" width="11.140625" customWidth="1"/>
    <col min="20" max="20" width="9.42578125" customWidth="1"/>
    <col min="21" max="21" width="10.28515625" customWidth="1"/>
    <col min="22" max="22" width="11.140625" customWidth="1"/>
    <col min="23" max="23" width="10.28515625" customWidth="1"/>
    <col min="24" max="24" width="11.140625" customWidth="1"/>
    <col min="25" max="25" width="10.28515625" customWidth="1"/>
    <col min="26" max="28" width="8.5703125" customWidth="1"/>
    <col min="29" max="29" width="9.42578125" customWidth="1"/>
    <col min="30" max="30" width="10.28515625" customWidth="1"/>
    <col min="31" max="31" width="12" customWidth="1"/>
    <col min="32" max="32" width="9.42578125" customWidth="1"/>
    <col min="33" max="33" width="7.7109375" customWidth="1"/>
    <col min="34" max="34" width="12.85546875" customWidth="1"/>
  </cols>
  <sheetData>
    <row r="1" spans="1:34" ht="18" x14ac:dyDescent="0.25">
      <c r="A1" s="10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ht="18" x14ac:dyDescent="0.25">
      <c r="A2" s="10" t="s">
        <v>122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x14ac:dyDescent="0.25">
      <c r="A3" s="11" t="s">
        <v>123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5" spans="1:34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</row>
    <row r="6" spans="1:34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5">
      <c r="A7" s="3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 t="shared" ref="AH7:AH30" si="0">(((((((((((((((((((((((((((((((B7)+(C7))+(D7))+(E7))+(F7))+(G7))+(H7))+(I7))+(J7))+(K7))+(L7))+(M7))+(N7))+(O7))+(P7))+(Q7))+(R7))+(S7))+(T7))+(U7))+(V7))+(W7))+(X7))+(Y7))+(Z7))+(AA7))+(AB7))+(AC7))+(AD7))+(AE7))+(AF7))+(AG7)</f>
        <v>0</v>
      </c>
    </row>
    <row r="8" spans="1:34" x14ac:dyDescent="0.25">
      <c r="A8" s="3" t="s">
        <v>35</v>
      </c>
      <c r="B8" s="5">
        <f>283131.02</f>
        <v>283131.02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 t="shared" si="0"/>
        <v>283131.02</v>
      </c>
    </row>
    <row r="9" spans="1:34" x14ac:dyDescent="0.25">
      <c r="A9" s="3" t="s">
        <v>36</v>
      </c>
      <c r="B9" s="5">
        <f>128873.09</f>
        <v>128873.09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 t="shared" si="0"/>
        <v>128873.09</v>
      </c>
    </row>
    <row r="10" spans="1:34" x14ac:dyDescent="0.25">
      <c r="A10" s="3" t="s">
        <v>37</v>
      </c>
      <c r="B10" s="4"/>
      <c r="C10" s="4"/>
      <c r="D10" s="4"/>
      <c r="E10" s="4"/>
      <c r="F10" s="4"/>
      <c r="G10" s="4"/>
      <c r="H10" s="4"/>
      <c r="I10" s="4"/>
      <c r="J10" s="4"/>
      <c r="K10" s="5">
        <f>507403.47</f>
        <v>507403.47</v>
      </c>
      <c r="L10" s="5">
        <f>44631.67</f>
        <v>44631.67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 t="shared" si="0"/>
        <v>552035.14</v>
      </c>
    </row>
    <row r="11" spans="1:34" x14ac:dyDescent="0.25">
      <c r="A11" s="3" t="s">
        <v>38</v>
      </c>
      <c r="B11" s="4"/>
      <c r="C11" s="4"/>
      <c r="D11" s="4"/>
      <c r="E11" s="4"/>
      <c r="F11" s="4"/>
      <c r="G11" s="4"/>
      <c r="H11" s="4"/>
      <c r="I11" s="4"/>
      <c r="J11" s="5">
        <f>63508.22</f>
        <v>63508.22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>
        <f>5000</f>
        <v>5000</v>
      </c>
      <c r="Y11" s="4"/>
      <c r="Z11" s="4"/>
      <c r="AA11" s="4"/>
      <c r="AB11" s="4"/>
      <c r="AC11" s="4"/>
      <c r="AD11" s="4"/>
      <c r="AE11" s="4"/>
      <c r="AF11" s="5">
        <f>88400</f>
        <v>88400</v>
      </c>
      <c r="AG11" s="4"/>
      <c r="AH11" s="5">
        <f t="shared" si="0"/>
        <v>156908.22</v>
      </c>
    </row>
    <row r="12" spans="1:34" x14ac:dyDescent="0.25">
      <c r="A12" s="3" t="s">
        <v>39</v>
      </c>
      <c r="B12" s="4"/>
      <c r="C12" s="4"/>
      <c r="D12" s="4"/>
      <c r="E12" s="4"/>
      <c r="F12" s="5">
        <f>1447.83</f>
        <v>1447.83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5">
        <f t="shared" si="0"/>
        <v>1447.83</v>
      </c>
    </row>
    <row r="13" spans="1:34" x14ac:dyDescent="0.25">
      <c r="A13" s="3" t="s">
        <v>40</v>
      </c>
      <c r="B13" s="5">
        <f>695.33</f>
        <v>695.33</v>
      </c>
      <c r="C13" s="4"/>
      <c r="D13" s="4"/>
      <c r="E13" s="4"/>
      <c r="F13" s="5">
        <f>476.2</f>
        <v>476.2</v>
      </c>
      <c r="G13" s="4"/>
      <c r="H13" s="4"/>
      <c r="I13" s="4"/>
      <c r="J13" s="4"/>
      <c r="K13" s="5">
        <f>1295.99</f>
        <v>1295.99</v>
      </c>
      <c r="L13" s="5">
        <f>1657.6</f>
        <v>1657.6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5">
        <f t="shared" si="0"/>
        <v>4125.12</v>
      </c>
    </row>
    <row r="14" spans="1:34" x14ac:dyDescent="0.25">
      <c r="A14" s="3" t="s">
        <v>41</v>
      </c>
      <c r="B14" s="5">
        <f>99554.59</f>
        <v>99554.59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5">
        <f t="shared" si="0"/>
        <v>99554.59</v>
      </c>
    </row>
    <row r="15" spans="1:34" x14ac:dyDescent="0.25">
      <c r="A15" s="3" t="s">
        <v>42</v>
      </c>
      <c r="B15" s="5">
        <f>1015301.52</f>
        <v>1015301.52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5">
        <f t="shared" si="0"/>
        <v>1015301.52</v>
      </c>
    </row>
    <row r="16" spans="1:34" x14ac:dyDescent="0.25">
      <c r="A16" s="3" t="s">
        <v>43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5">
        <f t="shared" si="0"/>
        <v>40000</v>
      </c>
    </row>
    <row r="17" spans="1:34" x14ac:dyDescent="0.25">
      <c r="A17" s="3" t="s">
        <v>44</v>
      </c>
      <c r="B17" s="5">
        <f>0</f>
        <v>0</v>
      </c>
      <c r="C17" s="5">
        <f>490.44</f>
        <v>490.44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5">
        <f t="shared" si="0"/>
        <v>490.44</v>
      </c>
    </row>
    <row r="18" spans="1:34" x14ac:dyDescent="0.25">
      <c r="A18" s="3" t="s">
        <v>45</v>
      </c>
      <c r="B18" s="4"/>
      <c r="C18" s="4"/>
      <c r="D18" s="4"/>
      <c r="E18" s="4"/>
      <c r="F18" s="5">
        <f>119104</f>
        <v>119104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5">
        <f t="shared" si="0"/>
        <v>119104</v>
      </c>
    </row>
    <row r="19" spans="1:34" x14ac:dyDescent="0.25">
      <c r="A19" s="3" t="s">
        <v>46</v>
      </c>
      <c r="B19" s="6">
        <f t="shared" ref="B19:AG19" si="1">(((((((((((B7)+(B8))+(B9))+(B10))+(B11))+(B12))+(B13))+(B14))+(B15))+(B16))+(B17))+(B18)</f>
        <v>1567555.55</v>
      </c>
      <c r="C19" s="6">
        <f t="shared" si="1"/>
        <v>490.44</v>
      </c>
      <c r="D19" s="6">
        <f t="shared" si="1"/>
        <v>0</v>
      </c>
      <c r="E19" s="6">
        <f t="shared" si="1"/>
        <v>0</v>
      </c>
      <c r="F19" s="6">
        <f t="shared" si="1"/>
        <v>121028.03</v>
      </c>
      <c r="G19" s="6">
        <f t="shared" si="1"/>
        <v>0</v>
      </c>
      <c r="H19" s="6">
        <f t="shared" si="1"/>
        <v>0</v>
      </c>
      <c r="I19" s="6">
        <f t="shared" si="1"/>
        <v>0</v>
      </c>
      <c r="J19" s="6">
        <f t="shared" si="1"/>
        <v>63508.22</v>
      </c>
      <c r="K19" s="6">
        <f t="shared" si="1"/>
        <v>508699.45999999996</v>
      </c>
      <c r="L19" s="6">
        <f t="shared" si="1"/>
        <v>46289.27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5000</v>
      </c>
      <c r="Y19" s="6">
        <f t="shared" si="1"/>
        <v>0</v>
      </c>
      <c r="Z19" s="6">
        <f t="shared" si="1"/>
        <v>0</v>
      </c>
      <c r="AA19" s="6">
        <f t="shared" si="1"/>
        <v>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88400</v>
      </c>
      <c r="AG19" s="6">
        <f t="shared" si="1"/>
        <v>0</v>
      </c>
      <c r="AH19" s="6">
        <f t="shared" si="0"/>
        <v>2400970.9700000002</v>
      </c>
    </row>
    <row r="20" spans="1:34" x14ac:dyDescent="0.25">
      <c r="A20" s="3" t="s">
        <v>47</v>
      </c>
      <c r="B20" s="4"/>
      <c r="C20" s="4"/>
      <c r="D20" s="4"/>
      <c r="E20" s="4"/>
      <c r="F20" s="5">
        <f>2107482.99</f>
        <v>2107482.9900000002</v>
      </c>
      <c r="G20" s="4"/>
      <c r="H20" s="4"/>
      <c r="I20" s="5">
        <f>64118.16</f>
        <v>64118.16</v>
      </c>
      <c r="J20" s="4"/>
      <c r="K20" s="4"/>
      <c r="L20" s="4"/>
      <c r="M20" s="5">
        <f>69089.96</f>
        <v>69089.960000000006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5">
        <f t="shared" si="0"/>
        <v>2240691.1100000003</v>
      </c>
    </row>
    <row r="21" spans="1:34" x14ac:dyDescent="0.25">
      <c r="A21" s="3" t="s">
        <v>48</v>
      </c>
      <c r="B21" s="4"/>
      <c r="C21" s="4"/>
      <c r="D21" s="4"/>
      <c r="E21" s="4"/>
      <c r="F21" s="5">
        <f>49461.65</f>
        <v>49461.65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5">
        <f t="shared" si="0"/>
        <v>49461.65</v>
      </c>
    </row>
    <row r="22" spans="1:34" x14ac:dyDescent="0.25">
      <c r="A22" s="3" t="s">
        <v>49</v>
      </c>
      <c r="B22" s="6">
        <f t="shared" ref="B22:AG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2156944.64</v>
      </c>
      <c r="G22" s="6">
        <f t="shared" si="2"/>
        <v>0</v>
      </c>
      <c r="H22" s="6">
        <f t="shared" si="2"/>
        <v>0</v>
      </c>
      <c r="I22" s="6">
        <f t="shared" si="2"/>
        <v>64118.16</v>
      </c>
      <c r="J22" s="6">
        <f t="shared" si="2"/>
        <v>0</v>
      </c>
      <c r="K22" s="6">
        <f t="shared" si="2"/>
        <v>0</v>
      </c>
      <c r="L22" s="6">
        <f t="shared" si="2"/>
        <v>0</v>
      </c>
      <c r="M22" s="6">
        <f t="shared" si="2"/>
        <v>69089.960000000006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0"/>
        <v>2290152.7600000002</v>
      </c>
    </row>
    <row r="23" spans="1:34" x14ac:dyDescent="0.25">
      <c r="A23" s="3" t="s">
        <v>50</v>
      </c>
      <c r="B23" s="5">
        <f>19404</f>
        <v>19404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5">
        <f t="shared" si="0"/>
        <v>19404</v>
      </c>
    </row>
    <row r="24" spans="1:34" x14ac:dyDescent="0.25">
      <c r="A24" s="3" t="s">
        <v>51</v>
      </c>
      <c r="B24" s="5">
        <f>50378.01</f>
        <v>50378.01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5">
        <f t="shared" si="0"/>
        <v>50378.01</v>
      </c>
    </row>
    <row r="25" spans="1:34" x14ac:dyDescent="0.25">
      <c r="A25" s="3" t="s">
        <v>52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5">
        <f t="shared" si="0"/>
        <v>0</v>
      </c>
    </row>
    <row r="26" spans="1:34" x14ac:dyDescent="0.25">
      <c r="A26" s="3" t="s">
        <v>53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>
        <f>774812.83</f>
        <v>774812.83</v>
      </c>
      <c r="O26" s="4"/>
      <c r="P26" s="5">
        <f>549615.72</f>
        <v>549615.72</v>
      </c>
      <c r="Q26" s="5">
        <f>394569.98</f>
        <v>394569.98</v>
      </c>
      <c r="R26" s="4"/>
      <c r="S26" s="5">
        <f>57614</f>
        <v>57614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5">
        <f t="shared" si="0"/>
        <v>1776612.5299999998</v>
      </c>
    </row>
    <row r="27" spans="1:34" x14ac:dyDescent="0.25">
      <c r="A27" s="3" t="s">
        <v>54</v>
      </c>
      <c r="B27" s="4"/>
      <c r="C27" s="4"/>
      <c r="D27" s="4"/>
      <c r="E27" s="5">
        <f>59999.77</f>
        <v>59999.77</v>
      </c>
      <c r="F27" s="4"/>
      <c r="G27" s="5">
        <f>43479.61</f>
        <v>43479.61</v>
      </c>
      <c r="H27" s="5">
        <f>85483.85</f>
        <v>85483.85</v>
      </c>
      <c r="I27" s="4"/>
      <c r="J27" s="4"/>
      <c r="K27" s="4"/>
      <c r="L27" s="4"/>
      <c r="M27" s="4"/>
      <c r="N27" s="4"/>
      <c r="O27" s="5">
        <f>309728.09</f>
        <v>309728.09000000003</v>
      </c>
      <c r="P27" s="4"/>
      <c r="Q27" s="4"/>
      <c r="R27" s="5">
        <f>363781.65</f>
        <v>363781.65</v>
      </c>
      <c r="S27" s="4"/>
      <c r="T27" s="5">
        <f>73458.75</f>
        <v>73458.75</v>
      </c>
      <c r="U27" s="5">
        <f>211660.85</f>
        <v>211660.85</v>
      </c>
      <c r="V27" s="5">
        <f>561161.47</f>
        <v>561161.47</v>
      </c>
      <c r="W27" s="5">
        <f>252633.15</f>
        <v>252633.15</v>
      </c>
      <c r="X27" s="4"/>
      <c r="Y27" s="5">
        <f>540814.37</f>
        <v>540814.37</v>
      </c>
      <c r="Z27" s="5">
        <f>5134.42</f>
        <v>5134.42</v>
      </c>
      <c r="AA27" s="4"/>
      <c r="AB27" s="5">
        <f>4482.87</f>
        <v>4482.87</v>
      </c>
      <c r="AC27" s="5">
        <f>11000</f>
        <v>11000</v>
      </c>
      <c r="AD27" s="5">
        <f>943667.35</f>
        <v>943667.35</v>
      </c>
      <c r="AE27" s="5">
        <f>2455990.94</f>
        <v>2455990.94</v>
      </c>
      <c r="AF27" s="4"/>
      <c r="AG27" s="4"/>
      <c r="AH27" s="5">
        <f t="shared" si="0"/>
        <v>5922477.1400000006</v>
      </c>
    </row>
    <row r="28" spans="1:34" x14ac:dyDescent="0.25">
      <c r="A28" s="3" t="s">
        <v>55</v>
      </c>
      <c r="B28" s="6">
        <f t="shared" ref="B28:AG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59999.77</v>
      </c>
      <c r="F28" s="6">
        <f t="shared" si="3"/>
        <v>0</v>
      </c>
      <c r="G28" s="6">
        <f t="shared" si="3"/>
        <v>43479.61</v>
      </c>
      <c r="H28" s="6">
        <f t="shared" si="3"/>
        <v>85483.85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0</v>
      </c>
      <c r="N28" s="6">
        <f t="shared" si="3"/>
        <v>774812.83</v>
      </c>
      <c r="O28" s="6">
        <f t="shared" si="3"/>
        <v>309728.09000000003</v>
      </c>
      <c r="P28" s="6">
        <f t="shared" si="3"/>
        <v>549615.72</v>
      </c>
      <c r="Q28" s="6">
        <f t="shared" si="3"/>
        <v>394569.98</v>
      </c>
      <c r="R28" s="6">
        <f t="shared" si="3"/>
        <v>363781.65</v>
      </c>
      <c r="S28" s="6">
        <f t="shared" si="3"/>
        <v>57614</v>
      </c>
      <c r="T28" s="6">
        <f t="shared" si="3"/>
        <v>73458.75</v>
      </c>
      <c r="U28" s="6">
        <f t="shared" si="3"/>
        <v>211660.85</v>
      </c>
      <c r="V28" s="6">
        <f t="shared" si="3"/>
        <v>561161.47</v>
      </c>
      <c r="W28" s="6">
        <f t="shared" si="3"/>
        <v>252633.15</v>
      </c>
      <c r="X28" s="6">
        <f t="shared" si="3"/>
        <v>0</v>
      </c>
      <c r="Y28" s="6">
        <f t="shared" si="3"/>
        <v>540814.37</v>
      </c>
      <c r="Z28" s="6">
        <f t="shared" si="3"/>
        <v>5134.42</v>
      </c>
      <c r="AA28" s="6">
        <f t="shared" si="3"/>
        <v>0</v>
      </c>
      <c r="AB28" s="6">
        <f t="shared" si="3"/>
        <v>4482.87</v>
      </c>
      <c r="AC28" s="6">
        <f t="shared" si="3"/>
        <v>11000</v>
      </c>
      <c r="AD28" s="6">
        <f t="shared" si="3"/>
        <v>943667.35</v>
      </c>
      <c r="AE28" s="6">
        <f t="shared" si="3"/>
        <v>2455990.94</v>
      </c>
      <c r="AF28" s="6">
        <f t="shared" si="3"/>
        <v>0</v>
      </c>
      <c r="AG28" s="6">
        <f t="shared" si="3"/>
        <v>0</v>
      </c>
      <c r="AH28" s="6">
        <f t="shared" si="0"/>
        <v>7699089.6699999981</v>
      </c>
    </row>
    <row r="29" spans="1:34" x14ac:dyDescent="0.25">
      <c r="A29" s="3" t="s">
        <v>56</v>
      </c>
      <c r="B29" s="6">
        <f t="shared" ref="B29:AG29" si="4">((((B19)+(B22))+(B23))+(B24))+(B28)</f>
        <v>1637337.56</v>
      </c>
      <c r="C29" s="6">
        <f t="shared" si="4"/>
        <v>490.44</v>
      </c>
      <c r="D29" s="6">
        <f t="shared" si="4"/>
        <v>0</v>
      </c>
      <c r="E29" s="6">
        <f t="shared" si="4"/>
        <v>59999.77</v>
      </c>
      <c r="F29" s="6">
        <f t="shared" si="4"/>
        <v>2277972.67</v>
      </c>
      <c r="G29" s="6">
        <f t="shared" si="4"/>
        <v>43479.61</v>
      </c>
      <c r="H29" s="6">
        <f t="shared" si="4"/>
        <v>85483.85</v>
      </c>
      <c r="I29" s="6">
        <f t="shared" si="4"/>
        <v>64118.16</v>
      </c>
      <c r="J29" s="6">
        <f t="shared" si="4"/>
        <v>63508.22</v>
      </c>
      <c r="K29" s="6">
        <f t="shared" si="4"/>
        <v>508699.45999999996</v>
      </c>
      <c r="L29" s="6">
        <f t="shared" si="4"/>
        <v>46289.27</v>
      </c>
      <c r="M29" s="6">
        <f t="shared" si="4"/>
        <v>69089.960000000006</v>
      </c>
      <c r="N29" s="6">
        <f t="shared" si="4"/>
        <v>774812.83</v>
      </c>
      <c r="O29" s="6">
        <f t="shared" si="4"/>
        <v>309728.09000000003</v>
      </c>
      <c r="P29" s="6">
        <f t="shared" si="4"/>
        <v>549615.72</v>
      </c>
      <c r="Q29" s="6">
        <f t="shared" si="4"/>
        <v>394569.98</v>
      </c>
      <c r="R29" s="6">
        <f t="shared" si="4"/>
        <v>363781.65</v>
      </c>
      <c r="S29" s="6">
        <f t="shared" si="4"/>
        <v>57614</v>
      </c>
      <c r="T29" s="6">
        <f t="shared" si="4"/>
        <v>73458.75</v>
      </c>
      <c r="U29" s="6">
        <f t="shared" si="4"/>
        <v>211660.85</v>
      </c>
      <c r="V29" s="6">
        <f t="shared" si="4"/>
        <v>561161.47</v>
      </c>
      <c r="W29" s="6">
        <f t="shared" si="4"/>
        <v>252633.15</v>
      </c>
      <c r="X29" s="6">
        <f t="shared" si="4"/>
        <v>5000</v>
      </c>
      <c r="Y29" s="6">
        <f t="shared" si="4"/>
        <v>540814.37</v>
      </c>
      <c r="Z29" s="6">
        <f t="shared" si="4"/>
        <v>5134.42</v>
      </c>
      <c r="AA29" s="6">
        <f t="shared" si="4"/>
        <v>0</v>
      </c>
      <c r="AB29" s="6">
        <f t="shared" si="4"/>
        <v>4482.87</v>
      </c>
      <c r="AC29" s="6">
        <f t="shared" si="4"/>
        <v>11000</v>
      </c>
      <c r="AD29" s="6">
        <f t="shared" si="4"/>
        <v>943667.35</v>
      </c>
      <c r="AE29" s="6">
        <f t="shared" si="4"/>
        <v>2455990.94</v>
      </c>
      <c r="AF29" s="6">
        <f t="shared" si="4"/>
        <v>88400</v>
      </c>
      <c r="AG29" s="6">
        <f t="shared" si="4"/>
        <v>0</v>
      </c>
      <c r="AH29" s="6">
        <f t="shared" si="0"/>
        <v>12459995.409999996</v>
      </c>
    </row>
    <row r="30" spans="1:34" x14ac:dyDescent="0.25">
      <c r="A30" s="3" t="s">
        <v>57</v>
      </c>
      <c r="B30" s="6">
        <f t="shared" ref="B30:AG30" si="5">(B29)-(0)</f>
        <v>1637337.56</v>
      </c>
      <c r="C30" s="6">
        <f t="shared" si="5"/>
        <v>490.44</v>
      </c>
      <c r="D30" s="6">
        <f t="shared" si="5"/>
        <v>0</v>
      </c>
      <c r="E30" s="6">
        <f t="shared" si="5"/>
        <v>59999.77</v>
      </c>
      <c r="F30" s="6">
        <f t="shared" si="5"/>
        <v>2277972.67</v>
      </c>
      <c r="G30" s="6">
        <f t="shared" si="5"/>
        <v>43479.61</v>
      </c>
      <c r="H30" s="6">
        <f t="shared" si="5"/>
        <v>85483.85</v>
      </c>
      <c r="I30" s="6">
        <f t="shared" si="5"/>
        <v>64118.16</v>
      </c>
      <c r="J30" s="6">
        <f t="shared" si="5"/>
        <v>63508.22</v>
      </c>
      <c r="K30" s="6">
        <f t="shared" si="5"/>
        <v>508699.45999999996</v>
      </c>
      <c r="L30" s="6">
        <f t="shared" si="5"/>
        <v>46289.27</v>
      </c>
      <c r="M30" s="6">
        <f t="shared" si="5"/>
        <v>69089.960000000006</v>
      </c>
      <c r="N30" s="6">
        <f t="shared" si="5"/>
        <v>774812.83</v>
      </c>
      <c r="O30" s="6">
        <f t="shared" si="5"/>
        <v>309728.09000000003</v>
      </c>
      <c r="P30" s="6">
        <f t="shared" si="5"/>
        <v>549615.72</v>
      </c>
      <c r="Q30" s="6">
        <f t="shared" si="5"/>
        <v>394569.98</v>
      </c>
      <c r="R30" s="6">
        <f t="shared" si="5"/>
        <v>363781.65</v>
      </c>
      <c r="S30" s="6">
        <f t="shared" si="5"/>
        <v>57614</v>
      </c>
      <c r="T30" s="6">
        <f t="shared" si="5"/>
        <v>73458.75</v>
      </c>
      <c r="U30" s="6">
        <f t="shared" si="5"/>
        <v>211660.85</v>
      </c>
      <c r="V30" s="6">
        <f t="shared" si="5"/>
        <v>561161.47</v>
      </c>
      <c r="W30" s="6">
        <f t="shared" si="5"/>
        <v>252633.15</v>
      </c>
      <c r="X30" s="6">
        <f t="shared" si="5"/>
        <v>5000</v>
      </c>
      <c r="Y30" s="6">
        <f t="shared" si="5"/>
        <v>540814.37</v>
      </c>
      <c r="Z30" s="6">
        <f t="shared" si="5"/>
        <v>5134.42</v>
      </c>
      <c r="AA30" s="6">
        <f t="shared" si="5"/>
        <v>0</v>
      </c>
      <c r="AB30" s="6">
        <f t="shared" si="5"/>
        <v>4482.87</v>
      </c>
      <c r="AC30" s="6">
        <f t="shared" si="5"/>
        <v>11000</v>
      </c>
      <c r="AD30" s="6">
        <f t="shared" si="5"/>
        <v>943667.35</v>
      </c>
      <c r="AE30" s="6">
        <f t="shared" si="5"/>
        <v>2455990.94</v>
      </c>
      <c r="AF30" s="6">
        <f t="shared" si="5"/>
        <v>88400</v>
      </c>
      <c r="AG30" s="6">
        <f t="shared" si="5"/>
        <v>0</v>
      </c>
      <c r="AH30" s="6">
        <f t="shared" si="0"/>
        <v>12459995.409999996</v>
      </c>
    </row>
    <row r="31" spans="1:34" x14ac:dyDescent="0.25">
      <c r="A31" s="3" t="s">
        <v>58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x14ac:dyDescent="0.25">
      <c r="A32" s="3" t="s">
        <v>59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5">
        <f t="shared" ref="AH32:AH63" si="6">(((((((((((((((((((((((((((((((B32)+(C32))+(D32))+(E32))+(F32))+(G32))+(H32))+(I32))+(J32))+(K32))+(L32))+(M32))+(N32))+(O32))+(P32))+(Q32))+(R32))+(S32))+(T32))+(U32))+(V32))+(W32))+(X32))+(Y32))+(Z32))+(AA32))+(AB32))+(AC32))+(AD32))+(AE32))+(AF32))+(AG32)</f>
        <v>0</v>
      </c>
    </row>
    <row r="33" spans="1:34" x14ac:dyDescent="0.25">
      <c r="A33" s="3" t="s">
        <v>60</v>
      </c>
      <c r="B33" s="5">
        <f>244381.17</f>
        <v>244381.17</v>
      </c>
      <c r="C33" s="4"/>
      <c r="D33" s="4"/>
      <c r="E33" s="5">
        <f>22785.59</f>
        <v>22785.59</v>
      </c>
      <c r="F33" s="5">
        <f>659792.24</f>
        <v>659792.24</v>
      </c>
      <c r="G33" s="5">
        <f>17996.36</f>
        <v>17996.36</v>
      </c>
      <c r="H33" s="5">
        <f>22643.42</f>
        <v>22643.42</v>
      </c>
      <c r="I33" s="5">
        <f>37379.04</f>
        <v>37379.040000000001</v>
      </c>
      <c r="J33" s="4"/>
      <c r="K33" s="5">
        <f>8819.95</f>
        <v>8819.9500000000007</v>
      </c>
      <c r="L33" s="5">
        <f>-1971.79</f>
        <v>-1971.79</v>
      </c>
      <c r="M33" s="5">
        <f>41540</f>
        <v>41540</v>
      </c>
      <c r="N33" s="5">
        <f>593991.76</f>
        <v>593991.76</v>
      </c>
      <c r="O33" s="5">
        <f>67677.68</f>
        <v>67677.679999999993</v>
      </c>
      <c r="P33" s="4"/>
      <c r="Q33" s="4"/>
      <c r="R33" s="5">
        <f>68666.56</f>
        <v>68666.559999999998</v>
      </c>
      <c r="S33" s="5">
        <f>68125.92</f>
        <v>68125.919999999998</v>
      </c>
      <c r="T33" s="5">
        <f>11656.86</f>
        <v>11656.86</v>
      </c>
      <c r="U33" s="5">
        <f>75370.92</f>
        <v>75370.92</v>
      </c>
      <c r="V33" s="5">
        <f>264290.67</f>
        <v>264290.67</v>
      </c>
      <c r="W33" s="5">
        <f>128744.61</f>
        <v>128744.61</v>
      </c>
      <c r="X33" s="4"/>
      <c r="Y33" s="5">
        <f>128141.2</f>
        <v>128141.2</v>
      </c>
      <c r="Z33" s="5">
        <f>1456.32</f>
        <v>1456.32</v>
      </c>
      <c r="AA33" s="4"/>
      <c r="AB33" s="4"/>
      <c r="AC33" s="5">
        <f>10000</f>
        <v>10000</v>
      </c>
      <c r="AD33" s="5">
        <f>242279.3</f>
        <v>242279.3</v>
      </c>
      <c r="AE33" s="5">
        <f>320408.25</f>
        <v>320408.25</v>
      </c>
      <c r="AF33" s="5">
        <f>39147.2</f>
        <v>39147.199999999997</v>
      </c>
      <c r="AG33" s="5">
        <f>0</f>
        <v>0</v>
      </c>
      <c r="AH33" s="5">
        <f t="shared" si="6"/>
        <v>3073323.23</v>
      </c>
    </row>
    <row r="34" spans="1:34" x14ac:dyDescent="0.25">
      <c r="A34" s="3" t="s">
        <v>61</v>
      </c>
      <c r="B34" s="5">
        <f>221016.2</f>
        <v>221016.2</v>
      </c>
      <c r="C34" s="4"/>
      <c r="D34" s="4"/>
      <c r="E34" s="5">
        <f>9737.84</f>
        <v>9737.84</v>
      </c>
      <c r="F34" s="5">
        <f>202032.32</f>
        <v>202032.32</v>
      </c>
      <c r="G34" s="4"/>
      <c r="H34" s="4"/>
      <c r="I34" s="4"/>
      <c r="J34" s="5">
        <f>60754.88</f>
        <v>60754.879999999997</v>
      </c>
      <c r="K34" s="4"/>
      <c r="L34" s="4"/>
      <c r="M34" s="4"/>
      <c r="N34" s="5">
        <f>30900</f>
        <v>30900</v>
      </c>
      <c r="O34" s="5">
        <f>24819.48</f>
        <v>24819.48</v>
      </c>
      <c r="P34" s="5">
        <f>355380.5</f>
        <v>355380.5</v>
      </c>
      <c r="Q34" s="5">
        <f>270179.04</f>
        <v>270179.03999999998</v>
      </c>
      <c r="R34" s="4"/>
      <c r="S34" s="4"/>
      <c r="T34" s="4"/>
      <c r="U34" s="5">
        <f>11186.24</f>
        <v>11186.24</v>
      </c>
      <c r="V34" s="5">
        <f>33558.72</f>
        <v>33558.720000000001</v>
      </c>
      <c r="W34" s="4"/>
      <c r="X34" s="4"/>
      <c r="Y34" s="5">
        <f>11298.75</f>
        <v>11298.75</v>
      </c>
      <c r="Z34" s="4"/>
      <c r="AA34" s="4"/>
      <c r="AB34" s="4"/>
      <c r="AC34" s="4"/>
      <c r="AD34" s="5">
        <f>29213.52</f>
        <v>29213.52</v>
      </c>
      <c r="AE34" s="5">
        <f>37115.77</f>
        <v>37115.769999999997</v>
      </c>
      <c r="AF34" s="4"/>
      <c r="AG34" s="4"/>
      <c r="AH34" s="5">
        <f t="shared" si="6"/>
        <v>1297193.26</v>
      </c>
    </row>
    <row r="35" spans="1:34" x14ac:dyDescent="0.25">
      <c r="A35" s="3" t="s">
        <v>62</v>
      </c>
      <c r="B35" s="6">
        <f t="shared" ref="B35:AG35" si="7">((B32)+(B33))+(B34)</f>
        <v>465397.37</v>
      </c>
      <c r="C35" s="6">
        <f t="shared" si="7"/>
        <v>0</v>
      </c>
      <c r="D35" s="6">
        <f t="shared" si="7"/>
        <v>0</v>
      </c>
      <c r="E35" s="6">
        <f t="shared" si="7"/>
        <v>32523.43</v>
      </c>
      <c r="F35" s="6">
        <f t="shared" si="7"/>
        <v>861824.56</v>
      </c>
      <c r="G35" s="6">
        <f t="shared" si="7"/>
        <v>17996.36</v>
      </c>
      <c r="H35" s="6">
        <f t="shared" si="7"/>
        <v>22643.42</v>
      </c>
      <c r="I35" s="6">
        <f t="shared" si="7"/>
        <v>37379.040000000001</v>
      </c>
      <c r="J35" s="6">
        <f t="shared" si="7"/>
        <v>60754.879999999997</v>
      </c>
      <c r="K35" s="6">
        <f t="shared" si="7"/>
        <v>8819.9500000000007</v>
      </c>
      <c r="L35" s="6">
        <f t="shared" si="7"/>
        <v>-1971.79</v>
      </c>
      <c r="M35" s="6">
        <f t="shared" si="7"/>
        <v>41540</v>
      </c>
      <c r="N35" s="6">
        <f t="shared" si="7"/>
        <v>624891.76</v>
      </c>
      <c r="O35" s="6">
        <f t="shared" si="7"/>
        <v>92497.159999999989</v>
      </c>
      <c r="P35" s="6">
        <f t="shared" si="7"/>
        <v>355380.5</v>
      </c>
      <c r="Q35" s="6">
        <f t="shared" si="7"/>
        <v>270179.03999999998</v>
      </c>
      <c r="R35" s="6">
        <f t="shared" si="7"/>
        <v>68666.559999999998</v>
      </c>
      <c r="S35" s="6">
        <f t="shared" si="7"/>
        <v>68125.919999999998</v>
      </c>
      <c r="T35" s="6">
        <f t="shared" si="7"/>
        <v>11656.86</v>
      </c>
      <c r="U35" s="6">
        <f t="shared" si="7"/>
        <v>86557.16</v>
      </c>
      <c r="V35" s="6">
        <f t="shared" si="7"/>
        <v>297849.39</v>
      </c>
      <c r="W35" s="6">
        <f t="shared" si="7"/>
        <v>128744.61</v>
      </c>
      <c r="X35" s="6">
        <f t="shared" si="7"/>
        <v>0</v>
      </c>
      <c r="Y35" s="6">
        <f t="shared" si="7"/>
        <v>139439.95000000001</v>
      </c>
      <c r="Z35" s="6">
        <f t="shared" si="7"/>
        <v>1456.32</v>
      </c>
      <c r="AA35" s="6">
        <f t="shared" si="7"/>
        <v>0</v>
      </c>
      <c r="AB35" s="6">
        <f t="shared" si="7"/>
        <v>0</v>
      </c>
      <c r="AC35" s="6">
        <f t="shared" si="7"/>
        <v>10000</v>
      </c>
      <c r="AD35" s="6">
        <f t="shared" si="7"/>
        <v>271492.82</v>
      </c>
      <c r="AE35" s="6">
        <f t="shared" si="7"/>
        <v>357524.02</v>
      </c>
      <c r="AF35" s="6">
        <f t="shared" si="7"/>
        <v>39147.199999999997</v>
      </c>
      <c r="AG35" s="6">
        <f t="shared" si="7"/>
        <v>0</v>
      </c>
      <c r="AH35" s="6">
        <f t="shared" si="6"/>
        <v>4370516.49</v>
      </c>
    </row>
    <row r="36" spans="1:34" x14ac:dyDescent="0.25">
      <c r="A36" s="3" t="s">
        <v>63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5">
        <f t="shared" si="6"/>
        <v>0</v>
      </c>
    </row>
    <row r="37" spans="1:34" x14ac:dyDescent="0.25">
      <c r="A37" s="3" t="s">
        <v>64</v>
      </c>
      <c r="B37" s="4"/>
      <c r="C37" s="4"/>
      <c r="D37" s="4"/>
      <c r="E37" s="5">
        <f>4.95</f>
        <v>4.95</v>
      </c>
      <c r="F37" s="4"/>
      <c r="G37" s="5">
        <f>2.09</f>
        <v>2.09</v>
      </c>
      <c r="H37" s="5">
        <f>3.84</f>
        <v>3.84</v>
      </c>
      <c r="I37" s="4"/>
      <c r="J37" s="4"/>
      <c r="K37" s="4"/>
      <c r="L37" s="5">
        <f>-0.27</f>
        <v>-0.27</v>
      </c>
      <c r="M37" s="4"/>
      <c r="N37" s="4"/>
      <c r="O37" s="5">
        <f>14.19</f>
        <v>14.19</v>
      </c>
      <c r="P37" s="5">
        <f>39.48</f>
        <v>39.479999999999997</v>
      </c>
      <c r="Q37" s="4"/>
      <c r="R37" s="5">
        <f>10</f>
        <v>10</v>
      </c>
      <c r="S37" s="4"/>
      <c r="T37" s="4"/>
      <c r="U37" s="5">
        <f>11.32</f>
        <v>11.32</v>
      </c>
      <c r="V37" s="5">
        <f>38.57</f>
        <v>38.57</v>
      </c>
      <c r="W37" s="5">
        <f>16.24</f>
        <v>16.239999999999998</v>
      </c>
      <c r="X37" s="4"/>
      <c r="Y37" s="5">
        <f>14.13</f>
        <v>14.13</v>
      </c>
      <c r="Z37" s="5">
        <f>0.3</f>
        <v>0.3</v>
      </c>
      <c r="AA37" s="4"/>
      <c r="AB37" s="4"/>
      <c r="AC37" s="4"/>
      <c r="AD37" s="5">
        <f>40.94</f>
        <v>40.94</v>
      </c>
      <c r="AE37" s="5">
        <f>53.04</f>
        <v>53.04</v>
      </c>
      <c r="AF37" s="5">
        <f>6</f>
        <v>6</v>
      </c>
      <c r="AG37" s="4"/>
      <c r="AH37" s="5">
        <f t="shared" si="6"/>
        <v>254.82</v>
      </c>
    </row>
    <row r="38" spans="1:34" x14ac:dyDescent="0.25">
      <c r="A38" s="3" t="s">
        <v>65</v>
      </c>
      <c r="B38" s="5">
        <f>2550</f>
        <v>2550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5">
        <f t="shared" si="6"/>
        <v>2550</v>
      </c>
    </row>
    <row r="39" spans="1:34" x14ac:dyDescent="0.25">
      <c r="A39" s="3" t="s">
        <v>66</v>
      </c>
      <c r="B39" s="5">
        <f>13157.08</f>
        <v>13157.08</v>
      </c>
      <c r="C39" s="4"/>
      <c r="D39" s="4"/>
      <c r="E39" s="5">
        <f>515.13</f>
        <v>515.13</v>
      </c>
      <c r="F39" s="5">
        <f>11969.7</f>
        <v>11969.7</v>
      </c>
      <c r="G39" s="4"/>
      <c r="H39" s="4"/>
      <c r="I39" s="4"/>
      <c r="J39" s="5">
        <f>3606.88</f>
        <v>3606.88</v>
      </c>
      <c r="K39" s="4"/>
      <c r="L39" s="4"/>
      <c r="M39" s="4"/>
      <c r="N39" s="5">
        <f>1833.95</f>
        <v>1833.95</v>
      </c>
      <c r="O39" s="5">
        <f>1486.08</f>
        <v>1486.08</v>
      </c>
      <c r="P39" s="5">
        <f>21496</f>
        <v>21496</v>
      </c>
      <c r="Q39" s="5">
        <f>15889.67</f>
        <v>15889.67</v>
      </c>
      <c r="R39" s="4"/>
      <c r="S39" s="4"/>
      <c r="T39" s="4"/>
      <c r="U39" s="5">
        <f>679.25</f>
        <v>679.25</v>
      </c>
      <c r="V39" s="5">
        <f>2037.75</f>
        <v>2037.75</v>
      </c>
      <c r="W39" s="4"/>
      <c r="X39" s="4"/>
      <c r="Y39" s="5">
        <f>657.55</f>
        <v>657.55</v>
      </c>
      <c r="Z39" s="4"/>
      <c r="AA39" s="4"/>
      <c r="AB39" s="4"/>
      <c r="AC39" s="4"/>
      <c r="AD39" s="5">
        <f>1541.77</f>
        <v>1541.77</v>
      </c>
      <c r="AE39" s="5">
        <f>2226.86</f>
        <v>2226.86</v>
      </c>
      <c r="AF39" s="4"/>
      <c r="AG39" s="4"/>
      <c r="AH39" s="5">
        <f t="shared" si="6"/>
        <v>77097.670000000013</v>
      </c>
    </row>
    <row r="40" spans="1:34" x14ac:dyDescent="0.25">
      <c r="A40" s="3" t="s">
        <v>67</v>
      </c>
      <c r="B40" s="5">
        <f>6662.21</f>
        <v>6662.21</v>
      </c>
      <c r="C40" s="4"/>
      <c r="D40" s="4"/>
      <c r="E40" s="5">
        <f>435.26</f>
        <v>435.26</v>
      </c>
      <c r="F40" s="5">
        <f>11941.03</f>
        <v>11941.03</v>
      </c>
      <c r="G40" s="5">
        <f>260.05</f>
        <v>260.05</v>
      </c>
      <c r="H40" s="5">
        <f>364.5</f>
        <v>364.5</v>
      </c>
      <c r="I40" s="5">
        <f>481.56</f>
        <v>481.56</v>
      </c>
      <c r="J40" s="5">
        <f>843.52</f>
        <v>843.52</v>
      </c>
      <c r="K40" s="4"/>
      <c r="L40" s="5">
        <f>-26.87</f>
        <v>-26.87</v>
      </c>
      <c r="M40" s="5">
        <f>592.92</f>
        <v>592.91999999999996</v>
      </c>
      <c r="N40" s="5">
        <f>8680.5</f>
        <v>8680.5</v>
      </c>
      <c r="O40" s="5">
        <f>1263.73</f>
        <v>1263.73</v>
      </c>
      <c r="P40" s="5">
        <f>5027.34</f>
        <v>5027.34</v>
      </c>
      <c r="Q40" s="5">
        <f>3716.12</f>
        <v>3716.12</v>
      </c>
      <c r="R40" s="5">
        <f>965.48</f>
        <v>965.48</v>
      </c>
      <c r="S40" s="5">
        <f>957.24</f>
        <v>957.24</v>
      </c>
      <c r="T40" s="5">
        <f>169.02</f>
        <v>169.02</v>
      </c>
      <c r="U40" s="5">
        <f>1205.38</f>
        <v>1205.3800000000001</v>
      </c>
      <c r="V40" s="5">
        <f>4149.58</f>
        <v>4149.58</v>
      </c>
      <c r="W40" s="5">
        <f>1784.31</f>
        <v>1784.31</v>
      </c>
      <c r="X40" s="4"/>
      <c r="Y40" s="5">
        <f>1961.83</f>
        <v>1961.83</v>
      </c>
      <c r="Z40" s="5">
        <f>18.76</f>
        <v>18.760000000000002</v>
      </c>
      <c r="AA40" s="4"/>
      <c r="AB40" s="4"/>
      <c r="AC40" s="4"/>
      <c r="AD40" s="5">
        <f>3730.64</f>
        <v>3730.64</v>
      </c>
      <c r="AE40" s="5">
        <f>5016.72</f>
        <v>5016.72</v>
      </c>
      <c r="AF40" s="5">
        <f>558.68</f>
        <v>558.67999999999995</v>
      </c>
      <c r="AG40" s="5">
        <f>0</f>
        <v>0</v>
      </c>
      <c r="AH40" s="5">
        <f t="shared" si="6"/>
        <v>60759.51</v>
      </c>
    </row>
    <row r="41" spans="1:34" x14ac:dyDescent="0.25">
      <c r="A41" s="3" t="s">
        <v>68</v>
      </c>
      <c r="B41" s="5">
        <f>9934.38</f>
        <v>9934.3799999999992</v>
      </c>
      <c r="C41" s="4"/>
      <c r="D41" s="4"/>
      <c r="E41" s="5">
        <f>3705.93</f>
        <v>3705.93</v>
      </c>
      <c r="F41" s="5">
        <f>20168.47</f>
        <v>20168.47</v>
      </c>
      <c r="G41" s="5">
        <f>3033.26</f>
        <v>3033.26</v>
      </c>
      <c r="H41" s="5">
        <f>4247.94</f>
        <v>4247.9399999999996</v>
      </c>
      <c r="I41" s="5">
        <f>1296</f>
        <v>1296</v>
      </c>
      <c r="J41" s="4"/>
      <c r="K41" s="4"/>
      <c r="L41" s="5">
        <f>-317.56</f>
        <v>-317.56</v>
      </c>
      <c r="M41" s="5">
        <f>1246.24</f>
        <v>1246.24</v>
      </c>
      <c r="N41" s="5">
        <f>18392.05</f>
        <v>18392.05</v>
      </c>
      <c r="O41" s="5">
        <f>10721.84</f>
        <v>10721.84</v>
      </c>
      <c r="P41" s="4"/>
      <c r="Q41" s="4"/>
      <c r="R41" s="5">
        <f>9259.04</f>
        <v>9259.0400000000009</v>
      </c>
      <c r="S41" s="5">
        <f>2043.84</f>
        <v>2043.84</v>
      </c>
      <c r="T41" s="5">
        <f>1602.84</f>
        <v>1602.84</v>
      </c>
      <c r="U41" s="5">
        <f>12138.48</f>
        <v>12138.48</v>
      </c>
      <c r="V41" s="5">
        <f>42106.49</f>
        <v>42106.49</v>
      </c>
      <c r="W41" s="5">
        <f>20260.57</f>
        <v>20260.57</v>
      </c>
      <c r="X41" s="4"/>
      <c r="Y41" s="5">
        <f>20598.04</f>
        <v>20598.04</v>
      </c>
      <c r="Z41" s="5">
        <f>74.52</f>
        <v>74.52</v>
      </c>
      <c r="AA41" s="4"/>
      <c r="AB41" s="4"/>
      <c r="AC41" s="4"/>
      <c r="AD41" s="5">
        <f>39682.89</f>
        <v>39682.89</v>
      </c>
      <c r="AE41" s="5">
        <f>49926.88</f>
        <v>49926.879999999997</v>
      </c>
      <c r="AF41" s="5">
        <f>5382.72</f>
        <v>5382.72</v>
      </c>
      <c r="AG41" s="5">
        <f>0</f>
        <v>0</v>
      </c>
      <c r="AH41" s="5">
        <f t="shared" si="6"/>
        <v>275504.86</v>
      </c>
    </row>
    <row r="42" spans="1:34" x14ac:dyDescent="0.25">
      <c r="A42" s="3" t="s">
        <v>69</v>
      </c>
      <c r="B42" s="5">
        <f>43573.71</f>
        <v>43573.71</v>
      </c>
      <c r="C42" s="4"/>
      <c r="D42" s="4"/>
      <c r="E42" s="5">
        <f>1919.32</f>
        <v>1919.32</v>
      </c>
      <c r="F42" s="5">
        <f>39820.71</f>
        <v>39820.71</v>
      </c>
      <c r="G42" s="4"/>
      <c r="H42" s="4"/>
      <c r="I42" s="4"/>
      <c r="J42" s="5">
        <f>11974.73</f>
        <v>11974.73</v>
      </c>
      <c r="K42" s="4"/>
      <c r="L42" s="4"/>
      <c r="M42" s="4"/>
      <c r="N42" s="5">
        <f>6090.4</f>
        <v>6090.4</v>
      </c>
      <c r="O42" s="5">
        <f>4891.93</f>
        <v>4891.93</v>
      </c>
      <c r="P42" s="5">
        <f>65309.85</f>
        <v>65309.85</v>
      </c>
      <c r="Q42" s="5">
        <f>53252.04</f>
        <v>53252.04</v>
      </c>
      <c r="R42" s="4"/>
      <c r="S42" s="4"/>
      <c r="T42" s="4"/>
      <c r="U42" s="5">
        <f>1443.72</f>
        <v>1443.72</v>
      </c>
      <c r="V42" s="5">
        <f>4331.16</f>
        <v>4331.16</v>
      </c>
      <c r="W42" s="4"/>
      <c r="X42" s="4"/>
      <c r="Y42" s="5">
        <f>2226.99</f>
        <v>2226.9899999999998</v>
      </c>
      <c r="Z42" s="4"/>
      <c r="AA42" s="4"/>
      <c r="AB42" s="4"/>
      <c r="AC42" s="4"/>
      <c r="AD42" s="5">
        <f>5757.96</f>
        <v>5757.96</v>
      </c>
      <c r="AE42" s="5">
        <f>7304.35</f>
        <v>7304.35</v>
      </c>
      <c r="AF42" s="4"/>
      <c r="AG42" s="4"/>
      <c r="AH42" s="5">
        <f t="shared" si="6"/>
        <v>247896.87</v>
      </c>
    </row>
    <row r="43" spans="1:34" x14ac:dyDescent="0.25">
      <c r="A43" s="3" t="s">
        <v>70</v>
      </c>
      <c r="B43" s="4"/>
      <c r="C43" s="4"/>
      <c r="D43" s="4"/>
      <c r="E43" s="5">
        <f>6181.33</f>
        <v>6181.33</v>
      </c>
      <c r="F43" s="4"/>
      <c r="G43" s="5">
        <f>1650.03</f>
        <v>1650.03</v>
      </c>
      <c r="H43" s="5">
        <f>1349.7</f>
        <v>1349.7</v>
      </c>
      <c r="I43" s="4"/>
      <c r="J43" s="4"/>
      <c r="K43" s="4"/>
      <c r="L43" s="5">
        <f>-302.37</f>
        <v>-302.37</v>
      </c>
      <c r="M43" s="4"/>
      <c r="N43" s="4"/>
      <c r="O43" s="5">
        <f>18384.73</f>
        <v>18384.73</v>
      </c>
      <c r="P43" s="5">
        <f>38416.3</f>
        <v>38416.300000000003</v>
      </c>
      <c r="Q43" s="4"/>
      <c r="R43" s="5">
        <f>11731.84</f>
        <v>11731.84</v>
      </c>
      <c r="S43" s="4"/>
      <c r="T43" s="4"/>
      <c r="U43" s="5">
        <f>12805.22</f>
        <v>12805.22</v>
      </c>
      <c r="V43" s="5">
        <f>43472.98</f>
        <v>43472.98</v>
      </c>
      <c r="W43" s="5">
        <f>13181.89</f>
        <v>13181.89</v>
      </c>
      <c r="X43" s="4"/>
      <c r="Y43" s="5">
        <f>13002.82</f>
        <v>13002.82</v>
      </c>
      <c r="Z43" s="5">
        <f>503.76</f>
        <v>503.76</v>
      </c>
      <c r="AA43" s="4"/>
      <c r="AB43" s="4"/>
      <c r="AC43" s="4"/>
      <c r="AD43" s="5">
        <f>46573.82</f>
        <v>46573.82</v>
      </c>
      <c r="AE43" s="5">
        <f>36757.49</f>
        <v>36757.49</v>
      </c>
      <c r="AF43" s="5">
        <f>5263.8</f>
        <v>5263.8</v>
      </c>
      <c r="AG43" s="4"/>
      <c r="AH43" s="5">
        <f t="shared" si="6"/>
        <v>248973.34000000003</v>
      </c>
    </row>
    <row r="44" spans="1:34" x14ac:dyDescent="0.25">
      <c r="A44" s="3" t="s">
        <v>71</v>
      </c>
      <c r="B44" s="5">
        <f>-3944.48</f>
        <v>-3944.48</v>
      </c>
      <c r="C44" s="4"/>
      <c r="D44" s="4"/>
      <c r="E44" s="4"/>
      <c r="F44" s="5">
        <f>467.82</f>
        <v>467.82</v>
      </c>
      <c r="G44" s="4"/>
      <c r="H44" s="4"/>
      <c r="I44" s="4"/>
      <c r="J44" s="4"/>
      <c r="K44" s="4"/>
      <c r="L44" s="4"/>
      <c r="M44" s="4"/>
      <c r="N44" s="5">
        <f>180</f>
        <v>180</v>
      </c>
      <c r="O44" s="4"/>
      <c r="P44" s="5">
        <f>180</f>
        <v>180</v>
      </c>
      <c r="Q44" s="5">
        <f>86.68</f>
        <v>86.68</v>
      </c>
      <c r="R44" s="4"/>
      <c r="S44" s="4"/>
      <c r="T44" s="4"/>
      <c r="U44" s="5">
        <f>4.39</f>
        <v>4.3899999999999997</v>
      </c>
      <c r="V44" s="5">
        <f>60</f>
        <v>60</v>
      </c>
      <c r="W44" s="4"/>
      <c r="X44" s="4"/>
      <c r="Y44" s="4"/>
      <c r="Z44" s="4"/>
      <c r="AA44" s="4"/>
      <c r="AB44" s="4"/>
      <c r="AC44" s="4"/>
      <c r="AD44" s="5">
        <f>60</f>
        <v>60</v>
      </c>
      <c r="AE44" s="5">
        <f>9.07</f>
        <v>9.07</v>
      </c>
      <c r="AF44" s="5">
        <f>60</f>
        <v>60</v>
      </c>
      <c r="AG44" s="4"/>
      <c r="AH44" s="5">
        <f t="shared" si="6"/>
        <v>-2836.52</v>
      </c>
    </row>
    <row r="45" spans="1:34" x14ac:dyDescent="0.25">
      <c r="A45" s="3" t="s">
        <v>72</v>
      </c>
      <c r="B45" s="5">
        <f>6756.29</f>
        <v>6756.29</v>
      </c>
      <c r="C45" s="4"/>
      <c r="D45" s="4"/>
      <c r="E45" s="4"/>
      <c r="F45" s="5">
        <f>12496</f>
        <v>12496</v>
      </c>
      <c r="G45" s="4"/>
      <c r="H45" s="4"/>
      <c r="I45" s="5">
        <f>497</f>
        <v>497</v>
      </c>
      <c r="J45" s="5">
        <f>777</f>
        <v>777</v>
      </c>
      <c r="K45" s="4"/>
      <c r="L45" s="4"/>
      <c r="M45" s="5">
        <f>531</f>
        <v>531</v>
      </c>
      <c r="N45" s="5">
        <f>7973</f>
        <v>7973</v>
      </c>
      <c r="O45" s="5">
        <f>1094</f>
        <v>1094</v>
      </c>
      <c r="P45" s="5">
        <f>4573</f>
        <v>4573</v>
      </c>
      <c r="Q45" s="5">
        <f>3641</f>
        <v>3641</v>
      </c>
      <c r="R45" s="5">
        <f>878</f>
        <v>878</v>
      </c>
      <c r="S45" s="5">
        <f>872</f>
        <v>872</v>
      </c>
      <c r="T45" s="4"/>
      <c r="U45" s="4"/>
      <c r="V45" s="5">
        <f>5090</f>
        <v>5090</v>
      </c>
      <c r="W45" s="5">
        <f>1678</f>
        <v>1678</v>
      </c>
      <c r="X45" s="4"/>
      <c r="Y45" s="4"/>
      <c r="Z45" s="4"/>
      <c r="AA45" s="4"/>
      <c r="AB45" s="4"/>
      <c r="AC45" s="4"/>
      <c r="AD45" s="5">
        <f>3582</f>
        <v>3582</v>
      </c>
      <c r="AE45" s="5">
        <f>4799</f>
        <v>4799</v>
      </c>
      <c r="AF45" s="5">
        <f>501</f>
        <v>501</v>
      </c>
      <c r="AG45" s="4"/>
      <c r="AH45" s="5">
        <f t="shared" si="6"/>
        <v>55738.29</v>
      </c>
    </row>
    <row r="46" spans="1:34" x14ac:dyDescent="0.25">
      <c r="A46" s="3" t="s">
        <v>73</v>
      </c>
      <c r="B46" s="4"/>
      <c r="C46" s="4"/>
      <c r="D46" s="4"/>
      <c r="E46" s="5">
        <f>650.47</f>
        <v>650.47</v>
      </c>
      <c r="F46" s="5">
        <f>8617.74</f>
        <v>8617.74</v>
      </c>
      <c r="G46" s="5">
        <f>359.92</f>
        <v>359.92</v>
      </c>
      <c r="H46" s="4"/>
      <c r="I46" s="5">
        <f>747.6</f>
        <v>747.6</v>
      </c>
      <c r="J46" s="5">
        <f>1215.12</f>
        <v>1215.1199999999999</v>
      </c>
      <c r="K46" s="4"/>
      <c r="L46" s="4"/>
      <c r="M46" s="5">
        <f>415.44</f>
        <v>415.44</v>
      </c>
      <c r="N46" s="5">
        <f>12497.85</f>
        <v>12497.85</v>
      </c>
      <c r="O46" s="5">
        <f>1849.93</f>
        <v>1849.93</v>
      </c>
      <c r="P46" s="4"/>
      <c r="Q46" s="5">
        <f>5403.57</f>
        <v>5403.57</v>
      </c>
      <c r="R46" s="5">
        <f>1373.36</f>
        <v>1373.36</v>
      </c>
      <c r="S46" s="4"/>
      <c r="T46" s="4"/>
      <c r="U46" s="4"/>
      <c r="V46" s="4"/>
      <c r="W46" s="5">
        <f>2574.86</f>
        <v>2574.86</v>
      </c>
      <c r="X46" s="4"/>
      <c r="Y46" s="5">
        <f>2097.01</f>
        <v>2097.0100000000002</v>
      </c>
      <c r="Z46" s="4"/>
      <c r="AA46" s="4"/>
      <c r="AB46" s="4"/>
      <c r="AC46" s="4"/>
      <c r="AD46" s="5">
        <f>5424.67</f>
        <v>5424.67</v>
      </c>
      <c r="AE46" s="5">
        <f>7150.47</f>
        <v>7150.47</v>
      </c>
      <c r="AF46" s="4"/>
      <c r="AG46" s="4"/>
      <c r="AH46" s="5">
        <f t="shared" si="6"/>
        <v>50378.01</v>
      </c>
    </row>
    <row r="47" spans="1:34" x14ac:dyDescent="0.25">
      <c r="A47" s="3" t="s">
        <v>74</v>
      </c>
      <c r="B47" s="4"/>
      <c r="C47" s="4"/>
      <c r="D47" s="4"/>
      <c r="E47" s="5">
        <f>39.6</f>
        <v>39.6</v>
      </c>
      <c r="F47" s="4"/>
      <c r="G47" s="5">
        <f>16.72</f>
        <v>16.72</v>
      </c>
      <c r="H47" s="5">
        <f>30.72</f>
        <v>30.72</v>
      </c>
      <c r="I47" s="4"/>
      <c r="J47" s="4"/>
      <c r="K47" s="4"/>
      <c r="L47" s="5">
        <f>-2.16</f>
        <v>-2.16</v>
      </c>
      <c r="M47" s="4"/>
      <c r="N47" s="4"/>
      <c r="O47" s="5">
        <f>113.52</f>
        <v>113.52</v>
      </c>
      <c r="P47" s="5">
        <f>315.84</f>
        <v>315.83999999999997</v>
      </c>
      <c r="Q47" s="4"/>
      <c r="R47" s="5">
        <f>80</f>
        <v>80</v>
      </c>
      <c r="S47" s="4"/>
      <c r="T47" s="4"/>
      <c r="U47" s="5">
        <f>90.56</f>
        <v>90.56</v>
      </c>
      <c r="V47" s="5">
        <f>308.56</f>
        <v>308.56</v>
      </c>
      <c r="W47" s="5">
        <f>129.92</f>
        <v>129.91999999999999</v>
      </c>
      <c r="X47" s="4"/>
      <c r="Y47" s="5">
        <f>113.04</f>
        <v>113.04</v>
      </c>
      <c r="Z47" s="5">
        <f>2.4</f>
        <v>2.4</v>
      </c>
      <c r="AA47" s="4"/>
      <c r="AB47" s="4"/>
      <c r="AC47" s="4"/>
      <c r="AD47" s="5">
        <f>327.44</f>
        <v>327.44</v>
      </c>
      <c r="AE47" s="5">
        <f>424.24</f>
        <v>424.24</v>
      </c>
      <c r="AF47" s="5">
        <f>48</f>
        <v>48</v>
      </c>
      <c r="AG47" s="4"/>
      <c r="AH47" s="5">
        <f t="shared" si="6"/>
        <v>2038.4</v>
      </c>
    </row>
    <row r="48" spans="1:34" x14ac:dyDescent="0.25">
      <c r="A48" s="3" t="s">
        <v>75</v>
      </c>
      <c r="B48" s="6">
        <f t="shared" ref="B48:AG48" si="8">(((((((((((B36)+(B37))+(B38))+(B39))+(B40))+(B41))+(B42))+(B43))+(B44))+(B45))+(B46))+(B47)</f>
        <v>78689.19</v>
      </c>
      <c r="C48" s="6">
        <f t="shared" si="8"/>
        <v>0</v>
      </c>
      <c r="D48" s="6">
        <f t="shared" si="8"/>
        <v>0</v>
      </c>
      <c r="E48" s="6">
        <f t="shared" si="8"/>
        <v>13451.989999999998</v>
      </c>
      <c r="F48" s="6">
        <f t="shared" si="8"/>
        <v>105481.47000000002</v>
      </c>
      <c r="G48" s="6">
        <f t="shared" si="8"/>
        <v>5322.0700000000006</v>
      </c>
      <c r="H48" s="6">
        <f t="shared" si="8"/>
        <v>5996.7</v>
      </c>
      <c r="I48" s="6">
        <f t="shared" si="8"/>
        <v>3022.16</v>
      </c>
      <c r="J48" s="6">
        <f t="shared" si="8"/>
        <v>18417.249999999996</v>
      </c>
      <c r="K48" s="6">
        <f t="shared" si="8"/>
        <v>0</v>
      </c>
      <c r="L48" s="6">
        <f t="shared" si="8"/>
        <v>-649.2299999999999</v>
      </c>
      <c r="M48" s="6">
        <f t="shared" si="8"/>
        <v>2785.6</v>
      </c>
      <c r="N48" s="6">
        <f t="shared" si="8"/>
        <v>55647.75</v>
      </c>
      <c r="O48" s="6">
        <f t="shared" si="8"/>
        <v>39819.949999999997</v>
      </c>
      <c r="P48" s="6">
        <f t="shared" si="8"/>
        <v>135357.81</v>
      </c>
      <c r="Q48" s="6">
        <f t="shared" si="8"/>
        <v>81989.079999999987</v>
      </c>
      <c r="R48" s="6">
        <f t="shared" si="8"/>
        <v>24297.72</v>
      </c>
      <c r="S48" s="6">
        <f t="shared" si="8"/>
        <v>3873.08</v>
      </c>
      <c r="T48" s="6">
        <f t="shared" si="8"/>
        <v>1771.86</v>
      </c>
      <c r="U48" s="6">
        <f t="shared" si="8"/>
        <v>28378.32</v>
      </c>
      <c r="V48" s="6">
        <f t="shared" si="8"/>
        <v>101595.09</v>
      </c>
      <c r="W48" s="6">
        <f t="shared" si="8"/>
        <v>39625.789999999994</v>
      </c>
      <c r="X48" s="6">
        <f t="shared" si="8"/>
        <v>0</v>
      </c>
      <c r="Y48" s="6">
        <f t="shared" si="8"/>
        <v>40671.410000000003</v>
      </c>
      <c r="Z48" s="6">
        <f t="shared" si="8"/>
        <v>599.74</v>
      </c>
      <c r="AA48" s="6">
        <f t="shared" si="8"/>
        <v>0</v>
      </c>
      <c r="AB48" s="6">
        <f t="shared" si="8"/>
        <v>0</v>
      </c>
      <c r="AC48" s="6">
        <f t="shared" si="8"/>
        <v>0</v>
      </c>
      <c r="AD48" s="6">
        <f t="shared" si="8"/>
        <v>106722.12999999999</v>
      </c>
      <c r="AE48" s="6">
        <f t="shared" si="8"/>
        <v>113668.12000000001</v>
      </c>
      <c r="AF48" s="6">
        <f t="shared" si="8"/>
        <v>11820.2</v>
      </c>
      <c r="AG48" s="6">
        <f t="shared" si="8"/>
        <v>0</v>
      </c>
      <c r="AH48" s="6">
        <f t="shared" si="6"/>
        <v>1018355.2499999999</v>
      </c>
    </row>
    <row r="49" spans="1:34" x14ac:dyDescent="0.25">
      <c r="A49" s="3" t="s">
        <v>76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5">
        <f t="shared" si="6"/>
        <v>0</v>
      </c>
    </row>
    <row r="50" spans="1:34" x14ac:dyDescent="0.25">
      <c r="A50" s="3" t="s">
        <v>77</v>
      </c>
      <c r="B50" s="5">
        <f>21094.04</f>
        <v>21094.04</v>
      </c>
      <c r="C50" s="4"/>
      <c r="D50" s="4"/>
      <c r="E50" s="4"/>
      <c r="F50" s="5">
        <f>126452.98</f>
        <v>126452.98</v>
      </c>
      <c r="G50" s="4"/>
      <c r="H50" s="5">
        <f>3297.84</f>
        <v>3297.84</v>
      </c>
      <c r="I50" s="4"/>
      <c r="J50" s="4"/>
      <c r="K50" s="5">
        <f>510</f>
        <v>510</v>
      </c>
      <c r="L50" s="4"/>
      <c r="M50" s="4"/>
      <c r="N50" s="5">
        <f>73.25</f>
        <v>73.25</v>
      </c>
      <c r="O50" s="4"/>
      <c r="P50" s="5">
        <f>-10</f>
        <v>-10</v>
      </c>
      <c r="Q50" s="5">
        <f>126.5</f>
        <v>126.5</v>
      </c>
      <c r="R50" s="4"/>
      <c r="S50" s="4"/>
      <c r="T50" s="5">
        <f>800</f>
        <v>800</v>
      </c>
      <c r="U50" s="5">
        <f>712.2</f>
        <v>712.2</v>
      </c>
      <c r="V50" s="5">
        <f>4991.8</f>
        <v>4991.8</v>
      </c>
      <c r="W50" s="4"/>
      <c r="X50" s="4"/>
      <c r="Y50" s="5">
        <f>0</f>
        <v>0</v>
      </c>
      <c r="Z50" s="4"/>
      <c r="AA50" s="4"/>
      <c r="AB50" s="4"/>
      <c r="AC50" s="4"/>
      <c r="AD50" s="5">
        <f>159.9</f>
        <v>159.9</v>
      </c>
      <c r="AE50" s="5">
        <f>9800</f>
        <v>9800</v>
      </c>
      <c r="AF50" s="4"/>
      <c r="AG50" s="4"/>
      <c r="AH50" s="5">
        <f t="shared" si="6"/>
        <v>168008.50999999998</v>
      </c>
    </row>
    <row r="51" spans="1:34" x14ac:dyDescent="0.25">
      <c r="A51" s="3" t="s">
        <v>78</v>
      </c>
      <c r="B51" s="5">
        <f>25300</f>
        <v>25300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5">
        <f t="shared" si="6"/>
        <v>25300</v>
      </c>
    </row>
    <row r="52" spans="1:34" x14ac:dyDescent="0.25">
      <c r="A52" s="3" t="s">
        <v>79</v>
      </c>
      <c r="B52" s="5">
        <f>7403.47</f>
        <v>7403.47</v>
      </c>
      <c r="C52" s="4"/>
      <c r="D52" s="4"/>
      <c r="E52" s="4"/>
      <c r="F52" s="5">
        <f>5817</f>
        <v>5817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5">
        <f t="shared" si="6"/>
        <v>13220.470000000001</v>
      </c>
    </row>
    <row r="53" spans="1:34" x14ac:dyDescent="0.25">
      <c r="A53" s="3" t="s">
        <v>80</v>
      </c>
      <c r="B53" s="5">
        <f>13628.33</f>
        <v>13628.33</v>
      </c>
      <c r="C53" s="4"/>
      <c r="D53" s="4"/>
      <c r="E53" s="5">
        <f>78.28</f>
        <v>78.28</v>
      </c>
      <c r="F53" s="5">
        <f>8725.1</f>
        <v>8725.1</v>
      </c>
      <c r="G53" s="4"/>
      <c r="H53" s="5">
        <f>57.87</f>
        <v>57.87</v>
      </c>
      <c r="I53" s="5">
        <f>153.62</f>
        <v>153.62</v>
      </c>
      <c r="J53" s="4"/>
      <c r="K53" s="4"/>
      <c r="L53" s="4"/>
      <c r="M53" s="5">
        <f>222.62</f>
        <v>222.62</v>
      </c>
      <c r="N53" s="4"/>
      <c r="O53" s="5">
        <f>318.79</f>
        <v>318.79000000000002</v>
      </c>
      <c r="P53" s="4"/>
      <c r="Q53" s="4"/>
      <c r="R53" s="4"/>
      <c r="S53" s="4"/>
      <c r="T53" s="5">
        <f>38.3</f>
        <v>38.299999999999997</v>
      </c>
      <c r="U53" s="5">
        <f>1519.56</f>
        <v>1519.56</v>
      </c>
      <c r="V53" s="5">
        <f>5788.67</f>
        <v>5788.67</v>
      </c>
      <c r="W53" s="5">
        <f>445.24</f>
        <v>445.24</v>
      </c>
      <c r="X53" s="4"/>
      <c r="Y53" s="5">
        <f>211.91</f>
        <v>211.91</v>
      </c>
      <c r="Z53" s="4"/>
      <c r="AA53" s="4"/>
      <c r="AB53" s="4"/>
      <c r="AC53" s="4"/>
      <c r="AD53" s="5">
        <f>782.34</f>
        <v>782.34</v>
      </c>
      <c r="AE53" s="5">
        <f>1258.28</f>
        <v>1258.28</v>
      </c>
      <c r="AF53" s="4"/>
      <c r="AG53" s="4"/>
      <c r="AH53" s="5">
        <f t="shared" si="6"/>
        <v>33228.910000000003</v>
      </c>
    </row>
    <row r="54" spans="1:34" x14ac:dyDescent="0.25">
      <c r="A54" s="3" t="s">
        <v>81</v>
      </c>
      <c r="B54" s="6">
        <f t="shared" ref="B54:AG54" si="9">((((B49)+(B50))+(B51))+(B52))+(B53)</f>
        <v>67425.84</v>
      </c>
      <c r="C54" s="6">
        <f t="shared" si="9"/>
        <v>0</v>
      </c>
      <c r="D54" s="6">
        <f t="shared" si="9"/>
        <v>0</v>
      </c>
      <c r="E54" s="6">
        <f t="shared" si="9"/>
        <v>78.28</v>
      </c>
      <c r="F54" s="6">
        <f t="shared" si="9"/>
        <v>140995.07999999999</v>
      </c>
      <c r="G54" s="6">
        <f t="shared" si="9"/>
        <v>0</v>
      </c>
      <c r="H54" s="6">
        <f t="shared" si="9"/>
        <v>3355.71</v>
      </c>
      <c r="I54" s="6">
        <f t="shared" si="9"/>
        <v>153.62</v>
      </c>
      <c r="J54" s="6">
        <f t="shared" si="9"/>
        <v>0</v>
      </c>
      <c r="K54" s="6">
        <f t="shared" si="9"/>
        <v>510</v>
      </c>
      <c r="L54" s="6">
        <f t="shared" si="9"/>
        <v>0</v>
      </c>
      <c r="M54" s="6">
        <f t="shared" si="9"/>
        <v>222.62</v>
      </c>
      <c r="N54" s="6">
        <f t="shared" si="9"/>
        <v>73.25</v>
      </c>
      <c r="O54" s="6">
        <f t="shared" si="9"/>
        <v>318.79000000000002</v>
      </c>
      <c r="P54" s="6">
        <f t="shared" si="9"/>
        <v>-10</v>
      </c>
      <c r="Q54" s="6">
        <f t="shared" si="9"/>
        <v>126.5</v>
      </c>
      <c r="R54" s="6">
        <f t="shared" si="9"/>
        <v>0</v>
      </c>
      <c r="S54" s="6">
        <f t="shared" si="9"/>
        <v>0</v>
      </c>
      <c r="T54" s="6">
        <f t="shared" si="9"/>
        <v>838.3</v>
      </c>
      <c r="U54" s="6">
        <f t="shared" si="9"/>
        <v>2231.7600000000002</v>
      </c>
      <c r="V54" s="6">
        <f t="shared" si="9"/>
        <v>10780.470000000001</v>
      </c>
      <c r="W54" s="6">
        <f t="shared" si="9"/>
        <v>445.24</v>
      </c>
      <c r="X54" s="6">
        <f t="shared" si="9"/>
        <v>0</v>
      </c>
      <c r="Y54" s="6">
        <f t="shared" si="9"/>
        <v>211.91</v>
      </c>
      <c r="Z54" s="6">
        <f t="shared" si="9"/>
        <v>0</v>
      </c>
      <c r="AA54" s="6">
        <f t="shared" si="9"/>
        <v>0</v>
      </c>
      <c r="AB54" s="6">
        <f t="shared" si="9"/>
        <v>0</v>
      </c>
      <c r="AC54" s="6">
        <f t="shared" si="9"/>
        <v>0</v>
      </c>
      <c r="AD54" s="6">
        <f t="shared" si="9"/>
        <v>942.24</v>
      </c>
      <c r="AE54" s="6">
        <f t="shared" si="9"/>
        <v>11058.28</v>
      </c>
      <c r="AF54" s="6">
        <f t="shared" si="9"/>
        <v>0</v>
      </c>
      <c r="AG54" s="6">
        <f t="shared" si="9"/>
        <v>0</v>
      </c>
      <c r="AH54" s="6">
        <f t="shared" si="6"/>
        <v>239757.88999999996</v>
      </c>
    </row>
    <row r="55" spans="1:34" x14ac:dyDescent="0.25">
      <c r="A55" s="3" t="s">
        <v>82</v>
      </c>
      <c r="B55" s="5">
        <f>140304.58</f>
        <v>140304.57999999999</v>
      </c>
      <c r="C55" s="4"/>
      <c r="D55" s="4"/>
      <c r="E55" s="5">
        <f>4700</f>
        <v>4700</v>
      </c>
      <c r="F55" s="5">
        <f>1145</f>
        <v>1145</v>
      </c>
      <c r="G55" s="5">
        <f>1800</f>
        <v>1800</v>
      </c>
      <c r="H55" s="5">
        <f>43067.44</f>
        <v>43067.44</v>
      </c>
      <c r="I55" s="5">
        <f>8000</f>
        <v>8000</v>
      </c>
      <c r="J55" s="4"/>
      <c r="K55" s="5">
        <f>57381</f>
        <v>57381</v>
      </c>
      <c r="L55" s="4"/>
      <c r="M55" s="4"/>
      <c r="N55" s="4"/>
      <c r="O55" s="5">
        <f>67655.42</f>
        <v>67655.42</v>
      </c>
      <c r="P55" s="4"/>
      <c r="Q55" s="4"/>
      <c r="R55" s="4"/>
      <c r="S55" s="4"/>
      <c r="T55" s="4"/>
      <c r="U55" s="4"/>
      <c r="V55" s="4"/>
      <c r="W55" s="5">
        <f>500</f>
        <v>500</v>
      </c>
      <c r="X55" s="5">
        <f>4385</f>
        <v>4385</v>
      </c>
      <c r="Y55" s="5">
        <f>216235.21</f>
        <v>216235.21</v>
      </c>
      <c r="Z55" s="4"/>
      <c r="AA55" s="4"/>
      <c r="AB55" s="4"/>
      <c r="AC55" s="4"/>
      <c r="AD55" s="5">
        <f>35786.87</f>
        <v>35786.870000000003</v>
      </c>
      <c r="AE55" s="5">
        <f>49351</f>
        <v>49351</v>
      </c>
      <c r="AF55" s="4"/>
      <c r="AG55" s="4"/>
      <c r="AH55" s="5">
        <f t="shared" si="6"/>
        <v>630311.52</v>
      </c>
    </row>
    <row r="56" spans="1:34" x14ac:dyDescent="0.25">
      <c r="A56" s="3" t="s">
        <v>83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5">
        <f t="shared" si="6"/>
        <v>0</v>
      </c>
    </row>
    <row r="57" spans="1:34" x14ac:dyDescent="0.25">
      <c r="A57" s="3" t="s">
        <v>84</v>
      </c>
      <c r="B57" s="5">
        <f>282.98</f>
        <v>282.98</v>
      </c>
      <c r="C57" s="4"/>
      <c r="D57" s="4"/>
      <c r="E57" s="4"/>
      <c r="F57" s="5">
        <f>574.53</f>
        <v>574.53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5">
        <f t="shared" si="6"/>
        <v>857.51</v>
      </c>
    </row>
    <row r="58" spans="1:34" x14ac:dyDescent="0.25">
      <c r="A58" s="3" t="s">
        <v>85</v>
      </c>
      <c r="B58" s="5">
        <f>1155</f>
        <v>1155</v>
      </c>
      <c r="C58" s="4"/>
      <c r="D58" s="4"/>
      <c r="E58" s="4"/>
      <c r="F58" s="5">
        <f>2345</f>
        <v>2345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5">
        <f t="shared" si="6"/>
        <v>3500</v>
      </c>
    </row>
    <row r="59" spans="1:34" x14ac:dyDescent="0.25">
      <c r="A59" s="3" t="s">
        <v>86</v>
      </c>
      <c r="B59" s="5">
        <f>1620.24</f>
        <v>1620.24</v>
      </c>
      <c r="C59" s="4"/>
      <c r="D59" s="4"/>
      <c r="E59" s="4"/>
      <c r="F59" s="5">
        <f>3116.97</f>
        <v>3116.97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5">
        <f t="shared" si="6"/>
        <v>4737.21</v>
      </c>
    </row>
    <row r="60" spans="1:34" x14ac:dyDescent="0.25">
      <c r="A60" s="3" t="s">
        <v>87</v>
      </c>
      <c r="B60" s="5">
        <f>67862.35</f>
        <v>67862.350000000006</v>
      </c>
      <c r="C60" s="4"/>
      <c r="D60" s="4"/>
      <c r="E60" s="4"/>
      <c r="F60" s="5">
        <f>37596.98</f>
        <v>37596.980000000003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5">
        <f t="shared" si="6"/>
        <v>105459.33000000002</v>
      </c>
    </row>
    <row r="61" spans="1:34" x14ac:dyDescent="0.25">
      <c r="A61" s="3" t="s">
        <v>88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>
        <f>40000</f>
        <v>40000</v>
      </c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5">
        <f t="shared" si="6"/>
        <v>40000</v>
      </c>
    </row>
    <row r="62" spans="1:34" x14ac:dyDescent="0.25">
      <c r="A62" s="3" t="s">
        <v>89</v>
      </c>
      <c r="B62" s="5">
        <f>8933.44</f>
        <v>8933.44</v>
      </c>
      <c r="C62" s="4"/>
      <c r="D62" s="4"/>
      <c r="E62" s="4"/>
      <c r="F62" s="5">
        <f>18137.64</f>
        <v>18137.64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5">
        <f t="shared" si="6"/>
        <v>27071.08</v>
      </c>
    </row>
    <row r="63" spans="1:34" x14ac:dyDescent="0.25">
      <c r="A63" s="3" t="s">
        <v>90</v>
      </c>
      <c r="B63" s="5">
        <f>8983.5</f>
        <v>8983.5</v>
      </c>
      <c r="C63" s="4"/>
      <c r="D63" s="5">
        <f>590</f>
        <v>590</v>
      </c>
      <c r="E63" s="5">
        <f>55.44</f>
        <v>55.44</v>
      </c>
      <c r="F63" s="5">
        <f>147.84</f>
        <v>147.84</v>
      </c>
      <c r="G63" s="4"/>
      <c r="H63" s="4"/>
      <c r="I63" s="5">
        <f>166.32</f>
        <v>166.32</v>
      </c>
      <c r="J63" s="4"/>
      <c r="K63" s="5">
        <f>18200</f>
        <v>18200</v>
      </c>
      <c r="L63" s="4"/>
      <c r="M63" s="4"/>
      <c r="N63" s="4"/>
      <c r="O63" s="5">
        <f>240.24</f>
        <v>240.24</v>
      </c>
      <c r="P63" s="4"/>
      <c r="Q63" s="4"/>
      <c r="R63" s="4"/>
      <c r="S63" s="4"/>
      <c r="T63" s="5">
        <f>55.44</f>
        <v>55.44</v>
      </c>
      <c r="U63" s="5">
        <f>314.16</f>
        <v>314.16000000000003</v>
      </c>
      <c r="V63" s="5">
        <f>1326.74</f>
        <v>1326.74</v>
      </c>
      <c r="W63" s="5">
        <f>295.68</f>
        <v>295.68</v>
      </c>
      <c r="X63" s="4"/>
      <c r="Y63" s="5">
        <f>221.76</f>
        <v>221.76</v>
      </c>
      <c r="Z63" s="5">
        <f>2200</f>
        <v>2200</v>
      </c>
      <c r="AA63" s="4"/>
      <c r="AB63" s="4"/>
      <c r="AC63" s="4"/>
      <c r="AD63" s="5">
        <f>554.4</f>
        <v>554.4</v>
      </c>
      <c r="AE63" s="5">
        <f>801.24</f>
        <v>801.24</v>
      </c>
      <c r="AF63" s="4"/>
      <c r="AG63" s="4"/>
      <c r="AH63" s="5">
        <f t="shared" si="6"/>
        <v>34152.759999999995</v>
      </c>
    </row>
    <row r="64" spans="1:34" x14ac:dyDescent="0.25">
      <c r="A64" s="3" t="s">
        <v>91</v>
      </c>
      <c r="B64" s="5">
        <f>0</f>
        <v>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5">
        <f>10098.36</f>
        <v>10098.36</v>
      </c>
      <c r="AF64" s="4"/>
      <c r="AG64" s="4"/>
      <c r="AH64" s="5">
        <f t="shared" ref="AH64:AH95" si="10">(((((((((((((((((((((((((((((((B64)+(C64))+(D64))+(E64))+(F64))+(G64))+(H64))+(I64))+(J64))+(K64))+(L64))+(M64))+(N64))+(O64))+(P64))+(Q64))+(R64))+(S64))+(T64))+(U64))+(V64))+(W64))+(X64))+(Y64))+(Z64))+(AA64))+(AB64))+(AC64))+(AD64))+(AE64))+(AF64))+(AG64)</f>
        <v>10098.36</v>
      </c>
    </row>
    <row r="65" spans="1:34" x14ac:dyDescent="0.25">
      <c r="A65" s="3" t="s">
        <v>92</v>
      </c>
      <c r="B65" s="5">
        <f>2572.35</f>
        <v>2572.35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5">
        <f>599.98</f>
        <v>599.98</v>
      </c>
      <c r="AE65" s="4"/>
      <c r="AF65" s="4"/>
      <c r="AG65" s="4"/>
      <c r="AH65" s="5">
        <f t="shared" si="10"/>
        <v>3172.33</v>
      </c>
    </row>
    <row r="66" spans="1:34" x14ac:dyDescent="0.25">
      <c r="A66" s="3" t="s">
        <v>93</v>
      </c>
      <c r="B66" s="6">
        <f t="shared" ref="B66:AG66" si="11">(((((((((B56)+(B57))+(B58))+(B59))+(B60))+(B61))+(B62))+(B63))+(B64))+(B65)</f>
        <v>91409.860000000015</v>
      </c>
      <c r="C66" s="6">
        <f t="shared" si="11"/>
        <v>0</v>
      </c>
      <c r="D66" s="6">
        <f t="shared" si="11"/>
        <v>590</v>
      </c>
      <c r="E66" s="6">
        <f t="shared" si="11"/>
        <v>55.44</v>
      </c>
      <c r="F66" s="6">
        <f t="shared" si="11"/>
        <v>61918.96</v>
      </c>
      <c r="G66" s="6">
        <f t="shared" si="11"/>
        <v>0</v>
      </c>
      <c r="H66" s="6">
        <f t="shared" si="11"/>
        <v>0</v>
      </c>
      <c r="I66" s="6">
        <f t="shared" si="11"/>
        <v>166.32</v>
      </c>
      <c r="J66" s="6">
        <f t="shared" si="11"/>
        <v>0</v>
      </c>
      <c r="K66" s="6">
        <f t="shared" si="11"/>
        <v>18200</v>
      </c>
      <c r="L66" s="6">
        <f t="shared" si="11"/>
        <v>0</v>
      </c>
      <c r="M66" s="6">
        <f t="shared" si="11"/>
        <v>0</v>
      </c>
      <c r="N66" s="6">
        <f t="shared" si="11"/>
        <v>0</v>
      </c>
      <c r="O66" s="6">
        <f t="shared" si="11"/>
        <v>240.24</v>
      </c>
      <c r="P66" s="6">
        <f t="shared" si="11"/>
        <v>0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55.44</v>
      </c>
      <c r="U66" s="6">
        <f t="shared" si="11"/>
        <v>314.16000000000003</v>
      </c>
      <c r="V66" s="6">
        <f t="shared" si="11"/>
        <v>41326.74</v>
      </c>
      <c r="W66" s="6">
        <f t="shared" si="11"/>
        <v>295.68</v>
      </c>
      <c r="X66" s="6">
        <f t="shared" si="11"/>
        <v>0</v>
      </c>
      <c r="Y66" s="6">
        <f t="shared" si="11"/>
        <v>221.76</v>
      </c>
      <c r="Z66" s="6">
        <f t="shared" si="11"/>
        <v>2200</v>
      </c>
      <c r="AA66" s="6">
        <f t="shared" si="11"/>
        <v>0</v>
      </c>
      <c r="AB66" s="6">
        <f t="shared" si="11"/>
        <v>0</v>
      </c>
      <c r="AC66" s="6">
        <f t="shared" si="11"/>
        <v>0</v>
      </c>
      <c r="AD66" s="6">
        <f t="shared" si="11"/>
        <v>1154.3800000000001</v>
      </c>
      <c r="AE66" s="6">
        <f t="shared" si="11"/>
        <v>10899.6</v>
      </c>
      <c r="AF66" s="6">
        <f t="shared" si="11"/>
        <v>0</v>
      </c>
      <c r="AG66" s="6">
        <f t="shared" si="11"/>
        <v>0</v>
      </c>
      <c r="AH66" s="6">
        <f t="shared" si="10"/>
        <v>229048.58000000002</v>
      </c>
    </row>
    <row r="67" spans="1:34" x14ac:dyDescent="0.25">
      <c r="A67" s="3" t="s">
        <v>94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5">
        <f t="shared" si="10"/>
        <v>0</v>
      </c>
    </row>
    <row r="68" spans="1:34" x14ac:dyDescent="0.25">
      <c r="A68" s="3" t="s">
        <v>95</v>
      </c>
      <c r="B68" s="5">
        <f>39123.58</f>
        <v>39123.58</v>
      </c>
      <c r="C68" s="4"/>
      <c r="D68" s="4"/>
      <c r="E68" s="4"/>
      <c r="F68" s="5">
        <f>32702</f>
        <v>32702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5">
        <f t="shared" si="10"/>
        <v>71825.58</v>
      </c>
    </row>
    <row r="69" spans="1:34" x14ac:dyDescent="0.25">
      <c r="A69" s="3" t="s">
        <v>96</v>
      </c>
      <c r="B69" s="5">
        <f>23939.5</f>
        <v>23939.5</v>
      </c>
      <c r="C69" s="4"/>
      <c r="D69" s="4"/>
      <c r="E69" s="4"/>
      <c r="F69" s="5">
        <f>18374.5</f>
        <v>18374.5</v>
      </c>
      <c r="G69" s="4"/>
      <c r="H69" s="4"/>
      <c r="I69" s="4"/>
      <c r="J69" s="4"/>
      <c r="K69" s="4"/>
      <c r="L69" s="4"/>
      <c r="M69" s="4"/>
      <c r="N69" s="4"/>
      <c r="O69" s="5">
        <f>185</f>
        <v>185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5">
        <f t="shared" si="10"/>
        <v>42499</v>
      </c>
    </row>
    <row r="70" spans="1:34" x14ac:dyDescent="0.25">
      <c r="A70" s="3" t="s">
        <v>97</v>
      </c>
      <c r="B70" s="6">
        <f t="shared" ref="B70:AG70" si="12">((B67)+(B68))+(B69)</f>
        <v>63063.08</v>
      </c>
      <c r="C70" s="6">
        <f t="shared" si="12"/>
        <v>0</v>
      </c>
      <c r="D70" s="6">
        <f t="shared" si="12"/>
        <v>0</v>
      </c>
      <c r="E70" s="6">
        <f t="shared" si="12"/>
        <v>0</v>
      </c>
      <c r="F70" s="6">
        <f t="shared" si="12"/>
        <v>51076.5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0</v>
      </c>
      <c r="O70" s="6">
        <f t="shared" si="12"/>
        <v>185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2"/>
        <v>0</v>
      </c>
      <c r="AB70" s="6">
        <f t="shared" si="12"/>
        <v>0</v>
      </c>
      <c r="AC70" s="6">
        <f t="shared" si="12"/>
        <v>0</v>
      </c>
      <c r="AD70" s="6">
        <f t="shared" si="12"/>
        <v>0</v>
      </c>
      <c r="AE70" s="6">
        <f t="shared" si="12"/>
        <v>0</v>
      </c>
      <c r="AF70" s="6">
        <f t="shared" si="12"/>
        <v>0</v>
      </c>
      <c r="AG70" s="6">
        <f t="shared" si="12"/>
        <v>0</v>
      </c>
      <c r="AH70" s="6">
        <f t="shared" si="10"/>
        <v>114324.58</v>
      </c>
    </row>
    <row r="71" spans="1:34" x14ac:dyDescent="0.25">
      <c r="A71" s="3" t="s">
        <v>98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5">
        <f t="shared" si="10"/>
        <v>0</v>
      </c>
    </row>
    <row r="72" spans="1:34" x14ac:dyDescent="0.25">
      <c r="A72" s="3" t="s">
        <v>99</v>
      </c>
      <c r="B72" s="5">
        <f>514.06</f>
        <v>514.05999999999995</v>
      </c>
      <c r="C72" s="4"/>
      <c r="D72" s="4"/>
      <c r="E72" s="4"/>
      <c r="F72" s="5">
        <f>359.84</f>
        <v>359.84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5">
        <f>47.58</f>
        <v>47.58</v>
      </c>
      <c r="V72" s="5">
        <f>106.62</f>
        <v>106.62</v>
      </c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5">
        <f t="shared" si="10"/>
        <v>1028.0999999999999</v>
      </c>
    </row>
    <row r="73" spans="1:34" x14ac:dyDescent="0.25">
      <c r="A73" s="3" t="s">
        <v>100</v>
      </c>
      <c r="B73" s="5">
        <f>664.5</f>
        <v>664.5</v>
      </c>
      <c r="C73" s="4"/>
      <c r="D73" s="4"/>
      <c r="E73" s="4"/>
      <c r="F73" s="5">
        <f>294.16</f>
        <v>294.16000000000003</v>
      </c>
      <c r="G73" s="4"/>
      <c r="H73" s="4"/>
      <c r="I73" s="4"/>
      <c r="J73" s="4"/>
      <c r="K73" s="4"/>
      <c r="L73" s="4"/>
      <c r="M73" s="4"/>
      <c r="N73" s="4"/>
      <c r="O73" s="5">
        <f>83.15</f>
        <v>83.15</v>
      </c>
      <c r="P73" s="4"/>
      <c r="Q73" s="4"/>
      <c r="R73" s="4"/>
      <c r="S73" s="4"/>
      <c r="T73" s="4"/>
      <c r="U73" s="5">
        <f>60</f>
        <v>60</v>
      </c>
      <c r="V73" s="5">
        <f>134.48</f>
        <v>134.47999999999999</v>
      </c>
      <c r="W73" s="4"/>
      <c r="X73" s="4"/>
      <c r="Y73" s="5">
        <f>71</f>
        <v>71</v>
      </c>
      <c r="Z73" s="4"/>
      <c r="AA73" s="4"/>
      <c r="AB73" s="4"/>
      <c r="AC73" s="4"/>
      <c r="AD73" s="4"/>
      <c r="AE73" s="5">
        <f>285.5</f>
        <v>285.5</v>
      </c>
      <c r="AF73" s="4"/>
      <c r="AG73" s="4"/>
      <c r="AH73" s="5">
        <f t="shared" si="10"/>
        <v>1592.7900000000002</v>
      </c>
    </row>
    <row r="74" spans="1:34" x14ac:dyDescent="0.25">
      <c r="A74" s="3" t="s">
        <v>101</v>
      </c>
      <c r="B74" s="5">
        <f>5190.99</f>
        <v>5190.99</v>
      </c>
      <c r="C74" s="4"/>
      <c r="D74" s="4"/>
      <c r="E74" s="5">
        <f>4.74</f>
        <v>4.74</v>
      </c>
      <c r="F74" s="5">
        <f>3422.05</f>
        <v>3422.05</v>
      </c>
      <c r="G74" s="4"/>
      <c r="H74" s="4"/>
      <c r="I74" s="4"/>
      <c r="J74" s="4"/>
      <c r="K74" s="4"/>
      <c r="L74" s="4"/>
      <c r="M74" s="4"/>
      <c r="N74" s="4"/>
      <c r="O74" s="5">
        <f>241.42</f>
        <v>241.42</v>
      </c>
      <c r="P74" s="4"/>
      <c r="Q74" s="4"/>
      <c r="R74" s="4"/>
      <c r="S74" s="4"/>
      <c r="T74" s="5">
        <f>32.88</f>
        <v>32.880000000000003</v>
      </c>
      <c r="U74" s="5">
        <f>658.71</f>
        <v>658.71</v>
      </c>
      <c r="V74" s="5">
        <f>2927</f>
        <v>2927</v>
      </c>
      <c r="W74" s="5">
        <f>850.48</f>
        <v>850.48</v>
      </c>
      <c r="X74" s="4"/>
      <c r="Y74" s="5">
        <f>594.03</f>
        <v>594.03</v>
      </c>
      <c r="Z74" s="4"/>
      <c r="AA74" s="4"/>
      <c r="AB74" s="4"/>
      <c r="AC74" s="4"/>
      <c r="AD74" s="5">
        <f>1932.36</f>
        <v>1932.36</v>
      </c>
      <c r="AE74" s="5">
        <f>2157.36</f>
        <v>2157.36</v>
      </c>
      <c r="AF74" s="4"/>
      <c r="AG74" s="4"/>
      <c r="AH74" s="5">
        <f t="shared" si="10"/>
        <v>18012.019999999997</v>
      </c>
    </row>
    <row r="75" spans="1:34" x14ac:dyDescent="0.25">
      <c r="A75" s="3" t="s">
        <v>102</v>
      </c>
      <c r="B75" s="5">
        <f>421.37</f>
        <v>421.37</v>
      </c>
      <c r="C75" s="4"/>
      <c r="D75" s="4"/>
      <c r="E75" s="5">
        <f>0</f>
        <v>0</v>
      </c>
      <c r="F75" s="5">
        <f>1884.44</f>
        <v>1884.44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5">
        <f>13794.8</f>
        <v>13794.8</v>
      </c>
      <c r="V75" s="5">
        <f>421.37</f>
        <v>421.37</v>
      </c>
      <c r="W75" s="5">
        <f>1055</f>
        <v>1055</v>
      </c>
      <c r="X75" s="4"/>
      <c r="Y75" s="5">
        <f>0</f>
        <v>0</v>
      </c>
      <c r="Z75" s="4"/>
      <c r="AA75" s="4"/>
      <c r="AB75" s="4"/>
      <c r="AC75" s="4"/>
      <c r="AD75" s="5">
        <f>1103.3</f>
        <v>1103.3</v>
      </c>
      <c r="AE75" s="5">
        <f>2044.3</f>
        <v>2044.3</v>
      </c>
      <c r="AF75" s="4"/>
      <c r="AG75" s="4"/>
      <c r="AH75" s="5">
        <f t="shared" si="10"/>
        <v>20724.579999999998</v>
      </c>
    </row>
    <row r="76" spans="1:34" x14ac:dyDescent="0.25">
      <c r="A76" s="3" t="s">
        <v>103</v>
      </c>
      <c r="B76" s="5">
        <f>24990.17</f>
        <v>24990.17</v>
      </c>
      <c r="C76" s="4"/>
      <c r="D76" s="4"/>
      <c r="E76" s="5">
        <f>0</f>
        <v>0</v>
      </c>
      <c r="F76" s="5">
        <f>202.75</f>
        <v>202.75</v>
      </c>
      <c r="G76" s="4"/>
      <c r="H76" s="4"/>
      <c r="I76" s="5">
        <f>307.54</f>
        <v>307.54000000000002</v>
      </c>
      <c r="J76" s="4"/>
      <c r="K76" s="5">
        <f>2996.33</f>
        <v>2996.33</v>
      </c>
      <c r="L76" s="5">
        <f>4279.45</f>
        <v>4279.45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5">
        <f>6429.83</f>
        <v>6429.83</v>
      </c>
      <c r="Y76" s="4"/>
      <c r="Z76" s="4"/>
      <c r="AA76" s="4"/>
      <c r="AB76" s="4"/>
      <c r="AC76" s="4"/>
      <c r="AD76" s="4"/>
      <c r="AE76" s="4"/>
      <c r="AF76" s="4"/>
      <c r="AG76" s="4"/>
      <c r="AH76" s="5">
        <f t="shared" si="10"/>
        <v>39206.07</v>
      </c>
    </row>
    <row r="77" spans="1:34" x14ac:dyDescent="0.25">
      <c r="A77" s="3" t="s">
        <v>104</v>
      </c>
      <c r="B77" s="5">
        <f>56778.51</f>
        <v>56778.51</v>
      </c>
      <c r="C77" s="4"/>
      <c r="D77" s="5">
        <f>3415</f>
        <v>3415</v>
      </c>
      <c r="E77" s="5">
        <f>0</f>
        <v>0</v>
      </c>
      <c r="F77" s="5">
        <f>9175.21</f>
        <v>9175.2099999999991</v>
      </c>
      <c r="G77" s="5">
        <f>390.8</f>
        <v>390.8</v>
      </c>
      <c r="H77" s="5">
        <f>2646.89</f>
        <v>2646.89</v>
      </c>
      <c r="I77" s="5">
        <f>112.25</f>
        <v>112.25</v>
      </c>
      <c r="J77" s="4"/>
      <c r="K77" s="5">
        <f>6244.23</f>
        <v>6244.23</v>
      </c>
      <c r="L77" s="5">
        <f>5208.44</f>
        <v>5208.4399999999996</v>
      </c>
      <c r="M77" s="4"/>
      <c r="N77" s="4"/>
      <c r="O77" s="5">
        <f>67943.52</f>
        <v>67943.520000000004</v>
      </c>
      <c r="P77" s="4"/>
      <c r="Q77" s="4"/>
      <c r="R77" s="4"/>
      <c r="S77" s="4"/>
      <c r="T77" s="5">
        <f>1399.85</f>
        <v>1399.85</v>
      </c>
      <c r="U77" s="5">
        <f>8713.65</f>
        <v>8713.65</v>
      </c>
      <c r="V77" s="5">
        <f>20411.22</f>
        <v>20411.22</v>
      </c>
      <c r="W77" s="5">
        <f>33758.87</f>
        <v>33758.870000000003</v>
      </c>
      <c r="X77" s="5">
        <f>2960</f>
        <v>2960</v>
      </c>
      <c r="Y77" s="5">
        <f>621.48</f>
        <v>621.48</v>
      </c>
      <c r="Z77" s="4"/>
      <c r="AA77" s="5">
        <f>113.96</f>
        <v>113.96</v>
      </c>
      <c r="AB77" s="5">
        <f>4075.34</f>
        <v>4075.34</v>
      </c>
      <c r="AC77" s="4"/>
      <c r="AD77" s="5">
        <f>210332.78</f>
        <v>210332.78</v>
      </c>
      <c r="AE77" s="5">
        <f>205268.43</f>
        <v>205268.43</v>
      </c>
      <c r="AF77" s="4"/>
      <c r="AG77" s="4"/>
      <c r="AH77" s="5">
        <f t="shared" si="10"/>
        <v>639570.42999999993</v>
      </c>
    </row>
    <row r="78" spans="1:34" x14ac:dyDescent="0.25">
      <c r="A78" s="3" t="s">
        <v>105</v>
      </c>
      <c r="B78" s="6">
        <f t="shared" ref="B78:AG78" si="13">((((((B71)+(B72))+(B73))+(B74))+(B75))+(B76))+(B77)</f>
        <v>88559.6</v>
      </c>
      <c r="C78" s="6">
        <f t="shared" si="13"/>
        <v>0</v>
      </c>
      <c r="D78" s="6">
        <f t="shared" si="13"/>
        <v>3415</v>
      </c>
      <c r="E78" s="6">
        <f t="shared" si="13"/>
        <v>4.74</v>
      </c>
      <c r="F78" s="6">
        <f t="shared" si="13"/>
        <v>15338.449999999999</v>
      </c>
      <c r="G78" s="6">
        <f t="shared" si="13"/>
        <v>390.8</v>
      </c>
      <c r="H78" s="6">
        <f t="shared" si="13"/>
        <v>2646.89</v>
      </c>
      <c r="I78" s="6">
        <f t="shared" si="13"/>
        <v>419.79</v>
      </c>
      <c r="J78" s="6">
        <f t="shared" si="13"/>
        <v>0</v>
      </c>
      <c r="K78" s="6">
        <f t="shared" si="13"/>
        <v>9240.56</v>
      </c>
      <c r="L78" s="6">
        <f t="shared" si="13"/>
        <v>9487.89</v>
      </c>
      <c r="M78" s="6">
        <f t="shared" si="13"/>
        <v>0</v>
      </c>
      <c r="N78" s="6">
        <f t="shared" si="13"/>
        <v>0</v>
      </c>
      <c r="O78" s="6">
        <f t="shared" si="13"/>
        <v>68268.090000000011</v>
      </c>
      <c r="P78" s="6">
        <f t="shared" si="13"/>
        <v>0</v>
      </c>
      <c r="Q78" s="6">
        <f t="shared" si="13"/>
        <v>0</v>
      </c>
      <c r="R78" s="6">
        <f t="shared" si="13"/>
        <v>0</v>
      </c>
      <c r="S78" s="6">
        <f t="shared" si="13"/>
        <v>0</v>
      </c>
      <c r="T78" s="6">
        <f t="shared" si="13"/>
        <v>1432.73</v>
      </c>
      <c r="U78" s="6">
        <f t="shared" si="13"/>
        <v>23274.739999999998</v>
      </c>
      <c r="V78" s="6">
        <f t="shared" si="13"/>
        <v>24000.690000000002</v>
      </c>
      <c r="W78" s="6">
        <f t="shared" si="13"/>
        <v>35664.350000000006</v>
      </c>
      <c r="X78" s="6">
        <f t="shared" si="13"/>
        <v>9389.83</v>
      </c>
      <c r="Y78" s="6">
        <f t="shared" si="13"/>
        <v>1286.51</v>
      </c>
      <c r="Z78" s="6">
        <f t="shared" si="13"/>
        <v>0</v>
      </c>
      <c r="AA78" s="6">
        <f t="shared" si="13"/>
        <v>113.96</v>
      </c>
      <c r="AB78" s="6">
        <f t="shared" si="13"/>
        <v>4075.34</v>
      </c>
      <c r="AC78" s="6">
        <f t="shared" si="13"/>
        <v>0</v>
      </c>
      <c r="AD78" s="6">
        <f t="shared" si="13"/>
        <v>213368.44</v>
      </c>
      <c r="AE78" s="6">
        <f t="shared" si="13"/>
        <v>209755.59</v>
      </c>
      <c r="AF78" s="6">
        <f t="shared" si="13"/>
        <v>0</v>
      </c>
      <c r="AG78" s="6">
        <f t="shared" si="13"/>
        <v>0</v>
      </c>
      <c r="AH78" s="6">
        <f t="shared" si="10"/>
        <v>720133.99000000011</v>
      </c>
    </row>
    <row r="79" spans="1:34" x14ac:dyDescent="0.25">
      <c r="A79" s="3" t="s">
        <v>106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5">
        <f t="shared" si="10"/>
        <v>0</v>
      </c>
    </row>
    <row r="80" spans="1:34" x14ac:dyDescent="0.25">
      <c r="A80" s="3" t="s">
        <v>107</v>
      </c>
      <c r="B80" s="5">
        <f>2078.7</f>
        <v>2078.6999999999998</v>
      </c>
      <c r="C80" s="4"/>
      <c r="D80" s="4"/>
      <c r="E80" s="5">
        <f>2494.44</f>
        <v>2494.44</v>
      </c>
      <c r="F80" s="4"/>
      <c r="G80" s="4"/>
      <c r="H80" s="4"/>
      <c r="I80" s="4"/>
      <c r="J80" s="4"/>
      <c r="K80" s="5">
        <f>500</f>
        <v>500</v>
      </c>
      <c r="L80" s="5">
        <f>17579</f>
        <v>17579</v>
      </c>
      <c r="M80" s="4"/>
      <c r="N80" s="5">
        <f>23762.53</f>
        <v>23762.53</v>
      </c>
      <c r="O80" s="4"/>
      <c r="P80" s="4"/>
      <c r="Q80" s="4"/>
      <c r="R80" s="5">
        <f>250</f>
        <v>250</v>
      </c>
      <c r="S80" s="4"/>
      <c r="T80" s="5">
        <f>46818</f>
        <v>46818</v>
      </c>
      <c r="U80" s="5">
        <f>18024.14</f>
        <v>18024.14</v>
      </c>
      <c r="V80" s="5">
        <f>50998.18</f>
        <v>50998.18</v>
      </c>
      <c r="W80" s="5">
        <f>500</f>
        <v>500</v>
      </c>
      <c r="X80" s="4"/>
      <c r="Y80" s="5">
        <f>4988.88</f>
        <v>4988.88</v>
      </c>
      <c r="Z80" s="4"/>
      <c r="AA80" s="4"/>
      <c r="AB80" s="4"/>
      <c r="AC80" s="4"/>
      <c r="AD80" s="5">
        <f>166114.11</f>
        <v>166114.10999999999</v>
      </c>
      <c r="AE80" s="5">
        <f>1522571.17</f>
        <v>1522571.17</v>
      </c>
      <c r="AF80" s="5">
        <f>10776</f>
        <v>10776</v>
      </c>
      <c r="AG80" s="4"/>
      <c r="AH80" s="5">
        <f t="shared" si="10"/>
        <v>1867455.15</v>
      </c>
    </row>
    <row r="81" spans="1:34" x14ac:dyDescent="0.25">
      <c r="A81" s="3" t="s">
        <v>108</v>
      </c>
      <c r="B81" s="5">
        <f>11180.81</f>
        <v>11180.81</v>
      </c>
      <c r="C81" s="4"/>
      <c r="D81" s="4"/>
      <c r="E81" s="4"/>
      <c r="F81" s="5">
        <f>4243</f>
        <v>4243</v>
      </c>
      <c r="G81" s="5">
        <f>12689</f>
        <v>12689</v>
      </c>
      <c r="H81" s="4"/>
      <c r="I81" s="4"/>
      <c r="J81" s="4"/>
      <c r="K81" s="5">
        <f>9796.9</f>
        <v>9796.9</v>
      </c>
      <c r="L81" s="5">
        <f>2770.25</f>
        <v>2770.25</v>
      </c>
      <c r="M81" s="4"/>
      <c r="N81" s="4"/>
      <c r="O81" s="5">
        <f>4711</f>
        <v>4711</v>
      </c>
      <c r="P81" s="4"/>
      <c r="Q81" s="4"/>
      <c r="R81" s="4"/>
      <c r="S81" s="4"/>
      <c r="T81" s="4"/>
      <c r="U81" s="5">
        <f>2728</f>
        <v>2728</v>
      </c>
      <c r="V81" s="5">
        <f>10839</f>
        <v>10839</v>
      </c>
      <c r="W81" s="5">
        <f>6311</f>
        <v>6311</v>
      </c>
      <c r="X81" s="4"/>
      <c r="Y81" s="5">
        <f>1368</f>
        <v>1368</v>
      </c>
      <c r="Z81" s="4"/>
      <c r="AA81" s="4"/>
      <c r="AB81" s="4"/>
      <c r="AC81" s="4"/>
      <c r="AD81" s="5">
        <f>9052.1</f>
        <v>9052.1</v>
      </c>
      <c r="AE81" s="5">
        <f>13171</f>
        <v>13171</v>
      </c>
      <c r="AF81" s="4"/>
      <c r="AG81" s="4"/>
      <c r="AH81" s="5">
        <f t="shared" si="10"/>
        <v>88860.06</v>
      </c>
    </row>
    <row r="82" spans="1:34" x14ac:dyDescent="0.25">
      <c r="A82" s="3" t="s">
        <v>109</v>
      </c>
      <c r="B82" s="5">
        <f>61570.38</f>
        <v>61570.38</v>
      </c>
      <c r="C82" s="4"/>
      <c r="D82" s="4"/>
      <c r="E82" s="5">
        <f>2193.68</f>
        <v>2193.6799999999998</v>
      </c>
      <c r="F82" s="5">
        <f>2451.36</f>
        <v>2451.36</v>
      </c>
      <c r="G82" s="5">
        <f>7959.44</f>
        <v>7959.44</v>
      </c>
      <c r="H82" s="4"/>
      <c r="I82" s="5">
        <f>816.25</f>
        <v>816.25</v>
      </c>
      <c r="J82" s="4"/>
      <c r="K82" s="5">
        <f>42615.42</f>
        <v>42615.42</v>
      </c>
      <c r="L82" s="5">
        <f>4260.9</f>
        <v>4260.8999999999996</v>
      </c>
      <c r="M82" s="4"/>
      <c r="N82" s="4"/>
      <c r="O82" s="5">
        <f>9083.27</f>
        <v>9083.27</v>
      </c>
      <c r="P82" s="4"/>
      <c r="Q82" s="4"/>
      <c r="R82" s="5">
        <f>237546.36</f>
        <v>237546.36</v>
      </c>
      <c r="S82" s="4"/>
      <c r="T82" s="4"/>
      <c r="U82" s="5">
        <f>4612.15</f>
        <v>4612.1499999999996</v>
      </c>
      <c r="V82" s="5">
        <f>18599.21</f>
        <v>18599.21</v>
      </c>
      <c r="W82" s="5">
        <f>9504.92</f>
        <v>9504.92</v>
      </c>
      <c r="X82" s="5">
        <f>3024.91</f>
        <v>3024.91</v>
      </c>
      <c r="Y82" s="5">
        <f>80557.44</f>
        <v>80557.440000000002</v>
      </c>
      <c r="Z82" s="5">
        <f>777.69</f>
        <v>777.69</v>
      </c>
      <c r="AA82" s="4"/>
      <c r="AB82" s="4"/>
      <c r="AC82" s="4"/>
      <c r="AD82" s="5">
        <f>21733.83</f>
        <v>21733.83</v>
      </c>
      <c r="AE82" s="5">
        <f>31728.13</f>
        <v>31728.13</v>
      </c>
      <c r="AF82" s="4"/>
      <c r="AG82" s="5">
        <f>0</f>
        <v>0</v>
      </c>
      <c r="AH82" s="5">
        <f t="shared" si="10"/>
        <v>539035.34</v>
      </c>
    </row>
    <row r="83" spans="1:34" x14ac:dyDescent="0.25">
      <c r="A83" s="3" t="s">
        <v>110</v>
      </c>
      <c r="B83" s="4"/>
      <c r="C83" s="4"/>
      <c r="D83" s="4"/>
      <c r="E83" s="4"/>
      <c r="F83" s="4"/>
      <c r="G83" s="4"/>
      <c r="H83" s="4"/>
      <c r="I83" s="4"/>
      <c r="J83" s="4"/>
      <c r="K83" s="5">
        <f>2542.13</f>
        <v>2542.13</v>
      </c>
      <c r="L83" s="5">
        <f>-1208.34</f>
        <v>-1208.3399999999999</v>
      </c>
      <c r="M83" s="4"/>
      <c r="N83" s="4"/>
      <c r="O83" s="4"/>
      <c r="P83" s="4"/>
      <c r="Q83" s="4"/>
      <c r="R83" s="4"/>
      <c r="S83" s="4"/>
      <c r="T83" s="5">
        <f>5651.84</f>
        <v>5651.84</v>
      </c>
      <c r="U83" s="5">
        <f>27059.54</f>
        <v>27059.54</v>
      </c>
      <c r="V83" s="5">
        <f>37415.18</f>
        <v>37415.18</v>
      </c>
      <c r="W83" s="4"/>
      <c r="X83" s="4"/>
      <c r="Y83" s="5">
        <f>6651.78</f>
        <v>6651.78</v>
      </c>
      <c r="Z83" s="4"/>
      <c r="AA83" s="4"/>
      <c r="AB83" s="4"/>
      <c r="AC83" s="4"/>
      <c r="AD83" s="4"/>
      <c r="AE83" s="5">
        <f>10112.74</f>
        <v>10112.74</v>
      </c>
      <c r="AF83" s="4"/>
      <c r="AG83" s="4"/>
      <c r="AH83" s="5">
        <f t="shared" si="10"/>
        <v>88224.87000000001</v>
      </c>
    </row>
    <row r="84" spans="1:34" x14ac:dyDescent="0.25">
      <c r="A84" s="3" t="s">
        <v>111</v>
      </c>
      <c r="B84" s="5">
        <f>11028.12</f>
        <v>11028.12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5">
        <f t="shared" si="10"/>
        <v>11028.12</v>
      </c>
    </row>
    <row r="85" spans="1:34" x14ac:dyDescent="0.25">
      <c r="A85" s="3" t="s">
        <v>112</v>
      </c>
      <c r="B85" s="6">
        <f t="shared" ref="B85:AG85" si="14">(((((B79)+(B80))+(B81))+(B82))+(B83))+(B84)</f>
        <v>85858.01</v>
      </c>
      <c r="C85" s="6">
        <f t="shared" si="14"/>
        <v>0</v>
      </c>
      <c r="D85" s="6">
        <f t="shared" si="14"/>
        <v>0</v>
      </c>
      <c r="E85" s="6">
        <f t="shared" si="14"/>
        <v>4688.12</v>
      </c>
      <c r="F85" s="6">
        <f t="shared" si="14"/>
        <v>6694.3600000000006</v>
      </c>
      <c r="G85" s="6">
        <f t="shared" si="14"/>
        <v>20648.439999999999</v>
      </c>
      <c r="H85" s="6">
        <f t="shared" si="14"/>
        <v>0</v>
      </c>
      <c r="I85" s="6">
        <f t="shared" si="14"/>
        <v>816.25</v>
      </c>
      <c r="J85" s="6">
        <f t="shared" si="14"/>
        <v>0</v>
      </c>
      <c r="K85" s="6">
        <f t="shared" si="14"/>
        <v>55454.45</v>
      </c>
      <c r="L85" s="6">
        <f t="shared" si="14"/>
        <v>23401.81</v>
      </c>
      <c r="M85" s="6">
        <f t="shared" si="14"/>
        <v>0</v>
      </c>
      <c r="N85" s="6">
        <f t="shared" si="14"/>
        <v>23762.53</v>
      </c>
      <c r="O85" s="6">
        <f t="shared" si="14"/>
        <v>13794.27</v>
      </c>
      <c r="P85" s="6">
        <f t="shared" si="14"/>
        <v>0</v>
      </c>
      <c r="Q85" s="6">
        <f t="shared" si="14"/>
        <v>0</v>
      </c>
      <c r="R85" s="6">
        <f t="shared" si="14"/>
        <v>237796.36</v>
      </c>
      <c r="S85" s="6">
        <f t="shared" si="14"/>
        <v>0</v>
      </c>
      <c r="T85" s="6">
        <f t="shared" si="14"/>
        <v>52469.84</v>
      </c>
      <c r="U85" s="6">
        <f t="shared" si="14"/>
        <v>52423.83</v>
      </c>
      <c r="V85" s="6">
        <f t="shared" si="14"/>
        <v>117851.57</v>
      </c>
      <c r="W85" s="6">
        <f t="shared" si="14"/>
        <v>16315.92</v>
      </c>
      <c r="X85" s="6">
        <f t="shared" si="14"/>
        <v>3024.91</v>
      </c>
      <c r="Y85" s="6">
        <f t="shared" si="14"/>
        <v>93566.1</v>
      </c>
      <c r="Z85" s="6">
        <f t="shared" si="14"/>
        <v>777.69</v>
      </c>
      <c r="AA85" s="6">
        <f t="shared" si="14"/>
        <v>0</v>
      </c>
      <c r="AB85" s="6">
        <f t="shared" si="14"/>
        <v>0</v>
      </c>
      <c r="AC85" s="6">
        <f t="shared" si="14"/>
        <v>0</v>
      </c>
      <c r="AD85" s="6">
        <f t="shared" si="14"/>
        <v>196900.03999999998</v>
      </c>
      <c r="AE85" s="6">
        <f t="shared" si="14"/>
        <v>1577583.0399999998</v>
      </c>
      <c r="AF85" s="6">
        <f t="shared" si="14"/>
        <v>10776</v>
      </c>
      <c r="AG85" s="6">
        <f t="shared" si="14"/>
        <v>0</v>
      </c>
      <c r="AH85" s="6">
        <f t="shared" si="10"/>
        <v>2594603.5399999996</v>
      </c>
    </row>
    <row r="86" spans="1:34" x14ac:dyDescent="0.25">
      <c r="A86" s="3" t="s">
        <v>113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5">
        <f t="shared" si="10"/>
        <v>0</v>
      </c>
    </row>
    <row r="87" spans="1:34" x14ac:dyDescent="0.25">
      <c r="A87" s="3" t="s">
        <v>114</v>
      </c>
      <c r="B87" s="5">
        <f>2667.03</f>
        <v>2667.03</v>
      </c>
      <c r="C87" s="4"/>
      <c r="D87" s="4"/>
      <c r="E87" s="4"/>
      <c r="F87" s="5">
        <f>354.32</f>
        <v>354.32</v>
      </c>
      <c r="G87" s="4"/>
      <c r="H87" s="4"/>
      <c r="I87" s="5">
        <f>88.58</f>
        <v>88.58</v>
      </c>
      <c r="J87" s="4"/>
      <c r="K87" s="5">
        <f>118</f>
        <v>118</v>
      </c>
      <c r="L87" s="4"/>
      <c r="M87" s="4"/>
      <c r="N87" s="4"/>
      <c r="O87" s="5">
        <f>324.58</f>
        <v>324.58</v>
      </c>
      <c r="P87" s="4"/>
      <c r="Q87" s="4"/>
      <c r="R87" s="4"/>
      <c r="S87" s="4"/>
      <c r="T87" s="4"/>
      <c r="U87" s="5">
        <f>2751.08</f>
        <v>2751.08</v>
      </c>
      <c r="V87" s="5">
        <f>3204.41</f>
        <v>3204.41</v>
      </c>
      <c r="W87" s="5">
        <f>413.16</f>
        <v>413.16</v>
      </c>
      <c r="X87" s="4"/>
      <c r="Y87" s="4"/>
      <c r="Z87" s="4"/>
      <c r="AA87" s="4"/>
      <c r="AB87" s="4"/>
      <c r="AC87" s="4"/>
      <c r="AD87" s="5">
        <f>973.74</f>
        <v>973.74</v>
      </c>
      <c r="AE87" s="5">
        <f>2894.48</f>
        <v>2894.48</v>
      </c>
      <c r="AF87" s="4"/>
      <c r="AG87" s="4"/>
      <c r="AH87" s="5">
        <f t="shared" si="10"/>
        <v>13789.38</v>
      </c>
    </row>
    <row r="88" spans="1:34" x14ac:dyDescent="0.25">
      <c r="A88" s="3" t="s">
        <v>115</v>
      </c>
      <c r="B88" s="4"/>
      <c r="C88" s="4"/>
      <c r="D88" s="4"/>
      <c r="E88" s="4"/>
      <c r="F88" s="5">
        <f>15000</f>
        <v>15000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5">
        <f t="shared" si="10"/>
        <v>15000</v>
      </c>
    </row>
    <row r="89" spans="1:34" x14ac:dyDescent="0.25">
      <c r="A89" s="3" t="s">
        <v>116</v>
      </c>
      <c r="B89" s="4"/>
      <c r="C89" s="4"/>
      <c r="D89" s="4"/>
      <c r="E89" s="5">
        <f>4497.91</f>
        <v>4497.91</v>
      </c>
      <c r="F89" s="5">
        <f>125982.88</f>
        <v>125982.88</v>
      </c>
      <c r="G89" s="5">
        <f>4572.94</f>
        <v>4572.9399999999996</v>
      </c>
      <c r="H89" s="5">
        <f>7773.69</f>
        <v>7773.69</v>
      </c>
      <c r="I89" s="5">
        <f>5014.29</f>
        <v>5014.29</v>
      </c>
      <c r="J89" s="5">
        <f>6333.77</f>
        <v>6333.77</v>
      </c>
      <c r="K89" s="4"/>
      <c r="L89" s="5">
        <f>3190.96</f>
        <v>3190.96</v>
      </c>
      <c r="M89" s="5">
        <f>4452.93</f>
        <v>4452.93</v>
      </c>
      <c r="N89" s="5">
        <f>70437.54</f>
        <v>70437.539999999994</v>
      </c>
      <c r="O89" s="5">
        <f>37119.31</f>
        <v>37119.31</v>
      </c>
      <c r="P89" s="5">
        <f>58887.41</f>
        <v>58887.41</v>
      </c>
      <c r="Q89" s="5">
        <f>42275.36</f>
        <v>42275.360000000001</v>
      </c>
      <c r="R89" s="5">
        <f>33021.01</f>
        <v>33021.01</v>
      </c>
      <c r="S89" s="5">
        <f>5759.92</f>
        <v>5759.92</v>
      </c>
      <c r="T89" s="5">
        <f>5433.71</f>
        <v>5433.71</v>
      </c>
      <c r="U89" s="5">
        <f>15729.8</f>
        <v>15729.8</v>
      </c>
      <c r="V89" s="5">
        <f>47729.64</f>
        <v>47729.64</v>
      </c>
      <c r="W89" s="5">
        <f>31128.4</f>
        <v>31128.400000000001</v>
      </c>
      <c r="X89" s="5">
        <f>2200.24</f>
        <v>2200.2399999999998</v>
      </c>
      <c r="Y89" s="5">
        <f>49181.52</f>
        <v>49181.52</v>
      </c>
      <c r="Z89" s="5">
        <f>100.67</f>
        <v>100.67</v>
      </c>
      <c r="AA89" s="4"/>
      <c r="AB89" s="5">
        <f>407.53</f>
        <v>407.53</v>
      </c>
      <c r="AC89" s="5">
        <f>1000</f>
        <v>1000</v>
      </c>
      <c r="AD89" s="5">
        <f>116326.69</f>
        <v>116326.69</v>
      </c>
      <c r="AE89" s="5">
        <f>331132.78</f>
        <v>331132.78000000003</v>
      </c>
      <c r="AF89" s="5">
        <f>5610.62</f>
        <v>5610.62</v>
      </c>
      <c r="AG89" s="4"/>
      <c r="AH89" s="5">
        <f t="shared" si="10"/>
        <v>1015301.5200000001</v>
      </c>
    </row>
    <row r="90" spans="1:34" x14ac:dyDescent="0.25">
      <c r="A90" s="3" t="s">
        <v>117</v>
      </c>
      <c r="B90" s="6">
        <f t="shared" ref="B90:AG90" si="15">(((B86)+(B87))+(B88))+(B89)</f>
        <v>2667.03</v>
      </c>
      <c r="C90" s="6">
        <f t="shared" si="15"/>
        <v>0</v>
      </c>
      <c r="D90" s="6">
        <f t="shared" si="15"/>
        <v>0</v>
      </c>
      <c r="E90" s="6">
        <f t="shared" si="15"/>
        <v>4497.91</v>
      </c>
      <c r="F90" s="6">
        <f t="shared" si="15"/>
        <v>141337.20000000001</v>
      </c>
      <c r="G90" s="6">
        <f t="shared" si="15"/>
        <v>4572.9399999999996</v>
      </c>
      <c r="H90" s="6">
        <f t="shared" si="15"/>
        <v>7773.69</v>
      </c>
      <c r="I90" s="6">
        <f t="shared" si="15"/>
        <v>5102.87</v>
      </c>
      <c r="J90" s="6">
        <f t="shared" si="15"/>
        <v>6333.77</v>
      </c>
      <c r="K90" s="6">
        <f t="shared" si="15"/>
        <v>118</v>
      </c>
      <c r="L90" s="6">
        <f t="shared" si="15"/>
        <v>3190.96</v>
      </c>
      <c r="M90" s="6">
        <f t="shared" si="15"/>
        <v>4452.93</v>
      </c>
      <c r="N90" s="6">
        <f t="shared" si="15"/>
        <v>70437.539999999994</v>
      </c>
      <c r="O90" s="6">
        <f t="shared" si="15"/>
        <v>37443.89</v>
      </c>
      <c r="P90" s="6">
        <f t="shared" si="15"/>
        <v>58887.41</v>
      </c>
      <c r="Q90" s="6">
        <f t="shared" si="15"/>
        <v>42275.360000000001</v>
      </c>
      <c r="R90" s="6">
        <f t="shared" si="15"/>
        <v>33021.01</v>
      </c>
      <c r="S90" s="6">
        <f t="shared" si="15"/>
        <v>5759.92</v>
      </c>
      <c r="T90" s="6">
        <f t="shared" si="15"/>
        <v>5433.71</v>
      </c>
      <c r="U90" s="6">
        <f t="shared" si="15"/>
        <v>18480.879999999997</v>
      </c>
      <c r="V90" s="6">
        <f t="shared" si="15"/>
        <v>50934.05</v>
      </c>
      <c r="W90" s="6">
        <f t="shared" si="15"/>
        <v>31541.56</v>
      </c>
      <c r="X90" s="6">
        <f t="shared" si="15"/>
        <v>2200.2399999999998</v>
      </c>
      <c r="Y90" s="6">
        <f t="shared" si="15"/>
        <v>49181.52</v>
      </c>
      <c r="Z90" s="6">
        <f t="shared" si="15"/>
        <v>100.67</v>
      </c>
      <c r="AA90" s="6">
        <f t="shared" si="15"/>
        <v>0</v>
      </c>
      <c r="AB90" s="6">
        <f t="shared" si="15"/>
        <v>407.53</v>
      </c>
      <c r="AC90" s="6">
        <f t="shared" si="15"/>
        <v>1000</v>
      </c>
      <c r="AD90" s="6">
        <f t="shared" si="15"/>
        <v>117300.43000000001</v>
      </c>
      <c r="AE90" s="6">
        <f t="shared" si="15"/>
        <v>334027.26</v>
      </c>
      <c r="AF90" s="6">
        <f t="shared" si="15"/>
        <v>5610.62</v>
      </c>
      <c r="AG90" s="6">
        <f t="shared" si="15"/>
        <v>0</v>
      </c>
      <c r="AH90" s="6">
        <f t="shared" si="10"/>
        <v>1044090.9000000001</v>
      </c>
    </row>
    <row r="91" spans="1:34" x14ac:dyDescent="0.25">
      <c r="A91" s="3" t="s">
        <v>118</v>
      </c>
      <c r="B91" s="6">
        <f t="shared" ref="B91:AG91" si="16">((((((((B35)+(B48))+(B54))+(B55))+(B66))+(B70))+(B78))+(B85))+(B90)</f>
        <v>1083374.5599999998</v>
      </c>
      <c r="C91" s="6">
        <f t="shared" si="16"/>
        <v>0</v>
      </c>
      <c r="D91" s="6">
        <f t="shared" si="16"/>
        <v>4005</v>
      </c>
      <c r="E91" s="6">
        <f t="shared" si="16"/>
        <v>59999.91</v>
      </c>
      <c r="F91" s="6">
        <f t="shared" si="16"/>
        <v>1385811.58</v>
      </c>
      <c r="G91" s="6">
        <f t="shared" si="16"/>
        <v>50730.61</v>
      </c>
      <c r="H91" s="6">
        <f t="shared" si="16"/>
        <v>85483.85</v>
      </c>
      <c r="I91" s="6">
        <f t="shared" si="16"/>
        <v>55060.05</v>
      </c>
      <c r="J91" s="6">
        <f t="shared" si="16"/>
        <v>85505.9</v>
      </c>
      <c r="K91" s="6">
        <f t="shared" si="16"/>
        <v>149723.96</v>
      </c>
      <c r="L91" s="6">
        <f t="shared" si="16"/>
        <v>33459.64</v>
      </c>
      <c r="M91" s="6">
        <f t="shared" si="16"/>
        <v>49001.15</v>
      </c>
      <c r="N91" s="6">
        <f t="shared" si="16"/>
        <v>774812.83000000007</v>
      </c>
      <c r="O91" s="6">
        <f t="shared" si="16"/>
        <v>320222.81000000006</v>
      </c>
      <c r="P91" s="6">
        <f t="shared" si="16"/>
        <v>549615.72</v>
      </c>
      <c r="Q91" s="6">
        <f t="shared" si="16"/>
        <v>394569.98</v>
      </c>
      <c r="R91" s="6">
        <f t="shared" si="16"/>
        <v>363781.65</v>
      </c>
      <c r="S91" s="6">
        <f t="shared" si="16"/>
        <v>77758.92</v>
      </c>
      <c r="T91" s="6">
        <f t="shared" si="16"/>
        <v>73658.740000000005</v>
      </c>
      <c r="U91" s="6">
        <f t="shared" si="16"/>
        <v>211660.85000000003</v>
      </c>
      <c r="V91" s="6">
        <f t="shared" si="16"/>
        <v>644338</v>
      </c>
      <c r="W91" s="6">
        <f t="shared" si="16"/>
        <v>253133.15</v>
      </c>
      <c r="X91" s="6">
        <f t="shared" si="16"/>
        <v>18999.979999999996</v>
      </c>
      <c r="Y91" s="6">
        <f t="shared" si="16"/>
        <v>540814.37</v>
      </c>
      <c r="Z91" s="6">
        <f t="shared" si="16"/>
        <v>5134.42</v>
      </c>
      <c r="AA91" s="6">
        <f t="shared" si="16"/>
        <v>113.96</v>
      </c>
      <c r="AB91" s="6">
        <f t="shared" si="16"/>
        <v>4482.87</v>
      </c>
      <c r="AC91" s="6">
        <f t="shared" si="16"/>
        <v>11000</v>
      </c>
      <c r="AD91" s="6">
        <f t="shared" si="16"/>
        <v>943667.35</v>
      </c>
      <c r="AE91" s="6">
        <f t="shared" si="16"/>
        <v>2663866.91</v>
      </c>
      <c r="AF91" s="6">
        <f t="shared" si="16"/>
        <v>67354.01999999999</v>
      </c>
      <c r="AG91" s="6">
        <f t="shared" si="16"/>
        <v>0</v>
      </c>
      <c r="AH91" s="6">
        <f t="shared" si="10"/>
        <v>10961142.739999998</v>
      </c>
    </row>
    <row r="92" spans="1:34" x14ac:dyDescent="0.25">
      <c r="A92" s="3" t="s">
        <v>119</v>
      </c>
      <c r="B92" s="6">
        <f t="shared" ref="B92:AG92" si="17">(B30)-(B91)</f>
        <v>553963.00000000023</v>
      </c>
      <c r="C92" s="6">
        <f t="shared" si="17"/>
        <v>490.44</v>
      </c>
      <c r="D92" s="6">
        <f t="shared" si="17"/>
        <v>-4005</v>
      </c>
      <c r="E92" s="6">
        <f t="shared" si="17"/>
        <v>-0.14000000000669388</v>
      </c>
      <c r="F92" s="6">
        <f t="shared" si="17"/>
        <v>892161.08999999985</v>
      </c>
      <c r="G92" s="6">
        <f t="shared" si="17"/>
        <v>-7251</v>
      </c>
      <c r="H92" s="6">
        <f t="shared" si="17"/>
        <v>0</v>
      </c>
      <c r="I92" s="6">
        <f t="shared" si="17"/>
        <v>9058.11</v>
      </c>
      <c r="J92" s="6">
        <f t="shared" si="17"/>
        <v>-21997.679999999993</v>
      </c>
      <c r="K92" s="6">
        <f t="shared" si="17"/>
        <v>358975.5</v>
      </c>
      <c r="L92" s="6">
        <f t="shared" si="17"/>
        <v>12829.629999999997</v>
      </c>
      <c r="M92" s="6">
        <f t="shared" si="17"/>
        <v>20088.810000000005</v>
      </c>
      <c r="N92" s="6">
        <f t="shared" si="17"/>
        <v>0</v>
      </c>
      <c r="O92" s="6">
        <f t="shared" si="17"/>
        <v>-10494.72000000003</v>
      </c>
      <c r="P92" s="6">
        <f t="shared" si="17"/>
        <v>0</v>
      </c>
      <c r="Q92" s="6">
        <f t="shared" si="17"/>
        <v>0</v>
      </c>
      <c r="R92" s="6">
        <f t="shared" si="17"/>
        <v>0</v>
      </c>
      <c r="S92" s="6">
        <f t="shared" si="17"/>
        <v>-20144.919999999998</v>
      </c>
      <c r="T92" s="6">
        <f t="shared" si="17"/>
        <v>-199.99000000000524</v>
      </c>
      <c r="U92" s="6">
        <f t="shared" si="17"/>
        <v>0</v>
      </c>
      <c r="V92" s="6">
        <f t="shared" si="17"/>
        <v>-83176.530000000028</v>
      </c>
      <c r="W92" s="6">
        <f t="shared" si="17"/>
        <v>-500</v>
      </c>
      <c r="X92" s="6">
        <f t="shared" si="17"/>
        <v>-13999.979999999996</v>
      </c>
      <c r="Y92" s="6">
        <f t="shared" si="17"/>
        <v>0</v>
      </c>
      <c r="Z92" s="6">
        <f t="shared" si="17"/>
        <v>0</v>
      </c>
      <c r="AA92" s="6">
        <f t="shared" si="17"/>
        <v>-113.96</v>
      </c>
      <c r="AB92" s="6">
        <f t="shared" si="17"/>
        <v>0</v>
      </c>
      <c r="AC92" s="6">
        <f t="shared" si="17"/>
        <v>0</v>
      </c>
      <c r="AD92" s="6">
        <f t="shared" si="17"/>
        <v>0</v>
      </c>
      <c r="AE92" s="6">
        <f t="shared" si="17"/>
        <v>-207875.9700000002</v>
      </c>
      <c r="AF92" s="6">
        <f t="shared" si="17"/>
        <v>21045.98000000001</v>
      </c>
      <c r="AG92" s="6">
        <f t="shared" si="17"/>
        <v>0</v>
      </c>
      <c r="AH92" s="6">
        <f t="shared" si="10"/>
        <v>1498852.6700000002</v>
      </c>
    </row>
    <row r="93" spans="1:34" x14ac:dyDescent="0.25">
      <c r="A93" s="3" t="s">
        <v>120</v>
      </c>
      <c r="B93" s="7">
        <f t="shared" ref="B93:AG93" si="18">(B92)+(0)</f>
        <v>553963.00000000023</v>
      </c>
      <c r="C93" s="7">
        <f t="shared" si="18"/>
        <v>490.44</v>
      </c>
      <c r="D93" s="7">
        <f t="shared" si="18"/>
        <v>-4005</v>
      </c>
      <c r="E93" s="7">
        <f t="shared" si="18"/>
        <v>-0.14000000000669388</v>
      </c>
      <c r="F93" s="7">
        <f t="shared" si="18"/>
        <v>892161.08999999985</v>
      </c>
      <c r="G93" s="7">
        <f t="shared" si="18"/>
        <v>-7251</v>
      </c>
      <c r="H93" s="7">
        <f t="shared" si="18"/>
        <v>0</v>
      </c>
      <c r="I93" s="7">
        <f t="shared" si="18"/>
        <v>9058.11</v>
      </c>
      <c r="J93" s="7">
        <f t="shared" si="18"/>
        <v>-21997.679999999993</v>
      </c>
      <c r="K93" s="7">
        <f t="shared" si="18"/>
        <v>358975.5</v>
      </c>
      <c r="L93" s="7">
        <f t="shared" si="18"/>
        <v>12829.629999999997</v>
      </c>
      <c r="M93" s="7">
        <f t="shared" si="18"/>
        <v>20088.810000000005</v>
      </c>
      <c r="N93" s="7">
        <f t="shared" si="18"/>
        <v>0</v>
      </c>
      <c r="O93" s="7">
        <f t="shared" si="18"/>
        <v>-10494.72000000003</v>
      </c>
      <c r="P93" s="7">
        <f t="shared" si="18"/>
        <v>0</v>
      </c>
      <c r="Q93" s="7">
        <f t="shared" si="18"/>
        <v>0</v>
      </c>
      <c r="R93" s="7">
        <f t="shared" si="18"/>
        <v>0</v>
      </c>
      <c r="S93" s="7">
        <f t="shared" si="18"/>
        <v>-20144.919999999998</v>
      </c>
      <c r="T93" s="7">
        <f t="shared" si="18"/>
        <v>-199.99000000000524</v>
      </c>
      <c r="U93" s="7">
        <f t="shared" si="18"/>
        <v>0</v>
      </c>
      <c r="V93" s="7">
        <f t="shared" si="18"/>
        <v>-83176.530000000028</v>
      </c>
      <c r="W93" s="7">
        <f t="shared" si="18"/>
        <v>-500</v>
      </c>
      <c r="X93" s="7">
        <f t="shared" si="18"/>
        <v>-13999.979999999996</v>
      </c>
      <c r="Y93" s="7">
        <f t="shared" si="18"/>
        <v>0</v>
      </c>
      <c r="Z93" s="7">
        <f t="shared" si="18"/>
        <v>0</v>
      </c>
      <c r="AA93" s="7">
        <f t="shared" si="18"/>
        <v>-113.96</v>
      </c>
      <c r="AB93" s="7">
        <f t="shared" si="18"/>
        <v>0</v>
      </c>
      <c r="AC93" s="7">
        <f t="shared" si="18"/>
        <v>0</v>
      </c>
      <c r="AD93" s="7">
        <f t="shared" si="18"/>
        <v>0</v>
      </c>
      <c r="AE93" s="7">
        <f t="shared" si="18"/>
        <v>-207875.9700000002</v>
      </c>
      <c r="AF93" s="7">
        <f t="shared" si="18"/>
        <v>21045.98000000001</v>
      </c>
      <c r="AG93" s="7">
        <f t="shared" si="18"/>
        <v>0</v>
      </c>
      <c r="AH93" s="7">
        <f t="shared" si="10"/>
        <v>1498852.6700000002</v>
      </c>
    </row>
    <row r="94" spans="1:34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7" spans="1:34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</sheetData>
  <sheetProtection algorithmName="SHA-512" hashValue="Esb32vbBl7e2PRlq3qsfuevOhMkIINoIijyAQ1Z2cBCQsIjkOi0lOTUt4OjBTAg4NTd8qx6qR3+qsTDJdcdigg==" saltValue="iiVqEjgHFqsfmBZLugWn6A==" spinCount="100000" sheet="1" objects="1" scenarios="1"/>
  <mergeCells count="4">
    <mergeCell ref="A97:AH97"/>
    <mergeCell ref="A1:AH1"/>
    <mergeCell ref="A2:AH2"/>
    <mergeCell ref="A3:AH3"/>
  </mergeCells>
  <pageMargins left="0.7" right="0.7" top="0.75" bottom="0.75" header="0.3" footer="0.3"/>
  <pageSetup paperSize="5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2025-03-04T18:43:27Z</cp:lastPrinted>
  <dcterms:created xsi:type="dcterms:W3CDTF">2025-03-04T18:42:21Z</dcterms:created>
  <dcterms:modified xsi:type="dcterms:W3CDTF">2025-03-04T18:51:22Z</dcterms:modified>
</cp:coreProperties>
</file>