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ie.perkins_nkces\Documents\Board Meetings\February 2025\"/>
    </mc:Choice>
  </mc:AlternateContent>
  <xr:revisionPtr revIDLastSave="0" documentId="8_{5D717F4D-A92E-41E9-A62E-3AABE251A0E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rofit and Loss by Class" sheetId="1" r:id="rId1"/>
  </sheets>
  <calcPr calcId="191029"/>
</workbook>
</file>

<file path=xl/calcChain.xml><?xml version="1.0" encoding="utf-8"?>
<calcChain xmlns="http://schemas.openxmlformats.org/spreadsheetml/2006/main">
  <c r="AF90" i="1" l="1"/>
  <c r="AD90" i="1"/>
  <c r="AB90" i="1"/>
  <c r="Z90" i="1"/>
  <c r="Y90" i="1"/>
  <c r="X90" i="1"/>
  <c r="V90" i="1"/>
  <c r="R90" i="1"/>
  <c r="Q90" i="1"/>
  <c r="N90" i="1"/>
  <c r="J90" i="1"/>
  <c r="I90" i="1"/>
  <c r="H90" i="1"/>
  <c r="D90" i="1"/>
  <c r="C90" i="1"/>
  <c r="AE89" i="1"/>
  <c r="AE90" i="1" s="1"/>
  <c r="AD89" i="1"/>
  <c r="AC89" i="1"/>
  <c r="AC90" i="1" s="1"/>
  <c r="AB89" i="1"/>
  <c r="AA89" i="1"/>
  <c r="AA90" i="1" s="1"/>
  <c r="Y89" i="1"/>
  <c r="X89" i="1"/>
  <c r="W89" i="1"/>
  <c r="W90" i="1" s="1"/>
  <c r="V89" i="1"/>
  <c r="U89" i="1"/>
  <c r="T89" i="1"/>
  <c r="S89" i="1"/>
  <c r="S90" i="1" s="1"/>
  <c r="R89" i="1"/>
  <c r="Q89" i="1"/>
  <c r="P89" i="1"/>
  <c r="P90" i="1" s="1"/>
  <c r="O89" i="1"/>
  <c r="O90" i="1" s="1"/>
  <c r="N89" i="1"/>
  <c r="M89" i="1"/>
  <c r="M90" i="1" s="1"/>
  <c r="L89" i="1"/>
  <c r="L90" i="1" s="1"/>
  <c r="K89" i="1"/>
  <c r="K90" i="1" s="1"/>
  <c r="I89" i="1"/>
  <c r="H89" i="1"/>
  <c r="G89" i="1"/>
  <c r="G90" i="1" s="1"/>
  <c r="F89" i="1"/>
  <c r="AG89" i="1" s="1"/>
  <c r="E89" i="1"/>
  <c r="D89" i="1"/>
  <c r="AG88" i="1"/>
  <c r="E88" i="1"/>
  <c r="E90" i="1" s="1"/>
  <c r="AD87" i="1"/>
  <c r="U87" i="1"/>
  <c r="U90" i="1" s="1"/>
  <c r="T87" i="1"/>
  <c r="T90" i="1" s="1"/>
  <c r="B87" i="1"/>
  <c r="AG87" i="1" s="1"/>
  <c r="AG86" i="1"/>
  <c r="AE85" i="1"/>
  <c r="AB85" i="1"/>
  <c r="AA85" i="1"/>
  <c r="Z85" i="1"/>
  <c r="Y85" i="1"/>
  <c r="T85" i="1"/>
  <c r="S85" i="1"/>
  <c r="R85" i="1"/>
  <c r="Q85" i="1"/>
  <c r="P85" i="1"/>
  <c r="O85" i="1"/>
  <c r="L85" i="1"/>
  <c r="I85" i="1"/>
  <c r="G85" i="1"/>
  <c r="D85" i="1"/>
  <c r="C85" i="1"/>
  <c r="AG84" i="1"/>
  <c r="B84" i="1"/>
  <c r="AD83" i="1"/>
  <c r="X83" i="1"/>
  <c r="U83" i="1"/>
  <c r="T83" i="1"/>
  <c r="S83" i="1"/>
  <c r="K83" i="1"/>
  <c r="AG83" i="1" s="1"/>
  <c r="J83" i="1"/>
  <c r="AF82" i="1"/>
  <c r="AF85" i="1" s="1"/>
  <c r="AD82" i="1"/>
  <c r="AC82" i="1"/>
  <c r="Y82" i="1"/>
  <c r="X82" i="1"/>
  <c r="W82" i="1"/>
  <c r="W85" i="1" s="1"/>
  <c r="V82" i="1"/>
  <c r="U82" i="1"/>
  <c r="T82" i="1"/>
  <c r="Q82" i="1"/>
  <c r="N82" i="1"/>
  <c r="K82" i="1"/>
  <c r="J82" i="1"/>
  <c r="H82" i="1"/>
  <c r="H85" i="1" s="1"/>
  <c r="F82" i="1"/>
  <c r="E82" i="1"/>
  <c r="D82" i="1"/>
  <c r="B82" i="1"/>
  <c r="AG82" i="1" s="1"/>
  <c r="AD81" i="1"/>
  <c r="AC81" i="1"/>
  <c r="X81" i="1"/>
  <c r="V81" i="1"/>
  <c r="U81" i="1"/>
  <c r="T81" i="1"/>
  <c r="N81" i="1"/>
  <c r="N85" i="1" s="1"/>
  <c r="K81" i="1"/>
  <c r="AG81" i="1" s="1"/>
  <c r="J81" i="1"/>
  <c r="F81" i="1"/>
  <c r="F85" i="1" s="1"/>
  <c r="E81" i="1"/>
  <c r="E85" i="1" s="1"/>
  <c r="B81" i="1"/>
  <c r="AE80" i="1"/>
  <c r="AD80" i="1"/>
  <c r="AD85" i="1" s="1"/>
  <c r="AC80" i="1"/>
  <c r="AC85" i="1" s="1"/>
  <c r="X80" i="1"/>
  <c r="X85" i="1" s="1"/>
  <c r="V80" i="1"/>
  <c r="V85" i="1" s="1"/>
  <c r="U80" i="1"/>
  <c r="U85" i="1" s="1"/>
  <c r="T80" i="1"/>
  <c r="S80" i="1"/>
  <c r="Q80" i="1"/>
  <c r="M80" i="1"/>
  <c r="M85" i="1" s="1"/>
  <c r="K80" i="1"/>
  <c r="K85" i="1" s="1"/>
  <c r="J80" i="1"/>
  <c r="J85" i="1" s="1"/>
  <c r="D80" i="1"/>
  <c r="B80" i="1"/>
  <c r="B85" i="1" s="1"/>
  <c r="AG79" i="1"/>
  <c r="AF78" i="1"/>
  <c r="AE78" i="1"/>
  <c r="AB78" i="1"/>
  <c r="Y78" i="1"/>
  <c r="V78" i="1"/>
  <c r="S78" i="1"/>
  <c r="R78" i="1"/>
  <c r="Q78" i="1"/>
  <c r="P78" i="1"/>
  <c r="O78" i="1"/>
  <c r="M78" i="1"/>
  <c r="L78" i="1"/>
  <c r="I78" i="1"/>
  <c r="G78" i="1"/>
  <c r="F78" i="1"/>
  <c r="C78" i="1"/>
  <c r="AD77" i="1"/>
  <c r="AC77" i="1"/>
  <c r="AA77" i="1"/>
  <c r="AA78" i="1" s="1"/>
  <c r="Z77" i="1"/>
  <c r="Z78" i="1" s="1"/>
  <c r="X77" i="1"/>
  <c r="W77" i="1"/>
  <c r="W78" i="1" s="1"/>
  <c r="V77" i="1"/>
  <c r="U77" i="1"/>
  <c r="T77" i="1"/>
  <c r="S77" i="1"/>
  <c r="N77" i="1"/>
  <c r="N78" i="1" s="1"/>
  <c r="K77" i="1"/>
  <c r="J77" i="1"/>
  <c r="H77" i="1"/>
  <c r="G77" i="1"/>
  <c r="F77" i="1"/>
  <c r="E77" i="1"/>
  <c r="D77" i="1"/>
  <c r="B77" i="1"/>
  <c r="AG77" i="1" s="1"/>
  <c r="W76" i="1"/>
  <c r="K76" i="1"/>
  <c r="K78" i="1" s="1"/>
  <c r="J76" i="1"/>
  <c r="J78" i="1" s="1"/>
  <c r="H76" i="1"/>
  <c r="H78" i="1" s="1"/>
  <c r="E76" i="1"/>
  <c r="D76" i="1"/>
  <c r="B76" i="1"/>
  <c r="AG76" i="1" s="1"/>
  <c r="AD75" i="1"/>
  <c r="AC75" i="1"/>
  <c r="AC78" i="1" s="1"/>
  <c r="X75" i="1"/>
  <c r="V75" i="1"/>
  <c r="U75" i="1"/>
  <c r="T75" i="1"/>
  <c r="E75" i="1"/>
  <c r="E78" i="1" s="1"/>
  <c r="D75" i="1"/>
  <c r="AG75" i="1" s="1"/>
  <c r="B75" i="1"/>
  <c r="AD74" i="1"/>
  <c r="AC74" i="1"/>
  <c r="X74" i="1"/>
  <c r="V74" i="1"/>
  <c r="U74" i="1"/>
  <c r="T74" i="1"/>
  <c r="S74" i="1"/>
  <c r="N74" i="1"/>
  <c r="AG74" i="1" s="1"/>
  <c r="E74" i="1"/>
  <c r="D74" i="1"/>
  <c r="D78" i="1" s="1"/>
  <c r="B74" i="1"/>
  <c r="AD73" i="1"/>
  <c r="AD78" i="1" s="1"/>
  <c r="X73" i="1"/>
  <c r="X78" i="1" s="1"/>
  <c r="U73" i="1"/>
  <c r="T73" i="1"/>
  <c r="AG73" i="1" s="1"/>
  <c r="N73" i="1"/>
  <c r="E73" i="1"/>
  <c r="B73" i="1"/>
  <c r="U72" i="1"/>
  <c r="U78" i="1" s="1"/>
  <c r="T72" i="1"/>
  <c r="T78" i="1" s="1"/>
  <c r="E72" i="1"/>
  <c r="B72" i="1"/>
  <c r="B78" i="1" s="1"/>
  <c r="AG78" i="1" s="1"/>
  <c r="AG71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N69" i="1"/>
  <c r="E69" i="1"/>
  <c r="B69" i="1"/>
  <c r="AG69" i="1" s="1"/>
  <c r="E68" i="1"/>
  <c r="B68" i="1"/>
  <c r="AG68" i="1" s="1"/>
  <c r="AG67" i="1"/>
  <c r="AF66" i="1"/>
  <c r="AE66" i="1"/>
  <c r="AC66" i="1"/>
  <c r="AB66" i="1"/>
  <c r="AA66" i="1"/>
  <c r="Z66" i="1"/>
  <c r="W66" i="1"/>
  <c r="V66" i="1"/>
  <c r="S66" i="1"/>
  <c r="R66" i="1"/>
  <c r="Q66" i="1"/>
  <c r="P66" i="1"/>
  <c r="O66" i="1"/>
  <c r="N66" i="1"/>
  <c r="M66" i="1"/>
  <c r="L66" i="1"/>
  <c r="K66" i="1"/>
  <c r="I66" i="1"/>
  <c r="G66" i="1"/>
  <c r="F66" i="1"/>
  <c r="C66" i="1"/>
  <c r="AG65" i="1"/>
  <c r="B65" i="1"/>
  <c r="AD64" i="1"/>
  <c r="AD66" i="1" s="1"/>
  <c r="B64" i="1"/>
  <c r="AG64" i="1" s="1"/>
  <c r="AD63" i="1"/>
  <c r="AC63" i="1"/>
  <c r="Y63" i="1"/>
  <c r="Y66" i="1" s="1"/>
  <c r="X63" i="1"/>
  <c r="X66" i="1" s="1"/>
  <c r="V63" i="1"/>
  <c r="U63" i="1"/>
  <c r="U66" i="1" s="1"/>
  <c r="T63" i="1"/>
  <c r="T66" i="1" s="1"/>
  <c r="S63" i="1"/>
  <c r="N63" i="1"/>
  <c r="J63" i="1"/>
  <c r="J66" i="1" s="1"/>
  <c r="H63" i="1"/>
  <c r="H66" i="1" s="1"/>
  <c r="E63" i="1"/>
  <c r="D63" i="1"/>
  <c r="D66" i="1" s="1"/>
  <c r="B63" i="1"/>
  <c r="AG63" i="1" s="1"/>
  <c r="E62" i="1"/>
  <c r="B62" i="1"/>
  <c r="AG62" i="1" s="1"/>
  <c r="U61" i="1"/>
  <c r="AG61" i="1" s="1"/>
  <c r="E60" i="1"/>
  <c r="B60" i="1"/>
  <c r="AG60" i="1" s="1"/>
  <c r="E59" i="1"/>
  <c r="B59" i="1"/>
  <c r="AG59" i="1" s="1"/>
  <c r="E58" i="1"/>
  <c r="AG58" i="1" s="1"/>
  <c r="B58" i="1"/>
  <c r="E57" i="1"/>
  <c r="E66" i="1" s="1"/>
  <c r="B57" i="1"/>
  <c r="B66" i="1" s="1"/>
  <c r="AG56" i="1"/>
  <c r="AD55" i="1"/>
  <c r="AC55" i="1"/>
  <c r="X55" i="1"/>
  <c r="W55" i="1"/>
  <c r="V55" i="1"/>
  <c r="N55" i="1"/>
  <c r="J55" i="1"/>
  <c r="H55" i="1"/>
  <c r="G55" i="1"/>
  <c r="F55" i="1"/>
  <c r="E55" i="1"/>
  <c r="D55" i="1"/>
  <c r="B55" i="1"/>
  <c r="AG55" i="1" s="1"/>
  <c r="AF54" i="1"/>
  <c r="AE54" i="1"/>
  <c r="AB54" i="1"/>
  <c r="AA54" i="1"/>
  <c r="Z54" i="1"/>
  <c r="Y54" i="1"/>
  <c r="W54" i="1"/>
  <c r="R54" i="1"/>
  <c r="Q54" i="1"/>
  <c r="O54" i="1"/>
  <c r="M54" i="1"/>
  <c r="K54" i="1"/>
  <c r="J54" i="1"/>
  <c r="I54" i="1"/>
  <c r="F54" i="1"/>
  <c r="C54" i="1"/>
  <c r="B54" i="1"/>
  <c r="AD53" i="1"/>
  <c r="AC53" i="1"/>
  <c r="X53" i="1"/>
  <c r="V53" i="1"/>
  <c r="V54" i="1" s="1"/>
  <c r="U53" i="1"/>
  <c r="T53" i="1"/>
  <c r="S53" i="1"/>
  <c r="N53" i="1"/>
  <c r="N54" i="1" s="1"/>
  <c r="L53" i="1"/>
  <c r="L54" i="1" s="1"/>
  <c r="H53" i="1"/>
  <c r="AG53" i="1" s="1"/>
  <c r="G53" i="1"/>
  <c r="E53" i="1"/>
  <c r="D53" i="1"/>
  <c r="D54" i="1" s="1"/>
  <c r="B53" i="1"/>
  <c r="AG52" i="1"/>
  <c r="E52" i="1"/>
  <c r="B52" i="1"/>
  <c r="AG51" i="1"/>
  <c r="B51" i="1"/>
  <c r="AD50" i="1"/>
  <c r="AD54" i="1" s="1"/>
  <c r="AC50" i="1"/>
  <c r="AC54" i="1" s="1"/>
  <c r="X50" i="1"/>
  <c r="X54" i="1" s="1"/>
  <c r="U50" i="1"/>
  <c r="U54" i="1" s="1"/>
  <c r="T50" i="1"/>
  <c r="T54" i="1" s="1"/>
  <c r="S50" i="1"/>
  <c r="S54" i="1" s="1"/>
  <c r="P50" i="1"/>
  <c r="P54" i="1" s="1"/>
  <c r="O50" i="1"/>
  <c r="M50" i="1"/>
  <c r="J50" i="1"/>
  <c r="G50" i="1"/>
  <c r="G54" i="1" s="1"/>
  <c r="E50" i="1"/>
  <c r="E54" i="1" s="1"/>
  <c r="B50" i="1"/>
  <c r="AG49" i="1"/>
  <c r="AB48" i="1"/>
  <c r="AA48" i="1"/>
  <c r="Z48" i="1"/>
  <c r="W48" i="1"/>
  <c r="L48" i="1"/>
  <c r="J48" i="1"/>
  <c r="C48" i="1"/>
  <c r="B48" i="1"/>
  <c r="AE47" i="1"/>
  <c r="AD47" i="1"/>
  <c r="AC47" i="1"/>
  <c r="Y47" i="1"/>
  <c r="X47" i="1"/>
  <c r="V47" i="1"/>
  <c r="U47" i="1"/>
  <c r="T47" i="1"/>
  <c r="Q47" i="1"/>
  <c r="O47" i="1"/>
  <c r="N47" i="1"/>
  <c r="K47" i="1"/>
  <c r="G47" i="1"/>
  <c r="F47" i="1"/>
  <c r="D47" i="1"/>
  <c r="AG47" i="1" s="1"/>
  <c r="AD46" i="1"/>
  <c r="AC46" i="1"/>
  <c r="X46" i="1"/>
  <c r="V46" i="1"/>
  <c r="V48" i="1" s="1"/>
  <c r="Q46" i="1"/>
  <c r="P46" i="1"/>
  <c r="N46" i="1"/>
  <c r="M46" i="1"/>
  <c r="L46" i="1"/>
  <c r="I46" i="1"/>
  <c r="H46" i="1"/>
  <c r="F46" i="1"/>
  <c r="E46" i="1"/>
  <c r="D46" i="1"/>
  <c r="AG46" i="1" s="1"/>
  <c r="AG45" i="1"/>
  <c r="B45" i="1"/>
  <c r="AE44" i="1"/>
  <c r="AD44" i="1"/>
  <c r="AC44" i="1"/>
  <c r="U44" i="1"/>
  <c r="T44" i="1"/>
  <c r="P44" i="1"/>
  <c r="O44" i="1"/>
  <c r="M44" i="1"/>
  <c r="E44" i="1"/>
  <c r="B44" i="1"/>
  <c r="AG44" i="1" s="1"/>
  <c r="AE43" i="1"/>
  <c r="AD43" i="1"/>
  <c r="AC43" i="1"/>
  <c r="AC48" i="1" s="1"/>
  <c r="Y43" i="1"/>
  <c r="X43" i="1"/>
  <c r="V43" i="1"/>
  <c r="U43" i="1"/>
  <c r="T43" i="1"/>
  <c r="T48" i="1" s="1"/>
  <c r="Q43" i="1"/>
  <c r="O43" i="1"/>
  <c r="N43" i="1"/>
  <c r="AG43" i="1" s="1"/>
  <c r="K43" i="1"/>
  <c r="G43" i="1"/>
  <c r="F43" i="1"/>
  <c r="D43" i="1"/>
  <c r="AD42" i="1"/>
  <c r="AC42" i="1"/>
  <c r="X42" i="1"/>
  <c r="U42" i="1"/>
  <c r="T42" i="1"/>
  <c r="P42" i="1"/>
  <c r="O42" i="1"/>
  <c r="N42" i="1"/>
  <c r="M42" i="1"/>
  <c r="I42" i="1"/>
  <c r="E42" i="1"/>
  <c r="AG42" i="1" s="1"/>
  <c r="D42" i="1"/>
  <c r="B42" i="1"/>
  <c r="AF41" i="1"/>
  <c r="AF48" i="1" s="1"/>
  <c r="AE41" i="1"/>
  <c r="AD41" i="1"/>
  <c r="AC41" i="1"/>
  <c r="Y41" i="1"/>
  <c r="X41" i="1"/>
  <c r="V41" i="1"/>
  <c r="U41" i="1"/>
  <c r="T41" i="1"/>
  <c r="S41" i="1"/>
  <c r="R41" i="1"/>
  <c r="Q41" i="1"/>
  <c r="N41" i="1"/>
  <c r="M41" i="1"/>
  <c r="L41" i="1"/>
  <c r="K41" i="1"/>
  <c r="H41" i="1"/>
  <c r="G41" i="1"/>
  <c r="F41" i="1"/>
  <c r="E41" i="1"/>
  <c r="D41" i="1"/>
  <c r="B41" i="1"/>
  <c r="AG41" i="1" s="1"/>
  <c r="AF40" i="1"/>
  <c r="AE40" i="1"/>
  <c r="AD40" i="1"/>
  <c r="AC40" i="1"/>
  <c r="Y40" i="1"/>
  <c r="X40" i="1"/>
  <c r="X48" i="1" s="1"/>
  <c r="V40" i="1"/>
  <c r="U40" i="1"/>
  <c r="T40" i="1"/>
  <c r="S40" i="1"/>
  <c r="S48" i="1" s="1"/>
  <c r="R40" i="1"/>
  <c r="R48" i="1" s="1"/>
  <c r="Q40" i="1"/>
  <c r="P40" i="1"/>
  <c r="O40" i="1"/>
  <c r="N40" i="1"/>
  <c r="M40" i="1"/>
  <c r="L40" i="1"/>
  <c r="K40" i="1"/>
  <c r="I40" i="1"/>
  <c r="H40" i="1"/>
  <c r="H48" i="1" s="1"/>
  <c r="G40" i="1"/>
  <c r="F40" i="1"/>
  <c r="F48" i="1" s="1"/>
  <c r="E40" i="1"/>
  <c r="D40" i="1"/>
  <c r="AG40" i="1" s="1"/>
  <c r="B40" i="1"/>
  <c r="AD39" i="1"/>
  <c r="AC39" i="1"/>
  <c r="X39" i="1"/>
  <c r="U39" i="1"/>
  <c r="U48" i="1" s="1"/>
  <c r="T39" i="1"/>
  <c r="P39" i="1"/>
  <c r="P48" i="1" s="1"/>
  <c r="O39" i="1"/>
  <c r="N39" i="1"/>
  <c r="N48" i="1" s="1"/>
  <c r="M39" i="1"/>
  <c r="M48" i="1" s="1"/>
  <c r="I39" i="1"/>
  <c r="I48" i="1" s="1"/>
  <c r="E39" i="1"/>
  <c r="D39" i="1"/>
  <c r="D48" i="1" s="1"/>
  <c r="B39" i="1"/>
  <c r="AG38" i="1"/>
  <c r="B38" i="1"/>
  <c r="AE37" i="1"/>
  <c r="AE48" i="1" s="1"/>
  <c r="AD37" i="1"/>
  <c r="AD48" i="1" s="1"/>
  <c r="AC37" i="1"/>
  <c r="Y37" i="1"/>
  <c r="Y48" i="1" s="1"/>
  <c r="X37" i="1"/>
  <c r="V37" i="1"/>
  <c r="U37" i="1"/>
  <c r="T37" i="1"/>
  <c r="Q37" i="1"/>
  <c r="Q48" i="1" s="1"/>
  <c r="O37" i="1"/>
  <c r="O48" i="1" s="1"/>
  <c r="N37" i="1"/>
  <c r="K37" i="1"/>
  <c r="K48" i="1" s="1"/>
  <c r="G37" i="1"/>
  <c r="G48" i="1" s="1"/>
  <c r="F37" i="1"/>
  <c r="D37" i="1"/>
  <c r="AG36" i="1"/>
  <c r="AF35" i="1"/>
  <c r="AF91" i="1" s="1"/>
  <c r="AD35" i="1"/>
  <c r="AD91" i="1" s="1"/>
  <c r="AA35" i="1"/>
  <c r="AA91" i="1" s="1"/>
  <c r="Z35" i="1"/>
  <c r="Z91" i="1" s="1"/>
  <c r="Y35" i="1"/>
  <c r="W35" i="1"/>
  <c r="W91" i="1" s="1"/>
  <c r="V35" i="1"/>
  <c r="V91" i="1" s="1"/>
  <c r="R35" i="1"/>
  <c r="R91" i="1" s="1"/>
  <c r="P35" i="1"/>
  <c r="P91" i="1" s="1"/>
  <c r="N35" i="1"/>
  <c r="N91" i="1" s="1"/>
  <c r="L35" i="1"/>
  <c r="L91" i="1" s="1"/>
  <c r="I35" i="1"/>
  <c r="I91" i="1" s="1"/>
  <c r="C35" i="1"/>
  <c r="C91" i="1" s="1"/>
  <c r="B35" i="1"/>
  <c r="AD34" i="1"/>
  <c r="AC34" i="1"/>
  <c r="X34" i="1"/>
  <c r="X35" i="1" s="1"/>
  <c r="U34" i="1"/>
  <c r="T34" i="1"/>
  <c r="P34" i="1"/>
  <c r="O34" i="1"/>
  <c r="O35" i="1" s="1"/>
  <c r="N34" i="1"/>
  <c r="M34" i="1"/>
  <c r="I34" i="1"/>
  <c r="E34" i="1"/>
  <c r="AG34" i="1" s="1"/>
  <c r="D34" i="1"/>
  <c r="B34" i="1"/>
  <c r="AF33" i="1"/>
  <c r="AE33" i="1"/>
  <c r="AE35" i="1" s="1"/>
  <c r="AE91" i="1" s="1"/>
  <c r="AD33" i="1"/>
  <c r="AC33" i="1"/>
  <c r="AC35" i="1" s="1"/>
  <c r="AC91" i="1" s="1"/>
  <c r="AB33" i="1"/>
  <c r="AB35" i="1" s="1"/>
  <c r="AB91" i="1" s="1"/>
  <c r="Y33" i="1"/>
  <c r="X33" i="1"/>
  <c r="V33" i="1"/>
  <c r="U33" i="1"/>
  <c r="U35" i="1" s="1"/>
  <c r="U91" i="1" s="1"/>
  <c r="T33" i="1"/>
  <c r="T35" i="1" s="1"/>
  <c r="S33" i="1"/>
  <c r="S35" i="1" s="1"/>
  <c r="S91" i="1" s="1"/>
  <c r="R33" i="1"/>
  <c r="Q33" i="1"/>
  <c r="Q35" i="1" s="1"/>
  <c r="Q91" i="1" s="1"/>
  <c r="N33" i="1"/>
  <c r="M33" i="1"/>
  <c r="M35" i="1" s="1"/>
  <c r="M91" i="1" s="1"/>
  <c r="L33" i="1"/>
  <c r="K33" i="1"/>
  <c r="K35" i="1" s="1"/>
  <c r="K91" i="1" s="1"/>
  <c r="J33" i="1"/>
  <c r="J35" i="1" s="1"/>
  <c r="J91" i="1" s="1"/>
  <c r="H33" i="1"/>
  <c r="H35" i="1" s="1"/>
  <c r="G33" i="1"/>
  <c r="G35" i="1" s="1"/>
  <c r="G91" i="1" s="1"/>
  <c r="F33" i="1"/>
  <c r="F35" i="1" s="1"/>
  <c r="E33" i="1"/>
  <c r="E35" i="1" s="1"/>
  <c r="D33" i="1"/>
  <c r="D35" i="1" s="1"/>
  <c r="B33" i="1"/>
  <c r="AG33" i="1" s="1"/>
  <c r="AG32" i="1"/>
  <c r="F29" i="1"/>
  <c r="F30" i="1" s="1"/>
  <c r="AF28" i="1"/>
  <c r="AE28" i="1"/>
  <c r="AD28" i="1"/>
  <c r="AD29" i="1" s="1"/>
  <c r="AD30" i="1" s="1"/>
  <c r="AB28" i="1"/>
  <c r="AB29" i="1" s="1"/>
  <c r="AB30" i="1" s="1"/>
  <c r="AB92" i="1" s="1"/>
  <c r="AB93" i="1" s="1"/>
  <c r="Z28" i="1"/>
  <c r="Y28" i="1"/>
  <c r="Y29" i="1" s="1"/>
  <c r="Y30" i="1" s="1"/>
  <c r="X28" i="1"/>
  <c r="W28" i="1"/>
  <c r="V28" i="1"/>
  <c r="V29" i="1" s="1"/>
  <c r="V30" i="1" s="1"/>
  <c r="V92" i="1" s="1"/>
  <c r="V93" i="1" s="1"/>
  <c r="Q28" i="1"/>
  <c r="Q29" i="1" s="1"/>
  <c r="Q30" i="1" s="1"/>
  <c r="Q92" i="1" s="1"/>
  <c r="Q93" i="1" s="1"/>
  <c r="L28" i="1"/>
  <c r="K28" i="1"/>
  <c r="J28" i="1"/>
  <c r="I28" i="1"/>
  <c r="H28" i="1"/>
  <c r="F28" i="1"/>
  <c r="E28" i="1"/>
  <c r="D28" i="1"/>
  <c r="D29" i="1" s="1"/>
  <c r="D30" i="1" s="1"/>
  <c r="C28" i="1"/>
  <c r="B28" i="1"/>
  <c r="AD27" i="1"/>
  <c r="AC27" i="1"/>
  <c r="AC28" i="1" s="1"/>
  <c r="AA27" i="1"/>
  <c r="AA28" i="1" s="1"/>
  <c r="Y27" i="1"/>
  <c r="X27" i="1"/>
  <c r="V27" i="1"/>
  <c r="U27" i="1"/>
  <c r="U28" i="1" s="1"/>
  <c r="T27" i="1"/>
  <c r="T28" i="1" s="1"/>
  <c r="T29" i="1" s="1"/>
  <c r="T30" i="1" s="1"/>
  <c r="S27" i="1"/>
  <c r="S28" i="1" s="1"/>
  <c r="Q27" i="1"/>
  <c r="N27" i="1"/>
  <c r="AG27" i="1" s="1"/>
  <c r="G27" i="1"/>
  <c r="G28" i="1" s="1"/>
  <c r="F27" i="1"/>
  <c r="D27" i="1"/>
  <c r="R26" i="1"/>
  <c r="R28" i="1" s="1"/>
  <c r="P26" i="1"/>
  <c r="P28" i="1" s="1"/>
  <c r="O26" i="1"/>
  <c r="O28" i="1" s="1"/>
  <c r="M26" i="1"/>
  <c r="AG25" i="1"/>
  <c r="AG24" i="1"/>
  <c r="B24" i="1"/>
  <c r="B23" i="1"/>
  <c r="AG23" i="1" s="1"/>
  <c r="AF22" i="1"/>
  <c r="AE22" i="1"/>
  <c r="AD22" i="1"/>
  <c r="AC22" i="1"/>
  <c r="AB22" i="1"/>
  <c r="AA22" i="1"/>
  <c r="Z22" i="1"/>
  <c r="Z29" i="1" s="1"/>
  <c r="Z30" i="1" s="1"/>
  <c r="Z92" i="1" s="1"/>
  <c r="Z93" i="1" s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K22" i="1"/>
  <c r="J22" i="1"/>
  <c r="I22" i="1"/>
  <c r="G22" i="1"/>
  <c r="F22" i="1"/>
  <c r="E22" i="1"/>
  <c r="D22" i="1"/>
  <c r="C22" i="1"/>
  <c r="B22" i="1"/>
  <c r="AG21" i="1"/>
  <c r="E21" i="1"/>
  <c r="AG20" i="1"/>
  <c r="L20" i="1"/>
  <c r="L22" i="1" s="1"/>
  <c r="L29" i="1" s="1"/>
  <c r="L30" i="1" s="1"/>
  <c r="L92" i="1" s="1"/>
  <c r="L93" i="1" s="1"/>
  <c r="H20" i="1"/>
  <c r="H22" i="1" s="1"/>
  <c r="E20" i="1"/>
  <c r="AF19" i="1"/>
  <c r="AF29" i="1" s="1"/>
  <c r="AF30" i="1" s="1"/>
  <c r="AF92" i="1" s="1"/>
  <c r="AF93" i="1" s="1"/>
  <c r="AE19" i="1"/>
  <c r="AE29" i="1" s="1"/>
  <c r="AE30" i="1" s="1"/>
  <c r="AE92" i="1" s="1"/>
  <c r="AE93" i="1" s="1"/>
  <c r="AD19" i="1"/>
  <c r="AC19" i="1"/>
  <c r="AC29" i="1" s="1"/>
  <c r="AC30" i="1" s="1"/>
  <c r="AC92" i="1" s="1"/>
  <c r="AC93" i="1" s="1"/>
  <c r="AB19" i="1"/>
  <c r="AA19" i="1"/>
  <c r="AA29" i="1" s="1"/>
  <c r="AA30" i="1" s="1"/>
  <c r="AA92" i="1" s="1"/>
  <c r="AA93" i="1" s="1"/>
  <c r="Z19" i="1"/>
  <c r="Y19" i="1"/>
  <c r="X19" i="1"/>
  <c r="X29" i="1" s="1"/>
  <c r="X30" i="1" s="1"/>
  <c r="W19" i="1"/>
  <c r="W29" i="1" s="1"/>
  <c r="W30" i="1" s="1"/>
  <c r="W92" i="1" s="1"/>
  <c r="W93" i="1" s="1"/>
  <c r="V19" i="1"/>
  <c r="U19" i="1"/>
  <c r="U29" i="1" s="1"/>
  <c r="U30" i="1" s="1"/>
  <c r="U92" i="1" s="1"/>
  <c r="U93" i="1" s="1"/>
  <c r="T19" i="1"/>
  <c r="S19" i="1"/>
  <c r="S29" i="1" s="1"/>
  <c r="S30" i="1" s="1"/>
  <c r="S92" i="1" s="1"/>
  <c r="S93" i="1" s="1"/>
  <c r="R19" i="1"/>
  <c r="Q19" i="1"/>
  <c r="P19" i="1"/>
  <c r="P29" i="1" s="1"/>
  <c r="P30" i="1" s="1"/>
  <c r="P92" i="1" s="1"/>
  <c r="P93" i="1" s="1"/>
  <c r="O19" i="1"/>
  <c r="O29" i="1" s="1"/>
  <c r="O30" i="1" s="1"/>
  <c r="N19" i="1"/>
  <c r="M19" i="1"/>
  <c r="L19" i="1"/>
  <c r="H19" i="1"/>
  <c r="H29" i="1" s="1"/>
  <c r="H30" i="1" s="1"/>
  <c r="G19" i="1"/>
  <c r="F19" i="1"/>
  <c r="E19" i="1"/>
  <c r="E29" i="1" s="1"/>
  <c r="E30" i="1" s="1"/>
  <c r="D19" i="1"/>
  <c r="C19" i="1"/>
  <c r="C29" i="1" s="1"/>
  <c r="C30" i="1" s="1"/>
  <c r="C92" i="1" s="1"/>
  <c r="C93" i="1" s="1"/>
  <c r="E18" i="1"/>
  <c r="AG18" i="1" s="1"/>
  <c r="C17" i="1"/>
  <c r="B17" i="1"/>
  <c r="AG17" i="1" s="1"/>
  <c r="B16" i="1"/>
  <c r="AG16" i="1" s="1"/>
  <c r="B15" i="1"/>
  <c r="AG15" i="1" s="1"/>
  <c r="B14" i="1"/>
  <c r="AG14" i="1" s="1"/>
  <c r="K13" i="1"/>
  <c r="J13" i="1"/>
  <c r="E13" i="1"/>
  <c r="AG13" i="1" s="1"/>
  <c r="B13" i="1"/>
  <c r="E12" i="1"/>
  <c r="AG12" i="1" s="1"/>
  <c r="AE11" i="1"/>
  <c r="I11" i="1"/>
  <c r="I19" i="1" s="1"/>
  <c r="I29" i="1" s="1"/>
  <c r="I30" i="1" s="1"/>
  <c r="I92" i="1" s="1"/>
  <c r="I93" i="1" s="1"/>
  <c r="K10" i="1"/>
  <c r="AG10" i="1" s="1"/>
  <c r="J10" i="1"/>
  <c r="J19" i="1" s="1"/>
  <c r="J29" i="1" s="1"/>
  <c r="J30" i="1" s="1"/>
  <c r="J92" i="1" s="1"/>
  <c r="J93" i="1" s="1"/>
  <c r="B9" i="1"/>
  <c r="AG9" i="1" s="1"/>
  <c r="AG8" i="1"/>
  <c r="B8" i="1"/>
  <c r="B19" i="1" s="1"/>
  <c r="AG7" i="1"/>
  <c r="B29" i="1" l="1"/>
  <c r="R29" i="1"/>
  <c r="R30" i="1" s="1"/>
  <c r="R92" i="1" s="1"/>
  <c r="R93" i="1" s="1"/>
  <c r="M28" i="1"/>
  <c r="M29" i="1" s="1"/>
  <c r="M30" i="1" s="1"/>
  <c r="M92" i="1" s="1"/>
  <c r="M93" i="1" s="1"/>
  <c r="AG26" i="1"/>
  <c r="T91" i="1"/>
  <c r="T92" i="1" s="1"/>
  <c r="T93" i="1" s="1"/>
  <c r="O91" i="1"/>
  <c r="O92" i="1" s="1"/>
  <c r="O93" i="1" s="1"/>
  <c r="Y91" i="1"/>
  <c r="Y92" i="1" s="1"/>
  <c r="Y93" i="1" s="1"/>
  <c r="AG66" i="1"/>
  <c r="AG85" i="1"/>
  <c r="AG22" i="1"/>
  <c r="AG11" i="1"/>
  <c r="G29" i="1"/>
  <c r="G30" i="1" s="1"/>
  <c r="G92" i="1" s="1"/>
  <c r="G93" i="1" s="1"/>
  <c r="AG35" i="1"/>
  <c r="D91" i="1"/>
  <c r="D92" i="1"/>
  <c r="D93" i="1" s="1"/>
  <c r="N28" i="1"/>
  <c r="N29" i="1" s="1"/>
  <c r="N30" i="1" s="1"/>
  <c r="N92" i="1" s="1"/>
  <c r="N93" i="1" s="1"/>
  <c r="AD92" i="1"/>
  <c r="AD93" i="1" s="1"/>
  <c r="X91" i="1"/>
  <c r="X92" i="1" s="1"/>
  <c r="X93" i="1" s="1"/>
  <c r="B90" i="1"/>
  <c r="AG37" i="1"/>
  <c r="AG57" i="1"/>
  <c r="AG72" i="1"/>
  <c r="E48" i="1"/>
  <c r="AG48" i="1" s="1"/>
  <c r="AG39" i="1"/>
  <c r="AG50" i="1"/>
  <c r="AG80" i="1"/>
  <c r="K19" i="1"/>
  <c r="K29" i="1" s="1"/>
  <c r="K30" i="1" s="1"/>
  <c r="K92" i="1" s="1"/>
  <c r="K93" i="1" s="1"/>
  <c r="B70" i="1"/>
  <c r="AG70" i="1" s="1"/>
  <c r="F90" i="1"/>
  <c r="F91" i="1" s="1"/>
  <c r="F92" i="1" s="1"/>
  <c r="F93" i="1" s="1"/>
  <c r="H54" i="1"/>
  <c r="H91" i="1" s="1"/>
  <c r="H92" i="1" s="1"/>
  <c r="H93" i="1" s="1"/>
  <c r="E91" i="1" l="1"/>
  <c r="E92" i="1" s="1"/>
  <c r="E93" i="1" s="1"/>
  <c r="AG28" i="1"/>
  <c r="AG54" i="1"/>
  <c r="AG90" i="1"/>
  <c r="B91" i="1"/>
  <c r="AG91" i="1" s="1"/>
  <c r="AG19" i="1"/>
  <c r="B30" i="1"/>
  <c r="AG29" i="1"/>
  <c r="AG30" i="1" l="1"/>
  <c r="B92" i="1"/>
  <c r="AG92" i="1" l="1"/>
  <c r="B93" i="1"/>
  <c r="AG93" i="1" s="1"/>
</calcChain>
</file>

<file path=xl/sharedStrings.xml><?xml version="1.0" encoding="utf-8"?>
<sst xmlns="http://schemas.openxmlformats.org/spreadsheetml/2006/main" count="123" uniqueCount="123">
  <si>
    <t>0010 - Operations</t>
  </si>
  <si>
    <t>0025 - Staff Account</t>
  </si>
  <si>
    <t>0065 - CRRSA</t>
  </si>
  <si>
    <t>1100 - RSP</t>
  </si>
  <si>
    <t>1135 - DEI Grant</t>
  </si>
  <si>
    <t>1260- Positive Action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</si>
  <si>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</si>
  <si>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</si>
  <si>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</si>
  <si>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</si>
  <si>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</si>
  <si>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</si>
  <si>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2800 - Arts in Education</t>
  </si>
  <si>
    <t>2910 - DAIL</t>
  </si>
  <si>
    <t>2943 - DCBS</t>
  </si>
  <si>
    <t>3010 - FRYSC - Fed</t>
  </si>
  <si>
    <t>3220 - PERS Effectiveness Coach</t>
  </si>
  <si>
    <t>3299 - ARP</t>
  </si>
  <si>
    <t>336K - IDEA B 23-24</t>
  </si>
  <si>
    <t>336L - IDEA B 24-25</t>
  </si>
  <si>
    <t>3416- SPF</t>
  </si>
  <si>
    <t>3420 - Interact for Health</t>
  </si>
  <si>
    <t>3425 - Deeper Learning</t>
  </si>
  <si>
    <t>345K - Title III EL 23-24</t>
  </si>
  <si>
    <t>345L - Title III EL 24-25</t>
  </si>
  <si>
    <t>3601 - School Based Interventions</t>
  </si>
  <si>
    <t>3602 - Healthy Schools 24-25</t>
  </si>
  <si>
    <t>3800 - Trauma Informed</t>
  </si>
  <si>
    <t>3925 - Mental Health</t>
  </si>
  <si>
    <t>3931 - RSP SBMH Counselor</t>
  </si>
  <si>
    <t>Not Specified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</si>
  <si>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</si>
  <si>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</si>
  <si>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</si>
  <si>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</si>
  <si>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</si>
  <si>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</si>
  <si>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</si>
  <si>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31913 SPONSORSHIP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</si>
  <si>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</si>
  <si>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</si>
  <si>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</si>
  <si>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31997 RENT</t>
  </si>
  <si>
    <t xml:space="preserve">      31999 MISC. REVENUES</t>
  </si>
  <si>
    <t xml:space="preserve">      33111 SEEK FUNDS/ADA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</si>
  <si>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</si>
  <si>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</si>
  <si>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</si>
  <si>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</si>
  <si>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</si>
  <si>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</si>
  <si>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</si>
  <si>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</si>
  <si>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</si>
  <si>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</si>
  <si>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</si>
  <si>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</si>
  <si>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</si>
  <si>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</si>
  <si>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</si>
  <si>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</si>
  <si>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</si>
  <si>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</si>
  <si>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</si>
  <si>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</si>
  <si>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</si>
  <si>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</si>
  <si>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</si>
  <si>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</si>
  <si>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</si>
  <si>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</si>
  <si>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</si>
  <si>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</si>
  <si>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</si>
  <si>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</si>
  <si>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</si>
  <si>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</si>
  <si>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</si>
  <si>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</si>
  <si>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</si>
  <si>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</si>
  <si>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</si>
  <si>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</si>
  <si>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</si>
  <si>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</si>
  <si>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</si>
  <si>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</si>
  <si>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</si>
  <si>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</si>
  <si>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</si>
  <si>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</si>
  <si>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   40734 COMPUTERS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</si>
  <si>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</si>
  <si>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</si>
  <si>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</si>
  <si>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</si>
  <si>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</si>
  <si>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</si>
  <si>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</si>
  <si>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</si>
  <si>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</si>
  <si>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40550 PRINTING</t>
  </si>
  <si>
    <t xml:space="preserve">      40605 FOOD</t>
  </si>
  <si>
    <t xml:space="preserve">      40610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</si>
  <si>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</si>
  <si>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</si>
  <si>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</si>
  <si>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</si>
  <si>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</si>
  <si>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</si>
  <si>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</si>
  <si>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</si>
  <si>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</si>
  <si>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</si>
  <si>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40830 DISTRICT RECORD FEE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</si>
  <si>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</si>
  <si>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</si>
  <si>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</si>
  <si>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</si>
  <si>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</si>
  <si>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</si>
  <si>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</si>
  <si>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- December,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</si>
</sst>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97"/>
  <sheetViews>
    <sheetView tabSelected="1" workbookViewId="0">
      <selection activeCell="A97" sqref="A97:AG97"/>
    </sheetView>
  </sheetViews>
  <sheetFormatPr defaultRowHeight="15" x14ac:dyDescent="0.25"/>
  <cols>
    <col min="1" max="1" width="37.85546875" customWidth="1"/>
    <col min="2" max="2" width="12" customWidth="1"/>
    <col min="3" max="3" width="7.7109375" customWidth="1"/>
    <col min="4" max="4" width="9.42578125" customWidth="1"/>
    <col min="5" max="5" width="12" customWidth="1"/>
    <col min="6" max="6" width="10.28515625" customWidth="1"/>
    <col min="7" max="9" width="9.42578125" customWidth="1"/>
    <col min="10" max="10" width="10.28515625" customWidth="1"/>
    <col min="11" max="12" width="9.42578125" customWidth="1"/>
    <col min="13" max="13" width="11.140625" customWidth="1"/>
    <col min="14" max="15" width="10.28515625" customWidth="1"/>
    <col min="16" max="17" width="11.140625" customWidth="1"/>
    <col min="18" max="19" width="9.42578125" customWidth="1"/>
    <col min="20" max="22" width="10.28515625" customWidth="1"/>
    <col min="23" max="23" width="11.140625" customWidth="1"/>
    <col min="24" max="24" width="10.28515625" customWidth="1"/>
    <col min="25" max="27" width="8.5703125" customWidth="1"/>
    <col min="28" max="28" width="11.140625" customWidth="1"/>
    <col min="29" max="29" width="10.28515625" customWidth="1"/>
    <col min="30" max="30" width="12" customWidth="1"/>
    <col min="31" max="31" width="9.42578125" customWidth="1"/>
    <col min="32" max="32" width="7.7109375" customWidth="1"/>
    <col min="33" max="33" width="12" customWidth="1"/>
  </cols>
  <sheetData>
    <row r="1" spans="1:33" ht="18" x14ac:dyDescent="0.25">
      <c r="A1" s="10" t="s">
        <v>120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t="18" x14ac:dyDescent="0.25">
      <c r="A2" s="10" t="s">
        <v>121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1:33" x14ac:dyDescent="0.25">
      <c r="A3" s="11" t="s">
        <v>122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5" spans="1:33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  <c r="AC5" s="2" t="s">
        <v>27</v>
      </c>
      <c r="AD5" s="2" t="s">
        <v>28</v>
      </c>
      <c r="AE5" s="2" t="s">
        <v>29</v>
      </c>
      <c r="AF5" s="2" t="s">
        <v>30</v>
      </c>
      <c r="AG5" s="2" t="s">
        <v>31</v>
      </c>
    </row>
    <row r="6" spans="1:33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x14ac:dyDescent="0.25">
      <c r="A7" s="3" t="s">
        <v>33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5">
        <f t="shared" ref="AG7:AG30" si="0">((((((((((((((((((((((((((((((B7)+(C7))+(D7))+(E7))+(F7))+(G7))+(H7))+(I7))+(J7))+(K7))+(L7))+(M7))+(N7))+(O7))+(P7))+(Q7))+(R7))+(S7))+(T7))+(U7))+(V7))+(W7))+(X7))+(Y7))+(Z7))+(AA7))+(AB7))+(AC7))+(AD7))+(AE7))+(AF7)</f>
        <v>0</v>
      </c>
    </row>
    <row r="8" spans="1:33" x14ac:dyDescent="0.25">
      <c r="A8" s="3" t="s">
        <v>34</v>
      </c>
      <c r="B8" s="5">
        <f>283131.02</f>
        <v>283131.02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5">
        <f t="shared" si="0"/>
        <v>283131.02</v>
      </c>
    </row>
    <row r="9" spans="1:33" x14ac:dyDescent="0.25">
      <c r="A9" s="3" t="s">
        <v>35</v>
      </c>
      <c r="B9" s="5">
        <f>92497.66</f>
        <v>92497.66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5">
        <f t="shared" si="0"/>
        <v>92497.66</v>
      </c>
    </row>
    <row r="10" spans="1:33" x14ac:dyDescent="0.25">
      <c r="A10" s="3" t="s">
        <v>36</v>
      </c>
      <c r="B10" s="4"/>
      <c r="C10" s="4"/>
      <c r="D10" s="4"/>
      <c r="E10" s="4"/>
      <c r="F10" s="4"/>
      <c r="G10" s="4"/>
      <c r="H10" s="4"/>
      <c r="I10" s="4"/>
      <c r="J10" s="5">
        <f>475743.94</f>
        <v>475743.94</v>
      </c>
      <c r="K10" s="5">
        <f>44631.67</f>
        <v>44631.67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5">
        <f t="shared" si="0"/>
        <v>520375.61</v>
      </c>
    </row>
    <row r="11" spans="1:33" x14ac:dyDescent="0.25">
      <c r="A11" s="3" t="s">
        <v>37</v>
      </c>
      <c r="B11" s="4"/>
      <c r="C11" s="4"/>
      <c r="D11" s="4"/>
      <c r="E11" s="4"/>
      <c r="F11" s="4"/>
      <c r="G11" s="4"/>
      <c r="H11" s="4"/>
      <c r="I11" s="5">
        <f>63508.22</f>
        <v>63508.22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5">
        <f>88400</f>
        <v>88400</v>
      </c>
      <c r="AF11" s="4"/>
      <c r="AG11" s="5">
        <f t="shared" si="0"/>
        <v>151908.22</v>
      </c>
    </row>
    <row r="12" spans="1:33" x14ac:dyDescent="0.25">
      <c r="A12" s="3" t="s">
        <v>38</v>
      </c>
      <c r="B12" s="4"/>
      <c r="C12" s="4"/>
      <c r="D12" s="4"/>
      <c r="E12" s="5">
        <f>3175</f>
        <v>3175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5">
        <f t="shared" si="0"/>
        <v>3175</v>
      </c>
    </row>
    <row r="13" spans="1:33" x14ac:dyDescent="0.25">
      <c r="A13" s="3" t="s">
        <v>39</v>
      </c>
      <c r="B13" s="5">
        <f>695.33</f>
        <v>695.33</v>
      </c>
      <c r="C13" s="4"/>
      <c r="D13" s="4"/>
      <c r="E13" s="5">
        <f>380.96</f>
        <v>380.96</v>
      </c>
      <c r="F13" s="4"/>
      <c r="G13" s="4"/>
      <c r="H13" s="4"/>
      <c r="I13" s="4"/>
      <c r="J13" s="5">
        <f>1295.99</f>
        <v>1295.99</v>
      </c>
      <c r="K13" s="5">
        <f>1557.6</f>
        <v>1557.6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>
        <f t="shared" si="0"/>
        <v>3929.8799999999997</v>
      </c>
    </row>
    <row r="14" spans="1:33" x14ac:dyDescent="0.25">
      <c r="A14" s="3" t="s">
        <v>40</v>
      </c>
      <c r="B14" s="5">
        <f>49917.36</f>
        <v>49917.36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5">
        <f t="shared" si="0"/>
        <v>49917.36</v>
      </c>
    </row>
    <row r="15" spans="1:33" x14ac:dyDescent="0.25">
      <c r="A15" s="3" t="s">
        <v>41</v>
      </c>
      <c r="B15" s="5">
        <f>727252.35</f>
        <v>727252.35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5">
        <f t="shared" si="0"/>
        <v>727252.35</v>
      </c>
    </row>
    <row r="16" spans="1:33" x14ac:dyDescent="0.25">
      <c r="A16" s="3" t="s">
        <v>42</v>
      </c>
      <c r="B16" s="5">
        <f>40000</f>
        <v>40000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5">
        <f t="shared" si="0"/>
        <v>40000</v>
      </c>
    </row>
    <row r="17" spans="1:33" x14ac:dyDescent="0.25">
      <c r="A17" s="3" t="s">
        <v>43</v>
      </c>
      <c r="B17" s="5">
        <f>0</f>
        <v>0</v>
      </c>
      <c r="C17" s="5">
        <f>490.44</f>
        <v>490.44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5">
        <f t="shared" si="0"/>
        <v>490.44</v>
      </c>
    </row>
    <row r="18" spans="1:33" x14ac:dyDescent="0.25">
      <c r="A18" s="3" t="s">
        <v>44</v>
      </c>
      <c r="B18" s="4"/>
      <c r="C18" s="4"/>
      <c r="D18" s="4"/>
      <c r="E18" s="5">
        <f>119104</f>
        <v>119104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5">
        <f t="shared" si="0"/>
        <v>119104</v>
      </c>
    </row>
    <row r="19" spans="1:33" x14ac:dyDescent="0.25">
      <c r="A19" s="3" t="s">
        <v>45</v>
      </c>
      <c r="B19" s="6">
        <f t="shared" ref="B19:AF19" si="1">(((((((((((B7)+(B8))+(B9))+(B10))+(B11))+(B12))+(B13))+(B14))+(B15))+(B16))+(B17))+(B18)</f>
        <v>1193493.72</v>
      </c>
      <c r="C19" s="6">
        <f t="shared" si="1"/>
        <v>490.44</v>
      </c>
      <c r="D19" s="6">
        <f t="shared" si="1"/>
        <v>0</v>
      </c>
      <c r="E19" s="6">
        <f t="shared" si="1"/>
        <v>122659.96</v>
      </c>
      <c r="F19" s="6">
        <f t="shared" si="1"/>
        <v>0</v>
      </c>
      <c r="G19" s="6">
        <f t="shared" si="1"/>
        <v>0</v>
      </c>
      <c r="H19" s="6">
        <f t="shared" si="1"/>
        <v>0</v>
      </c>
      <c r="I19" s="6">
        <f t="shared" si="1"/>
        <v>63508.22</v>
      </c>
      <c r="J19" s="6">
        <f t="shared" si="1"/>
        <v>477039.93</v>
      </c>
      <c r="K19" s="6">
        <f t="shared" si="1"/>
        <v>46189.27</v>
      </c>
      <c r="L19" s="6">
        <f t="shared" si="1"/>
        <v>0</v>
      </c>
      <c r="M19" s="6">
        <f t="shared" si="1"/>
        <v>0</v>
      </c>
      <c r="N19" s="6">
        <f t="shared" si="1"/>
        <v>0</v>
      </c>
      <c r="O19" s="6">
        <f t="shared" si="1"/>
        <v>0</v>
      </c>
      <c r="P19" s="6">
        <f t="shared" si="1"/>
        <v>0</v>
      </c>
      <c r="Q19" s="6">
        <f t="shared" si="1"/>
        <v>0</v>
      </c>
      <c r="R19" s="6">
        <f t="shared" si="1"/>
        <v>0</v>
      </c>
      <c r="S19" s="6">
        <f t="shared" si="1"/>
        <v>0</v>
      </c>
      <c r="T19" s="6">
        <f t="shared" si="1"/>
        <v>0</v>
      </c>
      <c r="U19" s="6">
        <f t="shared" si="1"/>
        <v>0</v>
      </c>
      <c r="V19" s="6">
        <f t="shared" si="1"/>
        <v>0</v>
      </c>
      <c r="W19" s="6">
        <f t="shared" si="1"/>
        <v>0</v>
      </c>
      <c r="X19" s="6">
        <f t="shared" si="1"/>
        <v>0</v>
      </c>
      <c r="Y19" s="6">
        <f t="shared" si="1"/>
        <v>0</v>
      </c>
      <c r="Z19" s="6">
        <f t="shared" si="1"/>
        <v>0</v>
      </c>
      <c r="AA19" s="6">
        <f t="shared" si="1"/>
        <v>0</v>
      </c>
      <c r="AB19" s="6">
        <f t="shared" si="1"/>
        <v>0</v>
      </c>
      <c r="AC19" s="6">
        <f t="shared" si="1"/>
        <v>0</v>
      </c>
      <c r="AD19" s="6">
        <f t="shared" si="1"/>
        <v>0</v>
      </c>
      <c r="AE19" s="6">
        <f t="shared" si="1"/>
        <v>88400</v>
      </c>
      <c r="AF19" s="6">
        <f t="shared" si="1"/>
        <v>0</v>
      </c>
      <c r="AG19" s="6">
        <f t="shared" si="0"/>
        <v>1991781.5399999998</v>
      </c>
    </row>
    <row r="20" spans="1:33" x14ac:dyDescent="0.25">
      <c r="A20" s="3" t="s">
        <v>46</v>
      </c>
      <c r="B20" s="4"/>
      <c r="C20" s="4"/>
      <c r="D20" s="4"/>
      <c r="E20" s="5">
        <f>2086727.35</f>
        <v>2086727.35</v>
      </c>
      <c r="F20" s="4"/>
      <c r="G20" s="4"/>
      <c r="H20" s="5">
        <f>48088.62</f>
        <v>48088.62</v>
      </c>
      <c r="I20" s="4"/>
      <c r="J20" s="4"/>
      <c r="K20" s="4"/>
      <c r="L20" s="5">
        <f>69089.96</f>
        <v>69089.960000000006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5">
        <f t="shared" si="0"/>
        <v>2203905.9300000002</v>
      </c>
    </row>
    <row r="21" spans="1:33" x14ac:dyDescent="0.25">
      <c r="A21" s="3" t="s">
        <v>47</v>
      </c>
      <c r="B21" s="4"/>
      <c r="C21" s="4"/>
      <c r="D21" s="4"/>
      <c r="E21" s="5">
        <f>49461.65</f>
        <v>49461.65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5">
        <f t="shared" si="0"/>
        <v>49461.65</v>
      </c>
    </row>
    <row r="22" spans="1:33" x14ac:dyDescent="0.25">
      <c r="A22" s="3" t="s">
        <v>48</v>
      </c>
      <c r="B22" s="6">
        <f t="shared" ref="B22:AF22" si="2">(B20)+(B21)</f>
        <v>0</v>
      </c>
      <c r="C22" s="6">
        <f t="shared" si="2"/>
        <v>0</v>
      </c>
      <c r="D22" s="6">
        <f t="shared" si="2"/>
        <v>0</v>
      </c>
      <c r="E22" s="6">
        <f t="shared" si="2"/>
        <v>2136189</v>
      </c>
      <c r="F22" s="6">
        <f t="shared" si="2"/>
        <v>0</v>
      </c>
      <c r="G22" s="6">
        <f t="shared" si="2"/>
        <v>0</v>
      </c>
      <c r="H22" s="6">
        <f t="shared" si="2"/>
        <v>48088.62</v>
      </c>
      <c r="I22" s="6">
        <f t="shared" si="2"/>
        <v>0</v>
      </c>
      <c r="J22" s="6">
        <f t="shared" si="2"/>
        <v>0</v>
      </c>
      <c r="K22" s="6">
        <f t="shared" si="2"/>
        <v>0</v>
      </c>
      <c r="L22" s="6">
        <f t="shared" si="2"/>
        <v>69089.960000000006</v>
      </c>
      <c r="M22" s="6">
        <f t="shared" si="2"/>
        <v>0</v>
      </c>
      <c r="N22" s="6">
        <f t="shared" si="2"/>
        <v>0</v>
      </c>
      <c r="O22" s="6">
        <f t="shared" si="2"/>
        <v>0</v>
      </c>
      <c r="P22" s="6">
        <f t="shared" si="2"/>
        <v>0</v>
      </c>
      <c r="Q22" s="6">
        <f t="shared" si="2"/>
        <v>0</v>
      </c>
      <c r="R22" s="6">
        <f t="shared" si="2"/>
        <v>0</v>
      </c>
      <c r="S22" s="6">
        <f t="shared" si="2"/>
        <v>0</v>
      </c>
      <c r="T22" s="6">
        <f t="shared" si="2"/>
        <v>0</v>
      </c>
      <c r="U22" s="6">
        <f t="shared" si="2"/>
        <v>0</v>
      </c>
      <c r="V22" s="6">
        <f t="shared" si="2"/>
        <v>0</v>
      </c>
      <c r="W22" s="6">
        <f t="shared" si="2"/>
        <v>0</v>
      </c>
      <c r="X22" s="6">
        <f t="shared" si="2"/>
        <v>0</v>
      </c>
      <c r="Y22" s="6">
        <f t="shared" si="2"/>
        <v>0</v>
      </c>
      <c r="Z22" s="6">
        <f t="shared" si="2"/>
        <v>0</v>
      </c>
      <c r="AA22" s="6">
        <f t="shared" si="2"/>
        <v>0</v>
      </c>
      <c r="AB22" s="6">
        <f t="shared" si="2"/>
        <v>0</v>
      </c>
      <c r="AC22" s="6">
        <f t="shared" si="2"/>
        <v>0</v>
      </c>
      <c r="AD22" s="6">
        <f t="shared" si="2"/>
        <v>0</v>
      </c>
      <c r="AE22" s="6">
        <f t="shared" si="2"/>
        <v>0</v>
      </c>
      <c r="AF22" s="6">
        <f t="shared" si="2"/>
        <v>0</v>
      </c>
      <c r="AG22" s="6">
        <f t="shared" si="0"/>
        <v>2253367.58</v>
      </c>
    </row>
    <row r="23" spans="1:33" x14ac:dyDescent="0.25">
      <c r="A23" s="3" t="s">
        <v>49</v>
      </c>
      <c r="B23" s="5">
        <f>19404</f>
        <v>19404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5">
        <f t="shared" si="0"/>
        <v>19404</v>
      </c>
    </row>
    <row r="24" spans="1:33" x14ac:dyDescent="0.25">
      <c r="A24" s="3" t="s">
        <v>50</v>
      </c>
      <c r="B24" s="5">
        <f>38016.12</f>
        <v>38016.120000000003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5">
        <f t="shared" si="0"/>
        <v>38016.120000000003</v>
      </c>
    </row>
    <row r="25" spans="1:33" x14ac:dyDescent="0.25">
      <c r="A25" s="3" t="s">
        <v>51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5">
        <f t="shared" si="0"/>
        <v>0</v>
      </c>
    </row>
    <row r="26" spans="1:33" x14ac:dyDescent="0.25">
      <c r="A26" s="3" t="s">
        <v>52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5">
        <f>466367.23</f>
        <v>466367.23</v>
      </c>
      <c r="N26" s="4"/>
      <c r="O26" s="5">
        <f>406521.36</f>
        <v>406521.36</v>
      </c>
      <c r="P26" s="5">
        <f>220386.07</f>
        <v>220386.07</v>
      </c>
      <c r="Q26" s="4"/>
      <c r="R26" s="5">
        <f>57613.45</f>
        <v>57613.45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5">
        <f t="shared" si="0"/>
        <v>1150888.1099999999</v>
      </c>
    </row>
    <row r="27" spans="1:33" x14ac:dyDescent="0.25">
      <c r="A27" s="3" t="s">
        <v>53</v>
      </c>
      <c r="B27" s="4"/>
      <c r="C27" s="4"/>
      <c r="D27" s="5">
        <f>59999.77</f>
        <v>59999.77</v>
      </c>
      <c r="E27" s="4"/>
      <c r="F27" s="5">
        <f>43479.61</f>
        <v>43479.61</v>
      </c>
      <c r="G27" s="5">
        <f>85483.85</f>
        <v>85483.85</v>
      </c>
      <c r="H27" s="4"/>
      <c r="I27" s="4"/>
      <c r="J27" s="4"/>
      <c r="K27" s="4"/>
      <c r="L27" s="4"/>
      <c r="M27" s="4"/>
      <c r="N27" s="5">
        <f>260961.56</f>
        <v>260961.56</v>
      </c>
      <c r="O27" s="4"/>
      <c r="P27" s="4"/>
      <c r="Q27" s="5">
        <f>250905.77</f>
        <v>250905.77</v>
      </c>
      <c r="R27" s="4"/>
      <c r="S27" s="5">
        <f>73458.75</f>
        <v>73458.75</v>
      </c>
      <c r="T27" s="5">
        <f>211660.85</f>
        <v>211660.85</v>
      </c>
      <c r="U27" s="5">
        <f>478784.75</f>
        <v>478784.75</v>
      </c>
      <c r="V27" s="5">
        <f>197682.19</f>
        <v>197682.19</v>
      </c>
      <c r="W27" s="4"/>
      <c r="X27" s="5">
        <f>540814.37</f>
        <v>540814.37</v>
      </c>
      <c r="Y27" s="5">
        <f>5134.42</f>
        <v>5134.42</v>
      </c>
      <c r="Z27" s="4"/>
      <c r="AA27" s="5">
        <f>4482.87</f>
        <v>4482.87</v>
      </c>
      <c r="AB27" s="4"/>
      <c r="AC27" s="5">
        <f>719201.3</f>
        <v>719201.3</v>
      </c>
      <c r="AD27" s="5">
        <f>1609208.07</f>
        <v>1609208.07</v>
      </c>
      <c r="AE27" s="4"/>
      <c r="AF27" s="4"/>
      <c r="AG27" s="5">
        <f t="shared" si="0"/>
        <v>4541258.1300000008</v>
      </c>
    </row>
    <row r="28" spans="1:33" x14ac:dyDescent="0.25">
      <c r="A28" s="3" t="s">
        <v>54</v>
      </c>
      <c r="B28" s="6">
        <f t="shared" ref="B28:AF28" si="3">((B25)+(B26))+(B27)</f>
        <v>0</v>
      </c>
      <c r="C28" s="6">
        <f t="shared" si="3"/>
        <v>0</v>
      </c>
      <c r="D28" s="6">
        <f t="shared" si="3"/>
        <v>59999.77</v>
      </c>
      <c r="E28" s="6">
        <f t="shared" si="3"/>
        <v>0</v>
      </c>
      <c r="F28" s="6">
        <f t="shared" si="3"/>
        <v>43479.61</v>
      </c>
      <c r="G28" s="6">
        <f t="shared" si="3"/>
        <v>85483.85</v>
      </c>
      <c r="H28" s="6">
        <f t="shared" si="3"/>
        <v>0</v>
      </c>
      <c r="I28" s="6">
        <f t="shared" si="3"/>
        <v>0</v>
      </c>
      <c r="J28" s="6">
        <f t="shared" si="3"/>
        <v>0</v>
      </c>
      <c r="K28" s="6">
        <f t="shared" si="3"/>
        <v>0</v>
      </c>
      <c r="L28" s="6">
        <f t="shared" si="3"/>
        <v>0</v>
      </c>
      <c r="M28" s="6">
        <f t="shared" si="3"/>
        <v>466367.23</v>
      </c>
      <c r="N28" s="6">
        <f t="shared" si="3"/>
        <v>260961.56</v>
      </c>
      <c r="O28" s="6">
        <f t="shared" si="3"/>
        <v>406521.36</v>
      </c>
      <c r="P28" s="6">
        <f t="shared" si="3"/>
        <v>220386.07</v>
      </c>
      <c r="Q28" s="6">
        <f t="shared" si="3"/>
        <v>250905.77</v>
      </c>
      <c r="R28" s="6">
        <f t="shared" si="3"/>
        <v>57613.45</v>
      </c>
      <c r="S28" s="6">
        <f t="shared" si="3"/>
        <v>73458.75</v>
      </c>
      <c r="T28" s="6">
        <f t="shared" si="3"/>
        <v>211660.85</v>
      </c>
      <c r="U28" s="6">
        <f t="shared" si="3"/>
        <v>478784.75</v>
      </c>
      <c r="V28" s="6">
        <f t="shared" si="3"/>
        <v>197682.19</v>
      </c>
      <c r="W28" s="6">
        <f t="shared" si="3"/>
        <v>0</v>
      </c>
      <c r="X28" s="6">
        <f t="shared" si="3"/>
        <v>540814.37</v>
      </c>
      <c r="Y28" s="6">
        <f t="shared" si="3"/>
        <v>5134.42</v>
      </c>
      <c r="Z28" s="6">
        <f t="shared" si="3"/>
        <v>0</v>
      </c>
      <c r="AA28" s="6">
        <f t="shared" si="3"/>
        <v>4482.87</v>
      </c>
      <c r="AB28" s="6">
        <f t="shared" si="3"/>
        <v>0</v>
      </c>
      <c r="AC28" s="6">
        <f t="shared" si="3"/>
        <v>719201.3</v>
      </c>
      <c r="AD28" s="6">
        <f t="shared" si="3"/>
        <v>1609208.07</v>
      </c>
      <c r="AE28" s="6">
        <f t="shared" si="3"/>
        <v>0</v>
      </c>
      <c r="AF28" s="6">
        <f t="shared" si="3"/>
        <v>0</v>
      </c>
      <c r="AG28" s="6">
        <f t="shared" si="0"/>
        <v>5692146.2400000002</v>
      </c>
    </row>
    <row r="29" spans="1:33" x14ac:dyDescent="0.25">
      <c r="A29" s="3" t="s">
        <v>55</v>
      </c>
      <c r="B29" s="6">
        <f t="shared" ref="B29:AF29" si="4">((((B19)+(B22))+(B23))+(B24))+(B28)</f>
        <v>1250913.8400000001</v>
      </c>
      <c r="C29" s="6">
        <f t="shared" si="4"/>
        <v>490.44</v>
      </c>
      <c r="D29" s="6">
        <f t="shared" si="4"/>
        <v>59999.77</v>
      </c>
      <c r="E29" s="6">
        <f t="shared" si="4"/>
        <v>2258848.96</v>
      </c>
      <c r="F29" s="6">
        <f t="shared" si="4"/>
        <v>43479.61</v>
      </c>
      <c r="G29" s="6">
        <f t="shared" si="4"/>
        <v>85483.85</v>
      </c>
      <c r="H29" s="6">
        <f t="shared" si="4"/>
        <v>48088.62</v>
      </c>
      <c r="I29" s="6">
        <f t="shared" si="4"/>
        <v>63508.22</v>
      </c>
      <c r="J29" s="6">
        <f t="shared" si="4"/>
        <v>477039.93</v>
      </c>
      <c r="K29" s="6">
        <f t="shared" si="4"/>
        <v>46189.27</v>
      </c>
      <c r="L29" s="6">
        <f t="shared" si="4"/>
        <v>69089.960000000006</v>
      </c>
      <c r="M29" s="6">
        <f t="shared" si="4"/>
        <v>466367.23</v>
      </c>
      <c r="N29" s="6">
        <f t="shared" si="4"/>
        <v>260961.56</v>
      </c>
      <c r="O29" s="6">
        <f t="shared" si="4"/>
        <v>406521.36</v>
      </c>
      <c r="P29" s="6">
        <f t="shared" si="4"/>
        <v>220386.07</v>
      </c>
      <c r="Q29" s="6">
        <f t="shared" si="4"/>
        <v>250905.77</v>
      </c>
      <c r="R29" s="6">
        <f t="shared" si="4"/>
        <v>57613.45</v>
      </c>
      <c r="S29" s="6">
        <f t="shared" si="4"/>
        <v>73458.75</v>
      </c>
      <c r="T29" s="6">
        <f t="shared" si="4"/>
        <v>211660.85</v>
      </c>
      <c r="U29" s="6">
        <f t="shared" si="4"/>
        <v>478784.75</v>
      </c>
      <c r="V29" s="6">
        <f t="shared" si="4"/>
        <v>197682.19</v>
      </c>
      <c r="W29" s="6">
        <f t="shared" si="4"/>
        <v>0</v>
      </c>
      <c r="X29" s="6">
        <f t="shared" si="4"/>
        <v>540814.37</v>
      </c>
      <c r="Y29" s="6">
        <f t="shared" si="4"/>
        <v>5134.42</v>
      </c>
      <c r="Z29" s="6">
        <f t="shared" si="4"/>
        <v>0</v>
      </c>
      <c r="AA29" s="6">
        <f t="shared" si="4"/>
        <v>4482.87</v>
      </c>
      <c r="AB29" s="6">
        <f t="shared" si="4"/>
        <v>0</v>
      </c>
      <c r="AC29" s="6">
        <f t="shared" si="4"/>
        <v>719201.3</v>
      </c>
      <c r="AD29" s="6">
        <f t="shared" si="4"/>
        <v>1609208.07</v>
      </c>
      <c r="AE29" s="6">
        <f t="shared" si="4"/>
        <v>88400</v>
      </c>
      <c r="AF29" s="6">
        <f t="shared" si="4"/>
        <v>0</v>
      </c>
      <c r="AG29" s="6">
        <f t="shared" si="0"/>
        <v>9994715.4799999986</v>
      </c>
    </row>
    <row r="30" spans="1:33" x14ac:dyDescent="0.25">
      <c r="A30" s="3" t="s">
        <v>56</v>
      </c>
      <c r="B30" s="6">
        <f t="shared" ref="B30:AF30" si="5">(B29)-(0)</f>
        <v>1250913.8400000001</v>
      </c>
      <c r="C30" s="6">
        <f t="shared" si="5"/>
        <v>490.44</v>
      </c>
      <c r="D30" s="6">
        <f t="shared" si="5"/>
        <v>59999.77</v>
      </c>
      <c r="E30" s="6">
        <f t="shared" si="5"/>
        <v>2258848.96</v>
      </c>
      <c r="F30" s="6">
        <f t="shared" si="5"/>
        <v>43479.61</v>
      </c>
      <c r="G30" s="6">
        <f t="shared" si="5"/>
        <v>85483.85</v>
      </c>
      <c r="H30" s="6">
        <f t="shared" si="5"/>
        <v>48088.62</v>
      </c>
      <c r="I30" s="6">
        <f t="shared" si="5"/>
        <v>63508.22</v>
      </c>
      <c r="J30" s="6">
        <f t="shared" si="5"/>
        <v>477039.93</v>
      </c>
      <c r="K30" s="6">
        <f t="shared" si="5"/>
        <v>46189.27</v>
      </c>
      <c r="L30" s="6">
        <f t="shared" si="5"/>
        <v>69089.960000000006</v>
      </c>
      <c r="M30" s="6">
        <f t="shared" si="5"/>
        <v>466367.23</v>
      </c>
      <c r="N30" s="6">
        <f t="shared" si="5"/>
        <v>260961.56</v>
      </c>
      <c r="O30" s="6">
        <f t="shared" si="5"/>
        <v>406521.36</v>
      </c>
      <c r="P30" s="6">
        <f t="shared" si="5"/>
        <v>220386.07</v>
      </c>
      <c r="Q30" s="6">
        <f t="shared" si="5"/>
        <v>250905.77</v>
      </c>
      <c r="R30" s="6">
        <f t="shared" si="5"/>
        <v>57613.45</v>
      </c>
      <c r="S30" s="6">
        <f t="shared" si="5"/>
        <v>73458.75</v>
      </c>
      <c r="T30" s="6">
        <f t="shared" si="5"/>
        <v>211660.85</v>
      </c>
      <c r="U30" s="6">
        <f t="shared" si="5"/>
        <v>478784.75</v>
      </c>
      <c r="V30" s="6">
        <f t="shared" si="5"/>
        <v>197682.19</v>
      </c>
      <c r="W30" s="6">
        <f t="shared" si="5"/>
        <v>0</v>
      </c>
      <c r="X30" s="6">
        <f t="shared" si="5"/>
        <v>540814.37</v>
      </c>
      <c r="Y30" s="6">
        <f t="shared" si="5"/>
        <v>5134.42</v>
      </c>
      <c r="Z30" s="6">
        <f t="shared" si="5"/>
        <v>0</v>
      </c>
      <c r="AA30" s="6">
        <f t="shared" si="5"/>
        <v>4482.87</v>
      </c>
      <c r="AB30" s="6">
        <f t="shared" si="5"/>
        <v>0</v>
      </c>
      <c r="AC30" s="6">
        <f t="shared" si="5"/>
        <v>719201.3</v>
      </c>
      <c r="AD30" s="6">
        <f t="shared" si="5"/>
        <v>1609208.07</v>
      </c>
      <c r="AE30" s="6">
        <f t="shared" si="5"/>
        <v>88400</v>
      </c>
      <c r="AF30" s="6">
        <f t="shared" si="5"/>
        <v>0</v>
      </c>
      <c r="AG30" s="6">
        <f t="shared" si="0"/>
        <v>9994715.4799999986</v>
      </c>
    </row>
    <row r="31" spans="1:33" x14ac:dyDescent="0.25">
      <c r="A31" s="3" t="s">
        <v>57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x14ac:dyDescent="0.25">
      <c r="A32" s="3" t="s">
        <v>58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5">
        <f t="shared" ref="AG32:AG63" si="6">((((((((((((((((((((((((((((((B32)+(C32))+(D32))+(E32))+(F32))+(G32))+(H32))+(I32))+(J32))+(K32))+(L32))+(M32))+(N32))+(O32))+(P32))+(Q32))+(R32))+(S32))+(T32))+(U32))+(V32))+(W32))+(X32))+(Y32))+(Z32))+(AA32))+(AB32))+(AC32))+(AD32))+(AE32))+(AF32)</f>
        <v>0</v>
      </c>
    </row>
    <row r="33" spans="1:33" x14ac:dyDescent="0.25">
      <c r="A33" s="3" t="s">
        <v>59</v>
      </c>
      <c r="B33" s="5">
        <f>166731.65</f>
        <v>166731.65</v>
      </c>
      <c r="C33" s="4"/>
      <c r="D33" s="5">
        <f>22785.59</f>
        <v>22785.59</v>
      </c>
      <c r="E33" s="5">
        <f>487412.28</f>
        <v>487412.28</v>
      </c>
      <c r="F33" s="5">
        <f>17996.36</f>
        <v>17996.36</v>
      </c>
      <c r="G33" s="5">
        <f>22643.42</f>
        <v>22643.42</v>
      </c>
      <c r="H33" s="5">
        <f>27670.2</f>
        <v>27670.2</v>
      </c>
      <c r="I33" s="4"/>
      <c r="J33" s="5">
        <f>8819.95</f>
        <v>8819.9500000000007</v>
      </c>
      <c r="K33" s="5">
        <f>-1971.79</f>
        <v>-1971.79</v>
      </c>
      <c r="L33" s="5">
        <f>31155</f>
        <v>31155</v>
      </c>
      <c r="M33" s="5">
        <f>444885.36</f>
        <v>444885.36</v>
      </c>
      <c r="N33" s="5">
        <f>49797.48</f>
        <v>49797.48</v>
      </c>
      <c r="O33" s="4"/>
      <c r="P33" s="4"/>
      <c r="Q33" s="5">
        <f>51499.92</f>
        <v>51499.92</v>
      </c>
      <c r="R33" s="5">
        <f>51094.44</f>
        <v>51094.44</v>
      </c>
      <c r="S33" s="5">
        <f>11656.86</f>
        <v>11656.86</v>
      </c>
      <c r="T33" s="5">
        <f>75370.92</f>
        <v>75370.92</v>
      </c>
      <c r="U33" s="5">
        <f>174859.75</f>
        <v>174859.75</v>
      </c>
      <c r="V33" s="5">
        <f>94761.17</f>
        <v>94761.17</v>
      </c>
      <c r="W33" s="4"/>
      <c r="X33" s="5">
        <f>128141.2</f>
        <v>128141.2</v>
      </c>
      <c r="Y33" s="5">
        <f>1456.32</f>
        <v>1456.32</v>
      </c>
      <c r="Z33" s="4"/>
      <c r="AA33" s="4"/>
      <c r="AB33" s="5">
        <f>10000</f>
        <v>10000</v>
      </c>
      <c r="AC33" s="5">
        <f>178579.22</f>
        <v>178579.22</v>
      </c>
      <c r="AD33" s="5">
        <f>234584.45</f>
        <v>234584.45</v>
      </c>
      <c r="AE33" s="5">
        <f>29360.4</f>
        <v>29360.400000000001</v>
      </c>
      <c r="AF33" s="5">
        <f>0</f>
        <v>0</v>
      </c>
      <c r="AG33" s="5">
        <f t="shared" si="6"/>
        <v>2319290.15</v>
      </c>
    </row>
    <row r="34" spans="1:33" x14ac:dyDescent="0.25">
      <c r="A34" s="3" t="s">
        <v>60</v>
      </c>
      <c r="B34" s="5">
        <f>164582.2</f>
        <v>164582.20000000001</v>
      </c>
      <c r="C34" s="4"/>
      <c r="D34" s="5">
        <f>9737.84</f>
        <v>9737.84</v>
      </c>
      <c r="E34" s="5">
        <f>147204.86</f>
        <v>147204.85999999999</v>
      </c>
      <c r="F34" s="4"/>
      <c r="G34" s="4"/>
      <c r="H34" s="4"/>
      <c r="I34" s="5">
        <f>45566.16</f>
        <v>45566.16</v>
      </c>
      <c r="J34" s="4"/>
      <c r="K34" s="4"/>
      <c r="L34" s="4"/>
      <c r="M34" s="5">
        <f>23175</f>
        <v>23175</v>
      </c>
      <c r="N34" s="5">
        <f>24819.48</f>
        <v>24819.48</v>
      </c>
      <c r="O34" s="5">
        <f>266076.32</f>
        <v>266076.32</v>
      </c>
      <c r="P34" s="5">
        <f>191800.08</f>
        <v>191800.08</v>
      </c>
      <c r="Q34" s="4"/>
      <c r="R34" s="4"/>
      <c r="S34" s="4"/>
      <c r="T34" s="5">
        <f>11186.24</f>
        <v>11186.24</v>
      </c>
      <c r="U34" s="5">
        <f>22372.48</f>
        <v>22372.48</v>
      </c>
      <c r="V34" s="4"/>
      <c r="W34" s="4"/>
      <c r="X34" s="5">
        <f>11298.75</f>
        <v>11298.75</v>
      </c>
      <c r="Y34" s="4"/>
      <c r="Z34" s="4"/>
      <c r="AA34" s="4"/>
      <c r="AB34" s="4"/>
      <c r="AC34" s="5">
        <f>19475.68</f>
        <v>19475.68</v>
      </c>
      <c r="AD34" s="5">
        <f>26192.09</f>
        <v>26192.09</v>
      </c>
      <c r="AE34" s="4"/>
      <c r="AF34" s="4"/>
      <c r="AG34" s="5">
        <f t="shared" si="6"/>
        <v>963487.18</v>
      </c>
    </row>
    <row r="35" spans="1:33" x14ac:dyDescent="0.25">
      <c r="A35" s="3" t="s">
        <v>61</v>
      </c>
      <c r="B35" s="6">
        <f t="shared" ref="B35:AF35" si="7">((B32)+(B33))+(B34)</f>
        <v>331313.84999999998</v>
      </c>
      <c r="C35" s="6">
        <f t="shared" si="7"/>
        <v>0</v>
      </c>
      <c r="D35" s="6">
        <f t="shared" si="7"/>
        <v>32523.43</v>
      </c>
      <c r="E35" s="6">
        <f t="shared" si="7"/>
        <v>634617.14</v>
      </c>
      <c r="F35" s="6">
        <f t="shared" si="7"/>
        <v>17996.36</v>
      </c>
      <c r="G35" s="6">
        <f t="shared" si="7"/>
        <v>22643.42</v>
      </c>
      <c r="H35" s="6">
        <f t="shared" si="7"/>
        <v>27670.2</v>
      </c>
      <c r="I35" s="6">
        <f t="shared" si="7"/>
        <v>45566.16</v>
      </c>
      <c r="J35" s="6">
        <f t="shared" si="7"/>
        <v>8819.9500000000007</v>
      </c>
      <c r="K35" s="6">
        <f t="shared" si="7"/>
        <v>-1971.79</v>
      </c>
      <c r="L35" s="6">
        <f t="shared" si="7"/>
        <v>31155</v>
      </c>
      <c r="M35" s="6">
        <f t="shared" si="7"/>
        <v>468060.36</v>
      </c>
      <c r="N35" s="6">
        <f t="shared" si="7"/>
        <v>74616.960000000006</v>
      </c>
      <c r="O35" s="6">
        <f t="shared" si="7"/>
        <v>266076.32</v>
      </c>
      <c r="P35" s="6">
        <f t="shared" si="7"/>
        <v>191800.08</v>
      </c>
      <c r="Q35" s="6">
        <f t="shared" si="7"/>
        <v>51499.92</v>
      </c>
      <c r="R35" s="6">
        <f t="shared" si="7"/>
        <v>51094.44</v>
      </c>
      <c r="S35" s="6">
        <f t="shared" si="7"/>
        <v>11656.86</v>
      </c>
      <c r="T35" s="6">
        <f t="shared" si="7"/>
        <v>86557.16</v>
      </c>
      <c r="U35" s="6">
        <f t="shared" si="7"/>
        <v>197232.23</v>
      </c>
      <c r="V35" s="6">
        <f t="shared" si="7"/>
        <v>94761.17</v>
      </c>
      <c r="W35" s="6">
        <f t="shared" si="7"/>
        <v>0</v>
      </c>
      <c r="X35" s="6">
        <f t="shared" si="7"/>
        <v>139439.95000000001</v>
      </c>
      <c r="Y35" s="6">
        <f t="shared" si="7"/>
        <v>1456.32</v>
      </c>
      <c r="Z35" s="6">
        <f t="shared" si="7"/>
        <v>0</v>
      </c>
      <c r="AA35" s="6">
        <f t="shared" si="7"/>
        <v>0</v>
      </c>
      <c r="AB35" s="6">
        <f t="shared" si="7"/>
        <v>10000</v>
      </c>
      <c r="AC35" s="6">
        <f t="shared" si="7"/>
        <v>198054.9</v>
      </c>
      <c r="AD35" s="6">
        <f t="shared" si="7"/>
        <v>260776.54</v>
      </c>
      <c r="AE35" s="6">
        <f t="shared" si="7"/>
        <v>29360.400000000001</v>
      </c>
      <c r="AF35" s="6">
        <f t="shared" si="7"/>
        <v>0</v>
      </c>
      <c r="AG35" s="6">
        <f t="shared" si="6"/>
        <v>3282777.3299999991</v>
      </c>
    </row>
    <row r="36" spans="1:33" x14ac:dyDescent="0.25">
      <c r="A36" s="3" t="s">
        <v>62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5">
        <f t="shared" si="6"/>
        <v>0</v>
      </c>
    </row>
    <row r="37" spans="1:33" x14ac:dyDescent="0.25">
      <c r="A37" s="3" t="s">
        <v>63</v>
      </c>
      <c r="B37" s="4"/>
      <c r="C37" s="4"/>
      <c r="D37" s="5">
        <f>4.95</f>
        <v>4.95</v>
      </c>
      <c r="E37" s="4"/>
      <c r="F37" s="5">
        <f>2.09</f>
        <v>2.09</v>
      </c>
      <c r="G37" s="5">
        <f>3.84</f>
        <v>3.84</v>
      </c>
      <c r="H37" s="4"/>
      <c r="I37" s="4"/>
      <c r="J37" s="4"/>
      <c r="K37" s="5">
        <f>-0.27</f>
        <v>-0.27</v>
      </c>
      <c r="L37" s="4"/>
      <c r="M37" s="4"/>
      <c r="N37" s="5">
        <f>11.81</f>
        <v>11.81</v>
      </c>
      <c r="O37" s="5">
        <f>28.68</f>
        <v>28.68</v>
      </c>
      <c r="P37" s="4"/>
      <c r="Q37" s="5">
        <f>7.5</f>
        <v>7.5</v>
      </c>
      <c r="R37" s="4"/>
      <c r="S37" s="4"/>
      <c r="T37" s="5">
        <f>11.32</f>
        <v>11.32</v>
      </c>
      <c r="U37" s="5">
        <f>25.71</f>
        <v>25.71</v>
      </c>
      <c r="V37" s="5">
        <f>11.98</f>
        <v>11.98</v>
      </c>
      <c r="W37" s="4"/>
      <c r="X37" s="5">
        <f>14.13</f>
        <v>14.13</v>
      </c>
      <c r="Y37" s="5">
        <f>0.3</f>
        <v>0.3</v>
      </c>
      <c r="Z37" s="4"/>
      <c r="AA37" s="4"/>
      <c r="AB37" s="4"/>
      <c r="AC37" s="5">
        <f>27.98</f>
        <v>27.98</v>
      </c>
      <c r="AD37" s="5">
        <f>40.24</f>
        <v>40.24</v>
      </c>
      <c r="AE37" s="5">
        <f>4</f>
        <v>4</v>
      </c>
      <c r="AF37" s="4"/>
      <c r="AG37" s="5">
        <f t="shared" si="6"/>
        <v>194.26</v>
      </c>
    </row>
    <row r="38" spans="1:33" x14ac:dyDescent="0.25">
      <c r="A38" s="3" t="s">
        <v>64</v>
      </c>
      <c r="B38" s="5">
        <f>1750</f>
        <v>1750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5">
        <f t="shared" si="6"/>
        <v>1750</v>
      </c>
    </row>
    <row r="39" spans="1:33" x14ac:dyDescent="0.25">
      <c r="A39" s="3" t="s">
        <v>65</v>
      </c>
      <c r="B39" s="5">
        <f>9780.91</f>
        <v>9780.91</v>
      </c>
      <c r="C39" s="4"/>
      <c r="D39" s="5">
        <f>515.13</f>
        <v>515.13</v>
      </c>
      <c r="E39" s="5">
        <f>8738.88</f>
        <v>8738.8799999999992</v>
      </c>
      <c r="F39" s="4"/>
      <c r="G39" s="4"/>
      <c r="H39" s="4"/>
      <c r="I39" s="5">
        <f>2711.28</f>
        <v>2711.28</v>
      </c>
      <c r="J39" s="4"/>
      <c r="K39" s="4"/>
      <c r="L39" s="4"/>
      <c r="M39" s="5">
        <f>1373.28</f>
        <v>1373.28</v>
      </c>
      <c r="N39" s="5">
        <f>1486.08</f>
        <v>1486.08</v>
      </c>
      <c r="O39" s="5">
        <f>16100.09</f>
        <v>16100.09</v>
      </c>
      <c r="P39" s="5">
        <f>11265.59</f>
        <v>11265.59</v>
      </c>
      <c r="Q39" s="4"/>
      <c r="R39" s="4"/>
      <c r="S39" s="4"/>
      <c r="T39" s="5">
        <f>679.25</f>
        <v>679.25</v>
      </c>
      <c r="U39" s="5">
        <f>1358.49</f>
        <v>1358.49</v>
      </c>
      <c r="V39" s="4"/>
      <c r="W39" s="4"/>
      <c r="X39" s="5">
        <f>657.55</f>
        <v>657.55</v>
      </c>
      <c r="Y39" s="4"/>
      <c r="Z39" s="4"/>
      <c r="AA39" s="4"/>
      <c r="AB39" s="4"/>
      <c r="AC39" s="5">
        <f>1030.25</f>
        <v>1030.25</v>
      </c>
      <c r="AD39" s="5">
        <f>1573.86</f>
        <v>1573.86</v>
      </c>
      <c r="AE39" s="4"/>
      <c r="AF39" s="4"/>
      <c r="AG39" s="5">
        <f t="shared" si="6"/>
        <v>57270.639999999992</v>
      </c>
    </row>
    <row r="40" spans="1:33" x14ac:dyDescent="0.25">
      <c r="A40" s="3" t="s">
        <v>66</v>
      </c>
      <c r="B40" s="5">
        <f>4777.43</f>
        <v>4777.43</v>
      </c>
      <c r="C40" s="4"/>
      <c r="D40" s="5">
        <f>435.26</f>
        <v>435.26</v>
      </c>
      <c r="E40" s="5">
        <f>8800.67</f>
        <v>8800.67</v>
      </c>
      <c r="F40" s="5">
        <f>260.05</f>
        <v>260.05</v>
      </c>
      <c r="G40" s="5">
        <f>364.5</f>
        <v>364.5</v>
      </c>
      <c r="H40" s="5">
        <f>356.48</f>
        <v>356.48</v>
      </c>
      <c r="I40" s="5">
        <f>634.08</f>
        <v>634.08000000000004</v>
      </c>
      <c r="J40" s="4"/>
      <c r="K40" s="5">
        <f>-26.87</f>
        <v>-26.87</v>
      </c>
      <c r="L40" s="5">
        <f>444.72</f>
        <v>444.72</v>
      </c>
      <c r="M40" s="5">
        <f>6517.5</f>
        <v>6517.5</v>
      </c>
      <c r="N40" s="5">
        <f>1021.29</f>
        <v>1021.29</v>
      </c>
      <c r="O40" s="5">
        <f>3765.39</f>
        <v>3765.39</v>
      </c>
      <c r="P40" s="5">
        <f>2634.68</f>
        <v>2634.68</v>
      </c>
      <c r="Q40" s="5">
        <f>724.2</f>
        <v>724.2</v>
      </c>
      <c r="R40" s="5">
        <f>717.96</f>
        <v>717.96</v>
      </c>
      <c r="S40" s="5">
        <f>169.02</f>
        <v>169.02</v>
      </c>
      <c r="T40" s="5">
        <f>1205.38</f>
        <v>1205.3800000000001</v>
      </c>
      <c r="U40" s="5">
        <f>2748.27</f>
        <v>2748.27</v>
      </c>
      <c r="V40" s="5">
        <f>1313.11</f>
        <v>1313.11</v>
      </c>
      <c r="W40" s="4"/>
      <c r="X40" s="5">
        <f>1961.83</f>
        <v>1961.83</v>
      </c>
      <c r="Y40" s="5">
        <f>18.76</f>
        <v>18.760000000000002</v>
      </c>
      <c r="Z40" s="4"/>
      <c r="AA40" s="4"/>
      <c r="AB40" s="4"/>
      <c r="AC40" s="5">
        <f>2725.48</f>
        <v>2725.48</v>
      </c>
      <c r="AD40" s="5">
        <f>3663.2</f>
        <v>3663.2</v>
      </c>
      <c r="AE40" s="5">
        <f>419.76</f>
        <v>419.76</v>
      </c>
      <c r="AF40" s="5">
        <f>0</f>
        <v>0</v>
      </c>
      <c r="AG40" s="5">
        <f t="shared" si="6"/>
        <v>45652.15</v>
      </c>
    </row>
    <row r="41" spans="1:33" x14ac:dyDescent="0.25">
      <c r="A41" s="3" t="s">
        <v>67</v>
      </c>
      <c r="B41" s="5">
        <f>7029.14</f>
        <v>7029.14</v>
      </c>
      <c r="C41" s="4"/>
      <c r="D41" s="5">
        <f>3705.93</f>
        <v>3705.93</v>
      </c>
      <c r="E41" s="5">
        <f>14997.11</f>
        <v>14997.11</v>
      </c>
      <c r="F41" s="5">
        <f>3033.26</f>
        <v>3033.26</v>
      </c>
      <c r="G41" s="5">
        <f>4247.94</f>
        <v>4247.9399999999996</v>
      </c>
      <c r="H41" s="5">
        <f>1004.72</f>
        <v>1004.72</v>
      </c>
      <c r="I41" s="4"/>
      <c r="J41" s="4"/>
      <c r="K41" s="5">
        <f>-317.56</f>
        <v>-317.56</v>
      </c>
      <c r="L41" s="5">
        <f>934.68</f>
        <v>934.68</v>
      </c>
      <c r="M41" s="5">
        <f>13468.77</f>
        <v>13468.77</v>
      </c>
      <c r="N41" s="5">
        <f>7886.64</f>
        <v>7886.64</v>
      </c>
      <c r="O41" s="4"/>
      <c r="P41" s="4"/>
      <c r="Q41" s="5">
        <f>6944.28</f>
        <v>6944.28</v>
      </c>
      <c r="R41" s="5">
        <f>1532.88</f>
        <v>1532.88</v>
      </c>
      <c r="S41" s="5">
        <f>1602.84</f>
        <v>1602.84</v>
      </c>
      <c r="T41" s="5">
        <f>12138.48</f>
        <v>12138.48</v>
      </c>
      <c r="U41" s="5">
        <f>27886.65</f>
        <v>27886.65</v>
      </c>
      <c r="V41" s="5">
        <f>14898.49</f>
        <v>14898.49</v>
      </c>
      <c r="W41" s="4"/>
      <c r="X41" s="5">
        <f>20598.04</f>
        <v>20598.04</v>
      </c>
      <c r="Y41" s="5">
        <f>74.52</f>
        <v>74.52</v>
      </c>
      <c r="Z41" s="4"/>
      <c r="AA41" s="4"/>
      <c r="AB41" s="4"/>
      <c r="AC41" s="5">
        <f>29222.65</f>
        <v>29222.65</v>
      </c>
      <c r="AD41" s="5">
        <f>38430.64</f>
        <v>38430.639999999999</v>
      </c>
      <c r="AE41" s="5">
        <f>4037.04</f>
        <v>4037.04</v>
      </c>
      <c r="AF41" s="5">
        <f>0</f>
        <v>0</v>
      </c>
      <c r="AG41" s="5">
        <f t="shared" si="6"/>
        <v>213357.13999999998</v>
      </c>
    </row>
    <row r="42" spans="1:33" x14ac:dyDescent="0.25">
      <c r="A42" s="3" t="s">
        <v>68</v>
      </c>
      <c r="B42" s="5">
        <f>32446.43</f>
        <v>32446.43</v>
      </c>
      <c r="C42" s="4"/>
      <c r="D42" s="5">
        <f>1919.32</f>
        <v>1919.32</v>
      </c>
      <c r="E42" s="5">
        <f>29014.17</f>
        <v>29014.17</v>
      </c>
      <c r="F42" s="4"/>
      <c r="G42" s="4"/>
      <c r="H42" s="4"/>
      <c r="I42" s="5">
        <f>8981.05</f>
        <v>8981.0499999999993</v>
      </c>
      <c r="J42" s="4"/>
      <c r="K42" s="4"/>
      <c r="L42" s="4"/>
      <c r="M42" s="5">
        <f>4567.8</f>
        <v>4567.8</v>
      </c>
      <c r="N42" s="5">
        <f>4891.93</f>
        <v>4891.93</v>
      </c>
      <c r="O42" s="5">
        <f>48886.51</f>
        <v>48886.51</v>
      </c>
      <c r="P42" s="5">
        <f>37803.64</f>
        <v>37803.64</v>
      </c>
      <c r="Q42" s="4"/>
      <c r="R42" s="4"/>
      <c r="S42" s="4"/>
      <c r="T42" s="5">
        <f>1443.72</f>
        <v>1443.72</v>
      </c>
      <c r="U42" s="5">
        <f>2887.44</f>
        <v>2887.44</v>
      </c>
      <c r="V42" s="4"/>
      <c r="W42" s="4"/>
      <c r="X42" s="5">
        <f>2226.99</f>
        <v>2226.9899999999998</v>
      </c>
      <c r="Y42" s="4"/>
      <c r="Z42" s="4"/>
      <c r="AA42" s="4"/>
      <c r="AB42" s="4"/>
      <c r="AC42" s="5">
        <f>3838.64</f>
        <v>3838.64</v>
      </c>
      <c r="AD42" s="5">
        <f>5155.35</f>
        <v>5155.3500000000004</v>
      </c>
      <c r="AE42" s="4"/>
      <c r="AF42" s="4"/>
      <c r="AG42" s="5">
        <f t="shared" si="6"/>
        <v>184062.99000000005</v>
      </c>
    </row>
    <row r="43" spans="1:33" x14ac:dyDescent="0.25">
      <c r="A43" s="3" t="s">
        <v>69</v>
      </c>
      <c r="B43" s="4"/>
      <c r="C43" s="4"/>
      <c r="D43" s="5">
        <f>6181.33</f>
        <v>6181.33</v>
      </c>
      <c r="E43" s="4"/>
      <c r="F43" s="5">
        <f>1650.03</f>
        <v>1650.03</v>
      </c>
      <c r="G43" s="5">
        <f>1349.7</f>
        <v>1349.7</v>
      </c>
      <c r="H43" s="4"/>
      <c r="I43" s="4"/>
      <c r="J43" s="4"/>
      <c r="K43" s="5">
        <f>-302.37</f>
        <v>-302.37</v>
      </c>
      <c r="L43" s="4"/>
      <c r="M43" s="4"/>
      <c r="N43" s="5">
        <f>14782.43</f>
        <v>14782.43</v>
      </c>
      <c r="O43" s="5">
        <f>27709.06</f>
        <v>27709.06</v>
      </c>
      <c r="P43" s="4"/>
      <c r="Q43" s="5">
        <f>8798.88</f>
        <v>8798.8799999999992</v>
      </c>
      <c r="R43" s="4"/>
      <c r="S43" s="4"/>
      <c r="T43" s="5">
        <f>12805.22</f>
        <v>12805.22</v>
      </c>
      <c r="U43" s="5">
        <f>28925.38</f>
        <v>28925.38</v>
      </c>
      <c r="V43" s="5">
        <f>9778.81</f>
        <v>9778.81</v>
      </c>
      <c r="W43" s="4"/>
      <c r="X43" s="5">
        <f>13002.82</f>
        <v>13002.82</v>
      </c>
      <c r="Y43" s="5">
        <f>503.76</f>
        <v>503.76</v>
      </c>
      <c r="Z43" s="4"/>
      <c r="AA43" s="4"/>
      <c r="AB43" s="4"/>
      <c r="AC43" s="5">
        <f>31564.74</f>
        <v>31564.74</v>
      </c>
      <c r="AD43" s="5">
        <f>27942.27</f>
        <v>27942.27</v>
      </c>
      <c r="AE43" s="5">
        <f>3509.2</f>
        <v>3509.2</v>
      </c>
      <c r="AF43" s="4"/>
      <c r="AG43" s="5">
        <f t="shared" si="6"/>
        <v>188201.26</v>
      </c>
    </row>
    <row r="44" spans="1:33" x14ac:dyDescent="0.25">
      <c r="A44" s="3" t="s">
        <v>70</v>
      </c>
      <c r="B44" s="5">
        <f>-4084.51</f>
        <v>-4084.51</v>
      </c>
      <c r="C44" s="4"/>
      <c r="D44" s="4"/>
      <c r="E44" s="5">
        <f>467.82</f>
        <v>467.82</v>
      </c>
      <c r="F44" s="4"/>
      <c r="G44" s="4"/>
      <c r="H44" s="4"/>
      <c r="I44" s="4"/>
      <c r="J44" s="4"/>
      <c r="K44" s="4"/>
      <c r="L44" s="4"/>
      <c r="M44" s="5">
        <f>180</f>
        <v>180</v>
      </c>
      <c r="N44" s="4"/>
      <c r="O44" s="5">
        <f>180</f>
        <v>180</v>
      </c>
      <c r="P44" s="5">
        <f>86.68</f>
        <v>86.68</v>
      </c>
      <c r="Q44" s="4"/>
      <c r="R44" s="4"/>
      <c r="S44" s="4"/>
      <c r="T44" s="5">
        <f>4.39</f>
        <v>4.3899999999999997</v>
      </c>
      <c r="U44" s="5">
        <f>60</f>
        <v>60</v>
      </c>
      <c r="V44" s="4"/>
      <c r="W44" s="4"/>
      <c r="X44" s="4"/>
      <c r="Y44" s="4"/>
      <c r="Z44" s="4"/>
      <c r="AA44" s="4"/>
      <c r="AB44" s="4"/>
      <c r="AC44" s="5">
        <f>60</f>
        <v>60</v>
      </c>
      <c r="AD44" s="5">
        <f>9.07</f>
        <v>9.07</v>
      </c>
      <c r="AE44" s="5">
        <f>60</f>
        <v>60</v>
      </c>
      <c r="AF44" s="4"/>
      <c r="AG44" s="5">
        <f t="shared" si="6"/>
        <v>-2976.55</v>
      </c>
    </row>
    <row r="45" spans="1:33" x14ac:dyDescent="0.25">
      <c r="A45" s="3" t="s">
        <v>71</v>
      </c>
      <c r="B45" s="5">
        <f>55738.29</f>
        <v>55738.29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5">
        <f t="shared" si="6"/>
        <v>55738.29</v>
      </c>
    </row>
    <row r="46" spans="1:33" x14ac:dyDescent="0.25">
      <c r="A46" s="3" t="s">
        <v>72</v>
      </c>
      <c r="B46" s="4"/>
      <c r="C46" s="4"/>
      <c r="D46" s="5">
        <f>650.47</f>
        <v>650.47</v>
      </c>
      <c r="E46" s="5">
        <f>6346.17</f>
        <v>6346.17</v>
      </c>
      <c r="F46" s="5">
        <f>359.92</f>
        <v>359.92</v>
      </c>
      <c r="G46" s="4"/>
      <c r="H46" s="5">
        <f>553.42</f>
        <v>553.41999999999996</v>
      </c>
      <c r="I46" s="5">
        <f>911.34</f>
        <v>911.34</v>
      </c>
      <c r="J46" s="4"/>
      <c r="K46" s="4"/>
      <c r="L46" s="5">
        <f>311.58</f>
        <v>311.58</v>
      </c>
      <c r="M46" s="5">
        <f>9361.23</f>
        <v>9361.23</v>
      </c>
      <c r="N46" s="5">
        <f>1492.33</f>
        <v>1492.33</v>
      </c>
      <c r="O46" s="4"/>
      <c r="P46" s="5">
        <f>3835.99</f>
        <v>3835.99</v>
      </c>
      <c r="Q46" s="5">
        <f>1030.02</f>
        <v>1030.02</v>
      </c>
      <c r="R46" s="4"/>
      <c r="S46" s="4"/>
      <c r="T46" s="4"/>
      <c r="U46" s="4"/>
      <c r="V46" s="5">
        <f>1895.2</f>
        <v>1895.2</v>
      </c>
      <c r="W46" s="4"/>
      <c r="X46" s="5">
        <f>2097.01</f>
        <v>2097.0100000000002</v>
      </c>
      <c r="Y46" s="4"/>
      <c r="Z46" s="4"/>
      <c r="AA46" s="4"/>
      <c r="AB46" s="4"/>
      <c r="AC46" s="5">
        <f>3955.91</f>
        <v>3955.91</v>
      </c>
      <c r="AD46" s="5">
        <f>5215.53</f>
        <v>5215.53</v>
      </c>
      <c r="AE46" s="4"/>
      <c r="AF46" s="4"/>
      <c r="AG46" s="5">
        <f t="shared" si="6"/>
        <v>38016.119999999995</v>
      </c>
    </row>
    <row r="47" spans="1:33" x14ac:dyDescent="0.25">
      <c r="A47" s="3" t="s">
        <v>73</v>
      </c>
      <c r="B47" s="4"/>
      <c r="C47" s="4"/>
      <c r="D47" s="5">
        <f>39.6</f>
        <v>39.6</v>
      </c>
      <c r="E47" s="4"/>
      <c r="F47" s="5">
        <f>16.72</f>
        <v>16.72</v>
      </c>
      <c r="G47" s="5">
        <f>30.72</f>
        <v>30.72</v>
      </c>
      <c r="H47" s="4"/>
      <c r="I47" s="4"/>
      <c r="J47" s="4"/>
      <c r="K47" s="5">
        <f>-2.16</f>
        <v>-2.16</v>
      </c>
      <c r="L47" s="4"/>
      <c r="M47" s="4"/>
      <c r="N47" s="5">
        <f>94.48</f>
        <v>94.48</v>
      </c>
      <c r="O47" s="5">
        <f>229.44</f>
        <v>229.44</v>
      </c>
      <c r="P47" s="4"/>
      <c r="Q47" s="5">
        <f>60</f>
        <v>60</v>
      </c>
      <c r="R47" s="4"/>
      <c r="S47" s="4"/>
      <c r="T47" s="5">
        <f>90.56</f>
        <v>90.56</v>
      </c>
      <c r="U47" s="5">
        <f>205.68</f>
        <v>205.68</v>
      </c>
      <c r="V47" s="5">
        <f>95.84</f>
        <v>95.84</v>
      </c>
      <c r="W47" s="4"/>
      <c r="X47" s="5">
        <f>113.04</f>
        <v>113.04</v>
      </c>
      <c r="Y47" s="5">
        <f>2.4</f>
        <v>2.4</v>
      </c>
      <c r="Z47" s="4"/>
      <c r="AA47" s="4"/>
      <c r="AB47" s="4"/>
      <c r="AC47" s="5">
        <f>223.76</f>
        <v>223.76</v>
      </c>
      <c r="AD47" s="5">
        <f>321.84</f>
        <v>321.83999999999997</v>
      </c>
      <c r="AE47" s="5">
        <f>32</f>
        <v>32</v>
      </c>
      <c r="AF47" s="4"/>
      <c r="AG47" s="5">
        <f t="shared" si="6"/>
        <v>1553.9199999999998</v>
      </c>
    </row>
    <row r="48" spans="1:33" x14ac:dyDescent="0.25">
      <c r="A48" s="3" t="s">
        <v>74</v>
      </c>
      <c r="B48" s="6">
        <f t="shared" ref="B48:AF48" si="8">(((((((((((B36)+(B37))+(B38))+(B39))+(B40))+(B41))+(B42))+(B43))+(B44))+(B45))+(B46))+(B47)</f>
        <v>107437.69</v>
      </c>
      <c r="C48" s="6">
        <f t="shared" si="8"/>
        <v>0</v>
      </c>
      <c r="D48" s="6">
        <f t="shared" si="8"/>
        <v>13451.989999999998</v>
      </c>
      <c r="E48" s="6">
        <f t="shared" si="8"/>
        <v>68364.820000000007</v>
      </c>
      <c r="F48" s="6">
        <f t="shared" si="8"/>
        <v>5322.0700000000006</v>
      </c>
      <c r="G48" s="6">
        <f t="shared" si="8"/>
        <v>5996.7</v>
      </c>
      <c r="H48" s="6">
        <f t="shared" si="8"/>
        <v>1914.62</v>
      </c>
      <c r="I48" s="6">
        <f t="shared" si="8"/>
        <v>13237.75</v>
      </c>
      <c r="J48" s="6">
        <f t="shared" si="8"/>
        <v>0</v>
      </c>
      <c r="K48" s="6">
        <f t="shared" si="8"/>
        <v>-649.2299999999999</v>
      </c>
      <c r="L48" s="6">
        <f t="shared" si="8"/>
        <v>1690.98</v>
      </c>
      <c r="M48" s="6">
        <f t="shared" si="8"/>
        <v>35468.58</v>
      </c>
      <c r="N48" s="6">
        <f t="shared" si="8"/>
        <v>31666.99</v>
      </c>
      <c r="O48" s="6">
        <f t="shared" si="8"/>
        <v>96899.17</v>
      </c>
      <c r="P48" s="6">
        <f t="shared" si="8"/>
        <v>55626.58</v>
      </c>
      <c r="Q48" s="6">
        <f t="shared" si="8"/>
        <v>17564.88</v>
      </c>
      <c r="R48" s="6">
        <f t="shared" si="8"/>
        <v>2250.84</v>
      </c>
      <c r="S48" s="6">
        <f t="shared" si="8"/>
        <v>1771.86</v>
      </c>
      <c r="T48" s="6">
        <f t="shared" si="8"/>
        <v>28378.32</v>
      </c>
      <c r="U48" s="6">
        <f t="shared" si="8"/>
        <v>64097.62</v>
      </c>
      <c r="V48" s="6">
        <f t="shared" si="8"/>
        <v>27993.43</v>
      </c>
      <c r="W48" s="6">
        <f t="shared" si="8"/>
        <v>0</v>
      </c>
      <c r="X48" s="6">
        <f t="shared" si="8"/>
        <v>40671.410000000003</v>
      </c>
      <c r="Y48" s="6">
        <f t="shared" si="8"/>
        <v>599.74</v>
      </c>
      <c r="Z48" s="6">
        <f t="shared" si="8"/>
        <v>0</v>
      </c>
      <c r="AA48" s="6">
        <f t="shared" si="8"/>
        <v>0</v>
      </c>
      <c r="AB48" s="6">
        <f t="shared" si="8"/>
        <v>0</v>
      </c>
      <c r="AC48" s="6">
        <f t="shared" si="8"/>
        <v>72649.41</v>
      </c>
      <c r="AD48" s="6">
        <f t="shared" si="8"/>
        <v>82352</v>
      </c>
      <c r="AE48" s="6">
        <f t="shared" si="8"/>
        <v>8062</v>
      </c>
      <c r="AF48" s="6">
        <f t="shared" si="8"/>
        <v>0</v>
      </c>
      <c r="AG48" s="6">
        <f t="shared" si="6"/>
        <v>782820.2200000002</v>
      </c>
    </row>
    <row r="49" spans="1:33" x14ac:dyDescent="0.25">
      <c r="A49" s="3" t="s">
        <v>75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5">
        <f t="shared" si="6"/>
        <v>0</v>
      </c>
    </row>
    <row r="50" spans="1:33" x14ac:dyDescent="0.25">
      <c r="A50" s="3" t="s">
        <v>76</v>
      </c>
      <c r="B50" s="5">
        <f>20599.02</f>
        <v>20599.02</v>
      </c>
      <c r="C50" s="4"/>
      <c r="D50" s="4"/>
      <c r="E50" s="5">
        <f>1383.77</f>
        <v>1383.77</v>
      </c>
      <c r="F50" s="4"/>
      <c r="G50" s="5">
        <f>3297.84</f>
        <v>3297.84</v>
      </c>
      <c r="H50" s="4"/>
      <c r="I50" s="4"/>
      <c r="J50" s="5">
        <f>10</f>
        <v>10</v>
      </c>
      <c r="K50" s="4"/>
      <c r="L50" s="4"/>
      <c r="M50" s="5">
        <f>73.25</f>
        <v>73.25</v>
      </c>
      <c r="N50" s="4"/>
      <c r="O50" s="5">
        <f>-10</f>
        <v>-10</v>
      </c>
      <c r="P50" s="5">
        <f>126.5</f>
        <v>126.5</v>
      </c>
      <c r="Q50" s="4"/>
      <c r="R50" s="4"/>
      <c r="S50" s="5">
        <f>800</f>
        <v>800</v>
      </c>
      <c r="T50" s="5">
        <f>712.2</f>
        <v>712.2</v>
      </c>
      <c r="U50" s="5">
        <f>4991.8</f>
        <v>4991.8</v>
      </c>
      <c r="V50" s="4"/>
      <c r="W50" s="4"/>
      <c r="X50" s="5">
        <f>0</f>
        <v>0</v>
      </c>
      <c r="Y50" s="4"/>
      <c r="Z50" s="4"/>
      <c r="AA50" s="4"/>
      <c r="AB50" s="4"/>
      <c r="AC50" s="5">
        <f>159.9</f>
        <v>159.9</v>
      </c>
      <c r="AD50" s="5">
        <f>9800</f>
        <v>9800</v>
      </c>
      <c r="AE50" s="4"/>
      <c r="AF50" s="4"/>
      <c r="AG50" s="5">
        <f t="shared" si="6"/>
        <v>41944.28</v>
      </c>
    </row>
    <row r="51" spans="1:33" x14ac:dyDescent="0.25">
      <c r="A51" s="3" t="s">
        <v>77</v>
      </c>
      <c r="B51" s="5">
        <f>25300</f>
        <v>25300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5">
        <f t="shared" si="6"/>
        <v>25300</v>
      </c>
    </row>
    <row r="52" spans="1:33" x14ac:dyDescent="0.25">
      <c r="A52" s="3" t="s">
        <v>78</v>
      </c>
      <c r="B52" s="5">
        <f>5284.98</f>
        <v>5284.98</v>
      </c>
      <c r="C52" s="4"/>
      <c r="D52" s="4"/>
      <c r="E52" s="5">
        <f>4152.48</f>
        <v>4152.4799999999996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5">
        <f t="shared" si="6"/>
        <v>9437.4599999999991</v>
      </c>
    </row>
    <row r="53" spans="1:33" x14ac:dyDescent="0.25">
      <c r="A53" s="3" t="s">
        <v>79</v>
      </c>
      <c r="B53" s="5">
        <f>11303.73</f>
        <v>11303.73</v>
      </c>
      <c r="C53" s="4"/>
      <c r="D53" s="5">
        <f>78.28</f>
        <v>78.28</v>
      </c>
      <c r="E53" s="5">
        <f>6342.6</f>
        <v>6342.6</v>
      </c>
      <c r="F53" s="4"/>
      <c r="G53" s="5">
        <f>57.87</f>
        <v>57.87</v>
      </c>
      <c r="H53" s="5">
        <f>115.32</f>
        <v>115.32</v>
      </c>
      <c r="I53" s="4"/>
      <c r="J53" s="4"/>
      <c r="K53" s="4"/>
      <c r="L53" s="5">
        <f>115.32</f>
        <v>115.32</v>
      </c>
      <c r="M53" s="4"/>
      <c r="N53" s="5">
        <f>211.49</f>
        <v>211.49</v>
      </c>
      <c r="O53" s="4"/>
      <c r="P53" s="4"/>
      <c r="Q53" s="4"/>
      <c r="R53" s="4"/>
      <c r="S53" s="5">
        <f>38.3</f>
        <v>38.299999999999997</v>
      </c>
      <c r="T53" s="5">
        <f>1519.56</f>
        <v>1519.56</v>
      </c>
      <c r="U53" s="5">
        <f>2497.9</f>
        <v>2497.9</v>
      </c>
      <c r="V53" s="5">
        <f>230.64</f>
        <v>230.64</v>
      </c>
      <c r="W53" s="4"/>
      <c r="X53" s="5">
        <f>211.91</f>
        <v>211.91</v>
      </c>
      <c r="Y53" s="4"/>
      <c r="Z53" s="4"/>
      <c r="AA53" s="4"/>
      <c r="AB53" s="4"/>
      <c r="AC53" s="5">
        <f>422.14</f>
        <v>422.14</v>
      </c>
      <c r="AD53" s="5">
        <f>652.78</f>
        <v>652.78</v>
      </c>
      <c r="AE53" s="4"/>
      <c r="AF53" s="4"/>
      <c r="AG53" s="5">
        <f t="shared" si="6"/>
        <v>23797.84</v>
      </c>
    </row>
    <row r="54" spans="1:33" x14ac:dyDescent="0.25">
      <c r="A54" s="3" t="s">
        <v>80</v>
      </c>
      <c r="B54" s="6">
        <f t="shared" ref="B54:AF54" si="9">((((B49)+(B50))+(B51))+(B52))+(B53)</f>
        <v>62487.729999999996</v>
      </c>
      <c r="C54" s="6">
        <f t="shared" si="9"/>
        <v>0</v>
      </c>
      <c r="D54" s="6">
        <f t="shared" si="9"/>
        <v>78.28</v>
      </c>
      <c r="E54" s="6">
        <f t="shared" si="9"/>
        <v>11878.85</v>
      </c>
      <c r="F54" s="6">
        <f t="shared" si="9"/>
        <v>0</v>
      </c>
      <c r="G54" s="6">
        <f t="shared" si="9"/>
        <v>3355.71</v>
      </c>
      <c r="H54" s="6">
        <f t="shared" si="9"/>
        <v>115.32</v>
      </c>
      <c r="I54" s="6">
        <f t="shared" si="9"/>
        <v>0</v>
      </c>
      <c r="J54" s="6">
        <f t="shared" si="9"/>
        <v>10</v>
      </c>
      <c r="K54" s="6">
        <f t="shared" si="9"/>
        <v>0</v>
      </c>
      <c r="L54" s="6">
        <f t="shared" si="9"/>
        <v>115.32</v>
      </c>
      <c r="M54" s="6">
        <f t="shared" si="9"/>
        <v>73.25</v>
      </c>
      <c r="N54" s="6">
        <f t="shared" si="9"/>
        <v>211.49</v>
      </c>
      <c r="O54" s="6">
        <f t="shared" si="9"/>
        <v>-10</v>
      </c>
      <c r="P54" s="6">
        <f t="shared" si="9"/>
        <v>126.5</v>
      </c>
      <c r="Q54" s="6">
        <f t="shared" si="9"/>
        <v>0</v>
      </c>
      <c r="R54" s="6">
        <f t="shared" si="9"/>
        <v>0</v>
      </c>
      <c r="S54" s="6">
        <f t="shared" si="9"/>
        <v>838.3</v>
      </c>
      <c r="T54" s="6">
        <f t="shared" si="9"/>
        <v>2231.7600000000002</v>
      </c>
      <c r="U54" s="6">
        <f t="shared" si="9"/>
        <v>7489.7000000000007</v>
      </c>
      <c r="V54" s="6">
        <f t="shared" si="9"/>
        <v>230.64</v>
      </c>
      <c r="W54" s="6">
        <f t="shared" si="9"/>
        <v>0</v>
      </c>
      <c r="X54" s="6">
        <f t="shared" si="9"/>
        <v>211.91</v>
      </c>
      <c r="Y54" s="6">
        <f t="shared" si="9"/>
        <v>0</v>
      </c>
      <c r="Z54" s="6">
        <f t="shared" si="9"/>
        <v>0</v>
      </c>
      <c r="AA54" s="6">
        <f t="shared" si="9"/>
        <v>0</v>
      </c>
      <c r="AB54" s="6">
        <f t="shared" si="9"/>
        <v>0</v>
      </c>
      <c r="AC54" s="6">
        <f t="shared" si="9"/>
        <v>582.04</v>
      </c>
      <c r="AD54" s="6">
        <f t="shared" si="9"/>
        <v>10452.780000000001</v>
      </c>
      <c r="AE54" s="6">
        <f t="shared" si="9"/>
        <v>0</v>
      </c>
      <c r="AF54" s="6">
        <f t="shared" si="9"/>
        <v>0</v>
      </c>
      <c r="AG54" s="6">
        <f t="shared" si="6"/>
        <v>100479.58000000002</v>
      </c>
    </row>
    <row r="55" spans="1:33" x14ac:dyDescent="0.25">
      <c r="A55" s="3" t="s">
        <v>81</v>
      </c>
      <c r="B55" s="5">
        <f>93963.78</f>
        <v>93963.78</v>
      </c>
      <c r="C55" s="4"/>
      <c r="D55" s="5">
        <f>4700</f>
        <v>4700</v>
      </c>
      <c r="E55" s="5">
        <f>755</f>
        <v>755</v>
      </c>
      <c r="F55" s="5">
        <f>1800</f>
        <v>1800</v>
      </c>
      <c r="G55" s="5">
        <f>43067.44</f>
        <v>43067.44</v>
      </c>
      <c r="H55" s="5">
        <f>8000</f>
        <v>8000</v>
      </c>
      <c r="I55" s="4"/>
      <c r="J55" s="5">
        <f>57381</f>
        <v>57381</v>
      </c>
      <c r="K55" s="4"/>
      <c r="L55" s="4"/>
      <c r="M55" s="4"/>
      <c r="N55" s="5">
        <f>65530.42</f>
        <v>65530.42</v>
      </c>
      <c r="O55" s="4"/>
      <c r="P55" s="4"/>
      <c r="Q55" s="4"/>
      <c r="R55" s="4"/>
      <c r="S55" s="4"/>
      <c r="T55" s="4"/>
      <c r="U55" s="4"/>
      <c r="V55" s="5">
        <f>500</f>
        <v>500</v>
      </c>
      <c r="W55" s="5">
        <f>4385</f>
        <v>4385</v>
      </c>
      <c r="X55" s="5">
        <f>216235.21</f>
        <v>216235.21</v>
      </c>
      <c r="Y55" s="4"/>
      <c r="Z55" s="4"/>
      <c r="AA55" s="4"/>
      <c r="AB55" s="4"/>
      <c r="AC55" s="5">
        <f>21686.87</f>
        <v>21686.87</v>
      </c>
      <c r="AD55" s="5">
        <f>47176</f>
        <v>47176</v>
      </c>
      <c r="AE55" s="4"/>
      <c r="AF55" s="4"/>
      <c r="AG55" s="5">
        <f t="shared" si="6"/>
        <v>565180.72</v>
      </c>
    </row>
    <row r="56" spans="1:33" x14ac:dyDescent="0.25">
      <c r="A56" s="3" t="s">
        <v>82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5">
        <f t="shared" si="6"/>
        <v>0</v>
      </c>
    </row>
    <row r="57" spans="1:33" x14ac:dyDescent="0.25">
      <c r="A57" s="3" t="s">
        <v>83</v>
      </c>
      <c r="B57" s="5">
        <f>96.37</f>
        <v>96.37</v>
      </c>
      <c r="C57" s="4"/>
      <c r="D57" s="4"/>
      <c r="E57" s="5">
        <f>195.64</f>
        <v>195.64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5">
        <f t="shared" si="6"/>
        <v>292.01</v>
      </c>
    </row>
    <row r="58" spans="1:33" x14ac:dyDescent="0.25">
      <c r="A58" s="3" t="s">
        <v>84</v>
      </c>
      <c r="B58" s="5">
        <f>1155</f>
        <v>1155</v>
      </c>
      <c r="C58" s="4"/>
      <c r="D58" s="4"/>
      <c r="E58" s="5">
        <f>2345</f>
        <v>2345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5">
        <f t="shared" si="6"/>
        <v>3500</v>
      </c>
    </row>
    <row r="59" spans="1:33" x14ac:dyDescent="0.25">
      <c r="A59" s="3" t="s">
        <v>85</v>
      </c>
      <c r="B59" s="5">
        <f>1035.62</f>
        <v>1035.6199999999999</v>
      </c>
      <c r="C59" s="4"/>
      <c r="D59" s="4"/>
      <c r="E59" s="5">
        <f>1930.03</f>
        <v>1930.03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5">
        <f t="shared" si="6"/>
        <v>2965.6499999999996</v>
      </c>
    </row>
    <row r="60" spans="1:33" x14ac:dyDescent="0.25">
      <c r="A60" s="3" t="s">
        <v>86</v>
      </c>
      <c r="B60" s="5">
        <f>59861.19</f>
        <v>59861.19</v>
      </c>
      <c r="C60" s="4"/>
      <c r="D60" s="4"/>
      <c r="E60" s="5">
        <f>34746.11</f>
        <v>34746.11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5">
        <f t="shared" si="6"/>
        <v>94607.3</v>
      </c>
    </row>
    <row r="61" spans="1:33" x14ac:dyDescent="0.25">
      <c r="A61" s="3" t="s">
        <v>87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>
        <f>40000</f>
        <v>40000</v>
      </c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5">
        <f t="shared" si="6"/>
        <v>40000</v>
      </c>
    </row>
    <row r="62" spans="1:33" x14ac:dyDescent="0.25">
      <c r="A62" s="3" t="s">
        <v>88</v>
      </c>
      <c r="B62" s="5">
        <f>7145.4</f>
        <v>7145.4</v>
      </c>
      <c r="C62" s="4"/>
      <c r="D62" s="4"/>
      <c r="E62" s="5">
        <f>14507.38</f>
        <v>14507.38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5">
        <f t="shared" si="6"/>
        <v>21652.78</v>
      </c>
    </row>
    <row r="63" spans="1:33" x14ac:dyDescent="0.25">
      <c r="A63" s="3" t="s">
        <v>89</v>
      </c>
      <c r="B63" s="5">
        <f>2370.58</f>
        <v>2370.58</v>
      </c>
      <c r="C63" s="4"/>
      <c r="D63" s="5">
        <f>55.44</f>
        <v>55.44</v>
      </c>
      <c r="E63" s="5">
        <f>110.88</f>
        <v>110.88</v>
      </c>
      <c r="F63" s="4"/>
      <c r="G63" s="4"/>
      <c r="H63" s="5">
        <f>129.36</f>
        <v>129.36000000000001</v>
      </c>
      <c r="I63" s="4"/>
      <c r="J63" s="5">
        <f>14700</f>
        <v>14700</v>
      </c>
      <c r="K63" s="4"/>
      <c r="L63" s="4"/>
      <c r="M63" s="4"/>
      <c r="N63" s="5">
        <f>203.28</f>
        <v>203.28</v>
      </c>
      <c r="O63" s="4"/>
      <c r="P63" s="4"/>
      <c r="Q63" s="4"/>
      <c r="R63" s="4"/>
      <c r="S63" s="5">
        <f>55.44</f>
        <v>55.44</v>
      </c>
      <c r="T63" s="5">
        <f>314.16</f>
        <v>314.16000000000003</v>
      </c>
      <c r="U63" s="5">
        <f>646.8</f>
        <v>646.79999999999995</v>
      </c>
      <c r="V63" s="5">
        <f>221.76</f>
        <v>221.76</v>
      </c>
      <c r="W63" s="4"/>
      <c r="X63" s="5">
        <f>221.76</f>
        <v>221.76</v>
      </c>
      <c r="Y63" s="5">
        <f>2200</f>
        <v>2200</v>
      </c>
      <c r="Z63" s="4"/>
      <c r="AA63" s="4"/>
      <c r="AB63" s="4"/>
      <c r="AC63" s="5">
        <f>406.56</f>
        <v>406.56</v>
      </c>
      <c r="AD63" s="5">
        <f>616.44</f>
        <v>616.44000000000005</v>
      </c>
      <c r="AE63" s="4"/>
      <c r="AF63" s="4"/>
      <c r="AG63" s="5">
        <f t="shared" si="6"/>
        <v>22252.459999999995</v>
      </c>
    </row>
    <row r="64" spans="1:33" x14ac:dyDescent="0.25">
      <c r="A64" s="3" t="s">
        <v>90</v>
      </c>
      <c r="B64" s="5">
        <f>0</f>
        <v>0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5">
        <f>1305</f>
        <v>1305</v>
      </c>
      <c r="AE64" s="4"/>
      <c r="AF64" s="4"/>
      <c r="AG64" s="5">
        <f t="shared" ref="AG64:AG95" si="10">((((((((((((((((((((((((((((((B64)+(C64))+(D64))+(E64))+(F64))+(G64))+(H64))+(I64))+(J64))+(K64))+(L64))+(M64))+(N64))+(O64))+(P64))+(Q64))+(R64))+(S64))+(T64))+(U64))+(V64))+(W64))+(X64))+(Y64))+(Z64))+(AA64))+(AB64))+(AC64))+(AD64))+(AE64))+(AF64)</f>
        <v>1305</v>
      </c>
    </row>
    <row r="65" spans="1:33" x14ac:dyDescent="0.25">
      <c r="A65" s="3" t="s">
        <v>91</v>
      </c>
      <c r="B65" s="5">
        <f>2272.36</f>
        <v>2272.36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5">
        <f t="shared" si="10"/>
        <v>2272.36</v>
      </c>
    </row>
    <row r="66" spans="1:33" x14ac:dyDescent="0.25">
      <c r="A66" s="3" t="s">
        <v>92</v>
      </c>
      <c r="B66" s="6">
        <f t="shared" ref="B66:AF66" si="11">(((((((((B56)+(B57))+(B58))+(B59))+(B60))+(B61))+(B62))+(B63))+(B64))+(B65)</f>
        <v>73936.52</v>
      </c>
      <c r="C66" s="6">
        <f t="shared" si="11"/>
        <v>0</v>
      </c>
      <c r="D66" s="6">
        <f t="shared" si="11"/>
        <v>55.44</v>
      </c>
      <c r="E66" s="6">
        <f t="shared" si="11"/>
        <v>53835.039999999994</v>
      </c>
      <c r="F66" s="6">
        <f t="shared" si="11"/>
        <v>0</v>
      </c>
      <c r="G66" s="6">
        <f t="shared" si="11"/>
        <v>0</v>
      </c>
      <c r="H66" s="6">
        <f t="shared" si="11"/>
        <v>129.36000000000001</v>
      </c>
      <c r="I66" s="6">
        <f t="shared" si="11"/>
        <v>0</v>
      </c>
      <c r="J66" s="6">
        <f t="shared" si="11"/>
        <v>14700</v>
      </c>
      <c r="K66" s="6">
        <f t="shared" si="11"/>
        <v>0</v>
      </c>
      <c r="L66" s="6">
        <f t="shared" si="11"/>
        <v>0</v>
      </c>
      <c r="M66" s="6">
        <f t="shared" si="11"/>
        <v>0</v>
      </c>
      <c r="N66" s="6">
        <f t="shared" si="11"/>
        <v>203.28</v>
      </c>
      <c r="O66" s="6">
        <f t="shared" si="11"/>
        <v>0</v>
      </c>
      <c r="P66" s="6">
        <f t="shared" si="11"/>
        <v>0</v>
      </c>
      <c r="Q66" s="6">
        <f t="shared" si="11"/>
        <v>0</v>
      </c>
      <c r="R66" s="6">
        <f t="shared" si="11"/>
        <v>0</v>
      </c>
      <c r="S66" s="6">
        <f t="shared" si="11"/>
        <v>55.44</v>
      </c>
      <c r="T66" s="6">
        <f t="shared" si="11"/>
        <v>314.16000000000003</v>
      </c>
      <c r="U66" s="6">
        <f t="shared" si="11"/>
        <v>40646.800000000003</v>
      </c>
      <c r="V66" s="6">
        <f t="shared" si="11"/>
        <v>221.76</v>
      </c>
      <c r="W66" s="6">
        <f t="shared" si="11"/>
        <v>0</v>
      </c>
      <c r="X66" s="6">
        <f t="shared" si="11"/>
        <v>221.76</v>
      </c>
      <c r="Y66" s="6">
        <f t="shared" si="11"/>
        <v>2200</v>
      </c>
      <c r="Z66" s="6">
        <f t="shared" si="11"/>
        <v>0</v>
      </c>
      <c r="AA66" s="6">
        <f t="shared" si="11"/>
        <v>0</v>
      </c>
      <c r="AB66" s="6">
        <f t="shared" si="11"/>
        <v>0</v>
      </c>
      <c r="AC66" s="6">
        <f t="shared" si="11"/>
        <v>406.56</v>
      </c>
      <c r="AD66" s="6">
        <f t="shared" si="11"/>
        <v>1921.44</v>
      </c>
      <c r="AE66" s="6">
        <f t="shared" si="11"/>
        <v>0</v>
      </c>
      <c r="AF66" s="6">
        <f t="shared" si="11"/>
        <v>0</v>
      </c>
      <c r="AG66" s="6">
        <f t="shared" si="10"/>
        <v>188847.56</v>
      </c>
    </row>
    <row r="67" spans="1:33" x14ac:dyDescent="0.25">
      <c r="A67" s="3" t="s">
        <v>93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5">
        <f t="shared" si="10"/>
        <v>0</v>
      </c>
    </row>
    <row r="68" spans="1:33" x14ac:dyDescent="0.25">
      <c r="A68" s="3" t="s">
        <v>94</v>
      </c>
      <c r="B68" s="5">
        <f>39123.58</f>
        <v>39123.58</v>
      </c>
      <c r="C68" s="4"/>
      <c r="D68" s="4"/>
      <c r="E68" s="5">
        <f>32702</f>
        <v>32702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5">
        <f t="shared" si="10"/>
        <v>71825.58</v>
      </c>
    </row>
    <row r="69" spans="1:33" x14ac:dyDescent="0.25">
      <c r="A69" s="3" t="s">
        <v>95</v>
      </c>
      <c r="B69" s="5">
        <f>23939.5</f>
        <v>23939.5</v>
      </c>
      <c r="C69" s="4"/>
      <c r="D69" s="4"/>
      <c r="E69" s="5">
        <f>18374.5</f>
        <v>18374.5</v>
      </c>
      <c r="F69" s="4"/>
      <c r="G69" s="4"/>
      <c r="H69" s="4"/>
      <c r="I69" s="4"/>
      <c r="J69" s="4"/>
      <c r="K69" s="4"/>
      <c r="L69" s="4"/>
      <c r="M69" s="4"/>
      <c r="N69" s="5">
        <f>185</f>
        <v>185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5">
        <f t="shared" si="10"/>
        <v>42499</v>
      </c>
    </row>
    <row r="70" spans="1:33" x14ac:dyDescent="0.25">
      <c r="A70" s="3" t="s">
        <v>96</v>
      </c>
      <c r="B70" s="6">
        <f t="shared" ref="B70:AF70" si="12">((B67)+(B68))+(B69)</f>
        <v>63063.08</v>
      </c>
      <c r="C70" s="6">
        <f t="shared" si="12"/>
        <v>0</v>
      </c>
      <c r="D70" s="6">
        <f t="shared" si="12"/>
        <v>0</v>
      </c>
      <c r="E70" s="6">
        <f t="shared" si="12"/>
        <v>51076.5</v>
      </c>
      <c r="F70" s="6">
        <f t="shared" si="12"/>
        <v>0</v>
      </c>
      <c r="G70" s="6">
        <f t="shared" si="12"/>
        <v>0</v>
      </c>
      <c r="H70" s="6">
        <f t="shared" si="12"/>
        <v>0</v>
      </c>
      <c r="I70" s="6">
        <f t="shared" si="12"/>
        <v>0</v>
      </c>
      <c r="J70" s="6">
        <f t="shared" si="12"/>
        <v>0</v>
      </c>
      <c r="K70" s="6">
        <f t="shared" si="12"/>
        <v>0</v>
      </c>
      <c r="L70" s="6">
        <f t="shared" si="12"/>
        <v>0</v>
      </c>
      <c r="M70" s="6">
        <f t="shared" si="12"/>
        <v>0</v>
      </c>
      <c r="N70" s="6">
        <f t="shared" si="12"/>
        <v>185</v>
      </c>
      <c r="O70" s="6">
        <f t="shared" si="12"/>
        <v>0</v>
      </c>
      <c r="P70" s="6">
        <f t="shared" si="12"/>
        <v>0</v>
      </c>
      <c r="Q70" s="6">
        <f t="shared" si="12"/>
        <v>0</v>
      </c>
      <c r="R70" s="6">
        <f t="shared" si="12"/>
        <v>0</v>
      </c>
      <c r="S70" s="6">
        <f t="shared" si="12"/>
        <v>0</v>
      </c>
      <c r="T70" s="6">
        <f t="shared" si="12"/>
        <v>0</v>
      </c>
      <c r="U70" s="6">
        <f t="shared" si="12"/>
        <v>0</v>
      </c>
      <c r="V70" s="6">
        <f t="shared" si="12"/>
        <v>0</v>
      </c>
      <c r="W70" s="6">
        <f t="shared" si="12"/>
        <v>0</v>
      </c>
      <c r="X70" s="6">
        <f t="shared" si="12"/>
        <v>0</v>
      </c>
      <c r="Y70" s="6">
        <f t="shared" si="12"/>
        <v>0</v>
      </c>
      <c r="Z70" s="6">
        <f t="shared" si="12"/>
        <v>0</v>
      </c>
      <c r="AA70" s="6">
        <f t="shared" si="12"/>
        <v>0</v>
      </c>
      <c r="AB70" s="6">
        <f t="shared" si="12"/>
        <v>0</v>
      </c>
      <c r="AC70" s="6">
        <f t="shared" si="12"/>
        <v>0</v>
      </c>
      <c r="AD70" s="6">
        <f t="shared" si="12"/>
        <v>0</v>
      </c>
      <c r="AE70" s="6">
        <f t="shared" si="12"/>
        <v>0</v>
      </c>
      <c r="AF70" s="6">
        <f t="shared" si="12"/>
        <v>0</v>
      </c>
      <c r="AG70" s="6">
        <f t="shared" si="10"/>
        <v>114324.58</v>
      </c>
    </row>
    <row r="71" spans="1:33" x14ac:dyDescent="0.25">
      <c r="A71" s="3" t="s">
        <v>97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5">
        <f t="shared" si="10"/>
        <v>0</v>
      </c>
    </row>
    <row r="72" spans="1:33" x14ac:dyDescent="0.25">
      <c r="A72" s="3" t="s">
        <v>98</v>
      </c>
      <c r="B72" s="5">
        <f>317.22</f>
        <v>317.22000000000003</v>
      </c>
      <c r="C72" s="4"/>
      <c r="D72" s="4"/>
      <c r="E72" s="5">
        <f>222.04</f>
        <v>222.04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5">
        <f>47.58</f>
        <v>47.58</v>
      </c>
      <c r="U72" s="5">
        <f>47.58</f>
        <v>47.58</v>
      </c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5">
        <f t="shared" si="10"/>
        <v>634.42000000000007</v>
      </c>
    </row>
    <row r="73" spans="1:33" x14ac:dyDescent="0.25">
      <c r="A73" s="3" t="s">
        <v>99</v>
      </c>
      <c r="B73" s="5">
        <f>664.5</f>
        <v>664.5</v>
      </c>
      <c r="C73" s="4"/>
      <c r="D73" s="4"/>
      <c r="E73" s="5">
        <f>284.48</f>
        <v>284.48</v>
      </c>
      <c r="F73" s="4"/>
      <c r="G73" s="4"/>
      <c r="H73" s="4"/>
      <c r="I73" s="4"/>
      <c r="J73" s="4"/>
      <c r="K73" s="4"/>
      <c r="L73" s="4"/>
      <c r="M73" s="4"/>
      <c r="N73" s="5">
        <f>83.15</f>
        <v>83.15</v>
      </c>
      <c r="O73" s="4"/>
      <c r="P73" s="4"/>
      <c r="Q73" s="4"/>
      <c r="R73" s="4"/>
      <c r="S73" s="4"/>
      <c r="T73" s="5">
        <f>60</f>
        <v>60</v>
      </c>
      <c r="U73" s="5">
        <f>134.48</f>
        <v>134.47999999999999</v>
      </c>
      <c r="V73" s="4"/>
      <c r="W73" s="4"/>
      <c r="X73" s="5">
        <f>71</f>
        <v>71</v>
      </c>
      <c r="Y73" s="4"/>
      <c r="Z73" s="4"/>
      <c r="AA73" s="4"/>
      <c r="AB73" s="4"/>
      <c r="AC73" s="4"/>
      <c r="AD73" s="5">
        <f>16.7</f>
        <v>16.7</v>
      </c>
      <c r="AE73" s="4"/>
      <c r="AF73" s="4"/>
      <c r="AG73" s="5">
        <f t="shared" si="10"/>
        <v>1314.3100000000002</v>
      </c>
    </row>
    <row r="74" spans="1:33" x14ac:dyDescent="0.25">
      <c r="A74" s="3" t="s">
        <v>100</v>
      </c>
      <c r="B74" s="5">
        <f>3826.11</f>
        <v>3826.11</v>
      </c>
      <c r="C74" s="4"/>
      <c r="D74" s="5">
        <f>4.74</f>
        <v>4.74</v>
      </c>
      <c r="E74" s="5">
        <f>2492.37</f>
        <v>2492.37</v>
      </c>
      <c r="F74" s="4"/>
      <c r="G74" s="4"/>
      <c r="H74" s="4"/>
      <c r="I74" s="4"/>
      <c r="J74" s="4"/>
      <c r="K74" s="4"/>
      <c r="L74" s="4"/>
      <c r="M74" s="4"/>
      <c r="N74" s="5">
        <f>173.28</f>
        <v>173.28</v>
      </c>
      <c r="O74" s="4"/>
      <c r="P74" s="4"/>
      <c r="Q74" s="4"/>
      <c r="R74" s="4"/>
      <c r="S74" s="5">
        <f>32.88</f>
        <v>32.880000000000003</v>
      </c>
      <c r="T74" s="5">
        <f>658.71</f>
        <v>658.71</v>
      </c>
      <c r="U74" s="5">
        <f>1950.99</f>
        <v>1950.99</v>
      </c>
      <c r="V74" s="5">
        <f>608.42</f>
        <v>608.41999999999996</v>
      </c>
      <c r="W74" s="4"/>
      <c r="X74" s="5">
        <f>594.03</f>
        <v>594.03</v>
      </c>
      <c r="Y74" s="4"/>
      <c r="Z74" s="4"/>
      <c r="AA74" s="4"/>
      <c r="AB74" s="4"/>
      <c r="AC74" s="5">
        <f>1157.39</f>
        <v>1157.3900000000001</v>
      </c>
      <c r="AD74" s="5">
        <f>1458.34</f>
        <v>1458.34</v>
      </c>
      <c r="AE74" s="4"/>
      <c r="AF74" s="4"/>
      <c r="AG74" s="5">
        <f t="shared" si="10"/>
        <v>12957.26</v>
      </c>
    </row>
    <row r="75" spans="1:33" x14ac:dyDescent="0.25">
      <c r="A75" s="3" t="s">
        <v>101</v>
      </c>
      <c r="B75" s="5">
        <f>215.58</f>
        <v>215.58</v>
      </c>
      <c r="C75" s="4"/>
      <c r="D75" s="5">
        <f>0</f>
        <v>0</v>
      </c>
      <c r="E75" s="5">
        <f>930.75</f>
        <v>930.75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5">
        <f>13794.8</f>
        <v>13794.8</v>
      </c>
      <c r="U75" s="5">
        <f>215.58</f>
        <v>215.58</v>
      </c>
      <c r="V75" s="5">
        <f>1055</f>
        <v>1055</v>
      </c>
      <c r="W75" s="4"/>
      <c r="X75" s="5">
        <f>0</f>
        <v>0</v>
      </c>
      <c r="Y75" s="4"/>
      <c r="Z75" s="4"/>
      <c r="AA75" s="4"/>
      <c r="AB75" s="4"/>
      <c r="AC75" s="5">
        <f>634.55</f>
        <v>634.54999999999995</v>
      </c>
      <c r="AD75" s="5">
        <f>634.55</f>
        <v>634.54999999999995</v>
      </c>
      <c r="AE75" s="4"/>
      <c r="AF75" s="4"/>
      <c r="AG75" s="5">
        <f t="shared" si="10"/>
        <v>17480.809999999998</v>
      </c>
    </row>
    <row r="76" spans="1:33" x14ac:dyDescent="0.25">
      <c r="A76" s="3" t="s">
        <v>102</v>
      </c>
      <c r="B76" s="5">
        <f>18102.74</f>
        <v>18102.740000000002</v>
      </c>
      <c r="C76" s="4"/>
      <c r="D76" s="5">
        <f>0</f>
        <v>0</v>
      </c>
      <c r="E76" s="5">
        <f>202.75</f>
        <v>202.75</v>
      </c>
      <c r="F76" s="4"/>
      <c r="G76" s="4"/>
      <c r="H76" s="5">
        <f>307.54</f>
        <v>307.54000000000002</v>
      </c>
      <c r="I76" s="4"/>
      <c r="J76" s="5">
        <f>1913.95</f>
        <v>1913.95</v>
      </c>
      <c r="K76" s="5">
        <f>3371.76</f>
        <v>3371.76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5">
        <f>6205.3</f>
        <v>6205.3</v>
      </c>
      <c r="X76" s="4"/>
      <c r="Y76" s="4"/>
      <c r="Z76" s="4"/>
      <c r="AA76" s="4"/>
      <c r="AB76" s="4"/>
      <c r="AC76" s="4"/>
      <c r="AD76" s="4"/>
      <c r="AE76" s="4"/>
      <c r="AF76" s="4"/>
      <c r="AG76" s="5">
        <f t="shared" si="10"/>
        <v>30104.040000000005</v>
      </c>
    </row>
    <row r="77" spans="1:33" x14ac:dyDescent="0.25">
      <c r="A77" s="3" t="s">
        <v>103</v>
      </c>
      <c r="B77" s="5">
        <f>51789.11</f>
        <v>51789.11</v>
      </c>
      <c r="C77" s="4"/>
      <c r="D77" s="5">
        <f>0</f>
        <v>0</v>
      </c>
      <c r="E77" s="5">
        <f>4648.12</f>
        <v>4648.12</v>
      </c>
      <c r="F77" s="5">
        <f>390.8</f>
        <v>390.8</v>
      </c>
      <c r="G77" s="5">
        <f>2646.89</f>
        <v>2646.89</v>
      </c>
      <c r="H77" s="5">
        <f>112.25</f>
        <v>112.25</v>
      </c>
      <c r="I77" s="4"/>
      <c r="J77" s="5">
        <f>4855.2</f>
        <v>4855.2</v>
      </c>
      <c r="K77" s="5">
        <f>5208.44</f>
        <v>5208.4399999999996</v>
      </c>
      <c r="L77" s="4"/>
      <c r="M77" s="4"/>
      <c r="N77" s="5">
        <f>47872.93</f>
        <v>47872.93</v>
      </c>
      <c r="O77" s="4"/>
      <c r="P77" s="4"/>
      <c r="Q77" s="4"/>
      <c r="R77" s="4"/>
      <c r="S77" s="5">
        <f>1399.85</f>
        <v>1399.85</v>
      </c>
      <c r="T77" s="5">
        <f>8713.65</f>
        <v>8713.65</v>
      </c>
      <c r="U77" s="5">
        <f>19447.13</f>
        <v>19447.13</v>
      </c>
      <c r="V77" s="5">
        <f>33059.97</f>
        <v>33059.97</v>
      </c>
      <c r="W77" s="5">
        <f>2960</f>
        <v>2960</v>
      </c>
      <c r="X77" s="5">
        <f>621.48</f>
        <v>621.48</v>
      </c>
      <c r="Y77" s="4"/>
      <c r="Z77" s="5">
        <f>113.96</f>
        <v>113.96</v>
      </c>
      <c r="AA77" s="5">
        <f>4075.34</f>
        <v>4075.34</v>
      </c>
      <c r="AB77" s="4"/>
      <c r="AC77" s="5">
        <f>175644.82</f>
        <v>175644.82</v>
      </c>
      <c r="AD77" s="5">
        <f>159284.25</f>
        <v>159284.25</v>
      </c>
      <c r="AE77" s="4"/>
      <c r="AF77" s="4"/>
      <c r="AG77" s="5">
        <f t="shared" si="10"/>
        <v>522844.19</v>
      </c>
    </row>
    <row r="78" spans="1:33" x14ac:dyDescent="0.25">
      <c r="A78" s="3" t="s">
        <v>104</v>
      </c>
      <c r="B78" s="6">
        <f t="shared" ref="B78:AF78" si="13">((((((B71)+(B72))+(B73))+(B74))+(B75))+(B76))+(B77)</f>
        <v>74915.260000000009</v>
      </c>
      <c r="C78" s="6">
        <f t="shared" si="13"/>
        <v>0</v>
      </c>
      <c r="D78" s="6">
        <f t="shared" si="13"/>
        <v>4.74</v>
      </c>
      <c r="E78" s="6">
        <f t="shared" si="13"/>
        <v>8780.5099999999984</v>
      </c>
      <c r="F78" s="6">
        <f t="shared" si="13"/>
        <v>390.8</v>
      </c>
      <c r="G78" s="6">
        <f t="shared" si="13"/>
        <v>2646.89</v>
      </c>
      <c r="H78" s="6">
        <f t="shared" si="13"/>
        <v>419.79</v>
      </c>
      <c r="I78" s="6">
        <f t="shared" si="13"/>
        <v>0</v>
      </c>
      <c r="J78" s="6">
        <f t="shared" si="13"/>
        <v>6769.15</v>
      </c>
      <c r="K78" s="6">
        <f t="shared" si="13"/>
        <v>8580.2000000000007</v>
      </c>
      <c r="L78" s="6">
        <f t="shared" si="13"/>
        <v>0</v>
      </c>
      <c r="M78" s="6">
        <f t="shared" si="13"/>
        <v>0</v>
      </c>
      <c r="N78" s="6">
        <f t="shared" si="13"/>
        <v>48129.36</v>
      </c>
      <c r="O78" s="6">
        <f t="shared" si="13"/>
        <v>0</v>
      </c>
      <c r="P78" s="6">
        <f t="shared" si="13"/>
        <v>0</v>
      </c>
      <c r="Q78" s="6">
        <f t="shared" si="13"/>
        <v>0</v>
      </c>
      <c r="R78" s="6">
        <f t="shared" si="13"/>
        <v>0</v>
      </c>
      <c r="S78" s="6">
        <f t="shared" si="13"/>
        <v>1432.73</v>
      </c>
      <c r="T78" s="6">
        <f t="shared" si="13"/>
        <v>23274.739999999998</v>
      </c>
      <c r="U78" s="6">
        <f t="shared" si="13"/>
        <v>21795.760000000002</v>
      </c>
      <c r="V78" s="6">
        <f t="shared" si="13"/>
        <v>34723.39</v>
      </c>
      <c r="W78" s="6">
        <f t="shared" si="13"/>
        <v>9165.2999999999993</v>
      </c>
      <c r="X78" s="6">
        <f t="shared" si="13"/>
        <v>1286.51</v>
      </c>
      <c r="Y78" s="6">
        <f t="shared" si="13"/>
        <v>0</v>
      </c>
      <c r="Z78" s="6">
        <f t="shared" si="13"/>
        <v>113.96</v>
      </c>
      <c r="AA78" s="6">
        <f t="shared" si="13"/>
        <v>4075.34</v>
      </c>
      <c r="AB78" s="6">
        <f t="shared" si="13"/>
        <v>0</v>
      </c>
      <c r="AC78" s="6">
        <f t="shared" si="13"/>
        <v>177436.76</v>
      </c>
      <c r="AD78" s="6">
        <f t="shared" si="13"/>
        <v>161393.84</v>
      </c>
      <c r="AE78" s="6">
        <f t="shared" si="13"/>
        <v>0</v>
      </c>
      <c r="AF78" s="6">
        <f t="shared" si="13"/>
        <v>0</v>
      </c>
      <c r="AG78" s="6">
        <f t="shared" si="10"/>
        <v>585335.03</v>
      </c>
    </row>
    <row r="79" spans="1:33" x14ac:dyDescent="0.25">
      <c r="A79" s="3" t="s">
        <v>105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5">
        <f t="shared" si="10"/>
        <v>0</v>
      </c>
    </row>
    <row r="80" spans="1:33" x14ac:dyDescent="0.25">
      <c r="A80" s="3" t="s">
        <v>106</v>
      </c>
      <c r="B80" s="5">
        <f>2078.7</f>
        <v>2078.6999999999998</v>
      </c>
      <c r="C80" s="4"/>
      <c r="D80" s="5">
        <f>2494.44</f>
        <v>2494.44</v>
      </c>
      <c r="E80" s="4"/>
      <c r="F80" s="4"/>
      <c r="G80" s="4"/>
      <c r="H80" s="4"/>
      <c r="I80" s="4"/>
      <c r="J80" s="5">
        <f>500</f>
        <v>500</v>
      </c>
      <c r="K80" s="5">
        <f>17579</f>
        <v>17579</v>
      </c>
      <c r="L80" s="4"/>
      <c r="M80" s="5">
        <f>4244.19</f>
        <v>4244.1899999999996</v>
      </c>
      <c r="N80" s="4"/>
      <c r="O80" s="4"/>
      <c r="P80" s="4"/>
      <c r="Q80" s="5">
        <f>250</f>
        <v>250</v>
      </c>
      <c r="R80" s="4"/>
      <c r="S80" s="5">
        <f>46618</f>
        <v>46618</v>
      </c>
      <c r="T80" s="5">
        <f>18024.14</f>
        <v>18024.14</v>
      </c>
      <c r="U80" s="5">
        <f>50998.18</f>
        <v>50998.18</v>
      </c>
      <c r="V80" s="5">
        <f>500</f>
        <v>500</v>
      </c>
      <c r="W80" s="4"/>
      <c r="X80" s="5">
        <f>4988.88</f>
        <v>4988.88</v>
      </c>
      <c r="Y80" s="4"/>
      <c r="Z80" s="4"/>
      <c r="AA80" s="4"/>
      <c r="AB80" s="4"/>
      <c r="AC80" s="5">
        <f>136273.28</f>
        <v>136273.28</v>
      </c>
      <c r="AD80" s="5">
        <f>804991.52</f>
        <v>804991.52</v>
      </c>
      <c r="AE80" s="5">
        <f>5388</f>
        <v>5388</v>
      </c>
      <c r="AF80" s="4"/>
      <c r="AG80" s="5">
        <f t="shared" si="10"/>
        <v>1094928.33</v>
      </c>
    </row>
    <row r="81" spans="1:33" x14ac:dyDescent="0.25">
      <c r="A81" s="3" t="s">
        <v>107</v>
      </c>
      <c r="B81" s="5">
        <f>7734.81</f>
        <v>7734.81</v>
      </c>
      <c r="C81" s="4"/>
      <c r="D81" s="4"/>
      <c r="E81" s="5">
        <f>145</f>
        <v>145</v>
      </c>
      <c r="F81" s="5">
        <f>12689</f>
        <v>12689</v>
      </c>
      <c r="G81" s="4"/>
      <c r="H81" s="4"/>
      <c r="I81" s="4"/>
      <c r="J81" s="5">
        <f>9796.9</f>
        <v>9796.9</v>
      </c>
      <c r="K81" s="5">
        <f>1971.25</f>
        <v>1971.25</v>
      </c>
      <c r="L81" s="4"/>
      <c r="M81" s="4"/>
      <c r="N81" s="5">
        <f>3935</f>
        <v>3935</v>
      </c>
      <c r="O81" s="4"/>
      <c r="P81" s="4"/>
      <c r="Q81" s="4"/>
      <c r="R81" s="4"/>
      <c r="S81" s="4"/>
      <c r="T81" s="5">
        <f>2728</f>
        <v>2728</v>
      </c>
      <c r="U81" s="5">
        <f>8330</f>
        <v>8330</v>
      </c>
      <c r="V81" s="5">
        <f>6311</f>
        <v>6311</v>
      </c>
      <c r="W81" s="4"/>
      <c r="X81" s="5">
        <f>1368</f>
        <v>1368</v>
      </c>
      <c r="Y81" s="4"/>
      <c r="Z81" s="4"/>
      <c r="AA81" s="4"/>
      <c r="AB81" s="4"/>
      <c r="AC81" s="5">
        <f>6479.1</f>
        <v>6479.1</v>
      </c>
      <c r="AD81" s="5">
        <f>9550</f>
        <v>9550</v>
      </c>
      <c r="AE81" s="4"/>
      <c r="AF81" s="4"/>
      <c r="AG81" s="5">
        <f t="shared" si="10"/>
        <v>71038.06</v>
      </c>
    </row>
    <row r="82" spans="1:33" x14ac:dyDescent="0.25">
      <c r="A82" s="3" t="s">
        <v>108</v>
      </c>
      <c r="B82" s="5">
        <f>41237.67</f>
        <v>41237.67</v>
      </c>
      <c r="C82" s="4"/>
      <c r="D82" s="5">
        <f>2193.68</f>
        <v>2193.6799999999998</v>
      </c>
      <c r="E82" s="5">
        <f>2475.94</f>
        <v>2475.94</v>
      </c>
      <c r="F82" s="5">
        <f>7959.44</f>
        <v>7959.44</v>
      </c>
      <c r="G82" s="4"/>
      <c r="H82" s="5">
        <f>613.76</f>
        <v>613.76</v>
      </c>
      <c r="I82" s="4"/>
      <c r="J82" s="5">
        <f>39984.74</f>
        <v>39984.74</v>
      </c>
      <c r="K82" s="5">
        <f>760.44</f>
        <v>760.44</v>
      </c>
      <c r="L82" s="4"/>
      <c r="M82" s="4"/>
      <c r="N82" s="5">
        <f>6256.74</f>
        <v>6256.74</v>
      </c>
      <c r="O82" s="4"/>
      <c r="P82" s="4"/>
      <c r="Q82" s="5">
        <f>170351.24</f>
        <v>170351.24</v>
      </c>
      <c r="R82" s="4"/>
      <c r="S82" s="4"/>
      <c r="T82" s="5">
        <f>4612.15</f>
        <v>4612.1499999999996</v>
      </c>
      <c r="U82" s="5">
        <f>16193.49</f>
        <v>16193.49</v>
      </c>
      <c r="V82" s="5">
        <f>8602.63</f>
        <v>8602.6299999999992</v>
      </c>
      <c r="W82" s="5">
        <f>2730.57</f>
        <v>2730.57</v>
      </c>
      <c r="X82" s="5">
        <f>80557.44</f>
        <v>80557.440000000002</v>
      </c>
      <c r="Y82" s="5">
        <f>777.69</f>
        <v>777.69</v>
      </c>
      <c r="Z82" s="4"/>
      <c r="AA82" s="4"/>
      <c r="AB82" s="4"/>
      <c r="AC82" s="5">
        <f>16871.7</f>
        <v>16871.7</v>
      </c>
      <c r="AD82" s="5">
        <f>25587.81</f>
        <v>25587.81</v>
      </c>
      <c r="AE82" s="4"/>
      <c r="AF82" s="5">
        <f>0</f>
        <v>0</v>
      </c>
      <c r="AG82" s="5">
        <f t="shared" si="10"/>
        <v>427767.13000000006</v>
      </c>
    </row>
    <row r="83" spans="1:33" x14ac:dyDescent="0.25">
      <c r="A83" s="3" t="s">
        <v>109</v>
      </c>
      <c r="B83" s="4"/>
      <c r="C83" s="4"/>
      <c r="D83" s="4"/>
      <c r="E83" s="4"/>
      <c r="F83" s="4"/>
      <c r="G83" s="4"/>
      <c r="H83" s="4"/>
      <c r="I83" s="4"/>
      <c r="J83" s="5">
        <f>2542.13</f>
        <v>2542.13</v>
      </c>
      <c r="K83" s="5">
        <f>-1208.34</f>
        <v>-1208.3399999999999</v>
      </c>
      <c r="L83" s="4"/>
      <c r="M83" s="4"/>
      <c r="N83" s="4"/>
      <c r="O83" s="4"/>
      <c r="P83" s="4"/>
      <c r="Q83" s="4"/>
      <c r="R83" s="4"/>
      <c r="S83" s="5">
        <f>5651.84</f>
        <v>5651.84</v>
      </c>
      <c r="T83" s="5">
        <f>27059.54</f>
        <v>27059.54</v>
      </c>
      <c r="U83" s="5">
        <f>35172.65</f>
        <v>35172.65</v>
      </c>
      <c r="V83" s="4"/>
      <c r="W83" s="4"/>
      <c r="X83" s="5">
        <f>6651.78</f>
        <v>6651.78</v>
      </c>
      <c r="Y83" s="4"/>
      <c r="Z83" s="4"/>
      <c r="AA83" s="4"/>
      <c r="AB83" s="4"/>
      <c r="AC83" s="4"/>
      <c r="AD83" s="5">
        <f>8646.74</f>
        <v>8646.74</v>
      </c>
      <c r="AE83" s="4"/>
      <c r="AF83" s="4"/>
      <c r="AG83" s="5">
        <f t="shared" si="10"/>
        <v>84516.340000000011</v>
      </c>
    </row>
    <row r="84" spans="1:33" x14ac:dyDescent="0.25">
      <c r="A84" s="3" t="s">
        <v>110</v>
      </c>
      <c r="B84" s="5">
        <f>8300.84</f>
        <v>8300.84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5">
        <f t="shared" si="10"/>
        <v>8300.84</v>
      </c>
    </row>
    <row r="85" spans="1:33" x14ac:dyDescent="0.25">
      <c r="A85" s="3" t="s">
        <v>111</v>
      </c>
      <c r="B85" s="6">
        <f t="shared" ref="B85:AF85" si="14">(((((B79)+(B80))+(B81))+(B82))+(B83))+(B84)</f>
        <v>59352.020000000004</v>
      </c>
      <c r="C85" s="6">
        <f t="shared" si="14"/>
        <v>0</v>
      </c>
      <c r="D85" s="6">
        <f t="shared" si="14"/>
        <v>4688.12</v>
      </c>
      <c r="E85" s="6">
        <f t="shared" si="14"/>
        <v>2620.94</v>
      </c>
      <c r="F85" s="6">
        <f t="shared" si="14"/>
        <v>20648.439999999999</v>
      </c>
      <c r="G85" s="6">
        <f t="shared" si="14"/>
        <v>0</v>
      </c>
      <c r="H85" s="6">
        <f t="shared" si="14"/>
        <v>613.76</v>
      </c>
      <c r="I85" s="6">
        <f t="shared" si="14"/>
        <v>0</v>
      </c>
      <c r="J85" s="6">
        <f t="shared" si="14"/>
        <v>52823.77</v>
      </c>
      <c r="K85" s="6">
        <f t="shared" si="14"/>
        <v>19102.349999999999</v>
      </c>
      <c r="L85" s="6">
        <f t="shared" si="14"/>
        <v>0</v>
      </c>
      <c r="M85" s="6">
        <f t="shared" si="14"/>
        <v>4244.1899999999996</v>
      </c>
      <c r="N85" s="6">
        <f t="shared" si="14"/>
        <v>10191.74</v>
      </c>
      <c r="O85" s="6">
        <f t="shared" si="14"/>
        <v>0</v>
      </c>
      <c r="P85" s="6">
        <f t="shared" si="14"/>
        <v>0</v>
      </c>
      <c r="Q85" s="6">
        <f t="shared" si="14"/>
        <v>170601.24</v>
      </c>
      <c r="R85" s="6">
        <f t="shared" si="14"/>
        <v>0</v>
      </c>
      <c r="S85" s="6">
        <f t="shared" si="14"/>
        <v>52269.84</v>
      </c>
      <c r="T85" s="6">
        <f t="shared" si="14"/>
        <v>52423.83</v>
      </c>
      <c r="U85" s="6">
        <f t="shared" si="14"/>
        <v>110694.32</v>
      </c>
      <c r="V85" s="6">
        <f t="shared" si="14"/>
        <v>15413.63</v>
      </c>
      <c r="W85" s="6">
        <f t="shared" si="14"/>
        <v>2730.57</v>
      </c>
      <c r="X85" s="6">
        <f t="shared" si="14"/>
        <v>93566.1</v>
      </c>
      <c r="Y85" s="6">
        <f t="shared" si="14"/>
        <v>777.69</v>
      </c>
      <c r="Z85" s="6">
        <f t="shared" si="14"/>
        <v>0</v>
      </c>
      <c r="AA85" s="6">
        <f t="shared" si="14"/>
        <v>0</v>
      </c>
      <c r="AB85" s="6">
        <f t="shared" si="14"/>
        <v>0</v>
      </c>
      <c r="AC85" s="6">
        <f t="shared" si="14"/>
        <v>159624.08000000002</v>
      </c>
      <c r="AD85" s="6">
        <f t="shared" si="14"/>
        <v>848776.07000000007</v>
      </c>
      <c r="AE85" s="6">
        <f t="shared" si="14"/>
        <v>5388</v>
      </c>
      <c r="AF85" s="6">
        <f t="shared" si="14"/>
        <v>0</v>
      </c>
      <c r="AG85" s="6">
        <f t="shared" si="10"/>
        <v>1686550.7</v>
      </c>
    </row>
    <row r="86" spans="1:33" x14ac:dyDescent="0.25">
      <c r="A86" s="3" t="s">
        <v>112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5">
        <f t="shared" si="10"/>
        <v>0</v>
      </c>
    </row>
    <row r="87" spans="1:33" x14ac:dyDescent="0.25">
      <c r="A87" s="3" t="s">
        <v>113</v>
      </c>
      <c r="B87" s="5">
        <f>348.53</f>
        <v>348.53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5">
        <f>2751.08</f>
        <v>2751.08</v>
      </c>
      <c r="U87" s="5">
        <f>1362.77</f>
        <v>1362.77</v>
      </c>
      <c r="V87" s="4"/>
      <c r="W87" s="4"/>
      <c r="X87" s="4"/>
      <c r="Y87" s="4"/>
      <c r="Z87" s="4"/>
      <c r="AA87" s="4"/>
      <c r="AB87" s="4"/>
      <c r="AC87" s="4"/>
      <c r="AD87" s="5">
        <f>720</f>
        <v>720</v>
      </c>
      <c r="AE87" s="4"/>
      <c r="AF87" s="4"/>
      <c r="AG87" s="5">
        <f t="shared" si="10"/>
        <v>5182.3799999999992</v>
      </c>
    </row>
    <row r="88" spans="1:33" x14ac:dyDescent="0.25">
      <c r="A88" s="3" t="s">
        <v>114</v>
      </c>
      <c r="B88" s="4"/>
      <c r="C88" s="4"/>
      <c r="D88" s="4"/>
      <c r="E88" s="5">
        <f>15000</f>
        <v>15000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5">
        <f t="shared" si="10"/>
        <v>15000</v>
      </c>
    </row>
    <row r="89" spans="1:33" x14ac:dyDescent="0.25">
      <c r="A89" s="3" t="s">
        <v>115</v>
      </c>
      <c r="B89" s="4"/>
      <c r="C89" s="4"/>
      <c r="D89" s="5">
        <f>4497.91</f>
        <v>4497.91</v>
      </c>
      <c r="E89" s="5">
        <f>84692.89</f>
        <v>84692.89</v>
      </c>
      <c r="F89" s="5">
        <f>4572.94</f>
        <v>4572.9399999999996</v>
      </c>
      <c r="G89" s="5">
        <f>7773.69</f>
        <v>7773.69</v>
      </c>
      <c r="H89" s="5">
        <f>3886.31</f>
        <v>3886.31</v>
      </c>
      <c r="I89" s="5">
        <f>4704.31</f>
        <v>4704.3100000000004</v>
      </c>
      <c r="J89" s="4"/>
      <c r="K89" s="5">
        <f>2670.25</f>
        <v>2670.25</v>
      </c>
      <c r="L89" s="5">
        <f>3294.23</f>
        <v>3294.23</v>
      </c>
      <c r="M89" s="5">
        <f>50784.65</f>
        <v>50784.65</v>
      </c>
      <c r="N89" s="5">
        <f>30226.32</f>
        <v>30226.32</v>
      </c>
      <c r="O89" s="5">
        <f>43555.87</f>
        <v>43555.87</v>
      </c>
      <c r="P89" s="5">
        <f>29706.39</f>
        <v>29706.39</v>
      </c>
      <c r="Q89" s="5">
        <f>23901.61</f>
        <v>23901.61</v>
      </c>
      <c r="R89" s="5">
        <f>4267.62</f>
        <v>4267.62</v>
      </c>
      <c r="S89" s="5">
        <f>5433.71</f>
        <v>5433.71</v>
      </c>
      <c r="T89" s="5">
        <f>15729.8</f>
        <v>15729.8</v>
      </c>
      <c r="U89" s="5">
        <f>35465.55</f>
        <v>35465.550000000003</v>
      </c>
      <c r="V89" s="5">
        <f>24338.17</f>
        <v>24338.17</v>
      </c>
      <c r="W89" s="5">
        <f>2132.79</f>
        <v>2132.79</v>
      </c>
      <c r="X89" s="5">
        <f>49181.52</f>
        <v>49181.52</v>
      </c>
      <c r="Y89" s="5">
        <f>100.67</f>
        <v>100.67</v>
      </c>
      <c r="Z89" s="4"/>
      <c r="AA89" s="5">
        <f>407.53</f>
        <v>407.53</v>
      </c>
      <c r="AB89" s="5">
        <f>1000</f>
        <v>1000</v>
      </c>
      <c r="AC89" s="5">
        <f>88760.68</f>
        <v>88760.68</v>
      </c>
      <c r="AD89" s="5">
        <f>202449.62</f>
        <v>202449.62</v>
      </c>
      <c r="AE89" s="5">
        <f>3717.32</f>
        <v>3717.32</v>
      </c>
      <c r="AF89" s="4"/>
      <c r="AG89" s="5">
        <f t="shared" si="10"/>
        <v>727252.35</v>
      </c>
    </row>
    <row r="90" spans="1:33" x14ac:dyDescent="0.25">
      <c r="A90" s="3" t="s">
        <v>116</v>
      </c>
      <c r="B90" s="6">
        <f t="shared" ref="B90:AF90" si="15">(((B86)+(B87))+(B88))+(B89)</f>
        <v>348.53</v>
      </c>
      <c r="C90" s="6">
        <f t="shared" si="15"/>
        <v>0</v>
      </c>
      <c r="D90" s="6">
        <f t="shared" si="15"/>
        <v>4497.91</v>
      </c>
      <c r="E90" s="6">
        <f t="shared" si="15"/>
        <v>99692.89</v>
      </c>
      <c r="F90" s="6">
        <f t="shared" si="15"/>
        <v>4572.9399999999996</v>
      </c>
      <c r="G90" s="6">
        <f t="shared" si="15"/>
        <v>7773.69</v>
      </c>
      <c r="H90" s="6">
        <f t="shared" si="15"/>
        <v>3886.31</v>
      </c>
      <c r="I90" s="6">
        <f t="shared" si="15"/>
        <v>4704.3100000000004</v>
      </c>
      <c r="J90" s="6">
        <f t="shared" si="15"/>
        <v>0</v>
      </c>
      <c r="K90" s="6">
        <f t="shared" si="15"/>
        <v>2670.25</v>
      </c>
      <c r="L90" s="6">
        <f t="shared" si="15"/>
        <v>3294.23</v>
      </c>
      <c r="M90" s="6">
        <f t="shared" si="15"/>
        <v>50784.65</v>
      </c>
      <c r="N90" s="6">
        <f t="shared" si="15"/>
        <v>30226.32</v>
      </c>
      <c r="O90" s="6">
        <f t="shared" si="15"/>
        <v>43555.87</v>
      </c>
      <c r="P90" s="6">
        <f t="shared" si="15"/>
        <v>29706.39</v>
      </c>
      <c r="Q90" s="6">
        <f t="shared" si="15"/>
        <v>23901.61</v>
      </c>
      <c r="R90" s="6">
        <f t="shared" si="15"/>
        <v>4267.62</v>
      </c>
      <c r="S90" s="6">
        <f t="shared" si="15"/>
        <v>5433.71</v>
      </c>
      <c r="T90" s="6">
        <f t="shared" si="15"/>
        <v>18480.879999999997</v>
      </c>
      <c r="U90" s="6">
        <f t="shared" si="15"/>
        <v>36828.32</v>
      </c>
      <c r="V90" s="6">
        <f t="shared" si="15"/>
        <v>24338.17</v>
      </c>
      <c r="W90" s="6">
        <f t="shared" si="15"/>
        <v>2132.79</v>
      </c>
      <c r="X90" s="6">
        <f t="shared" si="15"/>
        <v>49181.52</v>
      </c>
      <c r="Y90" s="6">
        <f t="shared" si="15"/>
        <v>100.67</v>
      </c>
      <c r="Z90" s="6">
        <f t="shared" si="15"/>
        <v>0</v>
      </c>
      <c r="AA90" s="6">
        <f t="shared" si="15"/>
        <v>407.53</v>
      </c>
      <c r="AB90" s="6">
        <f t="shared" si="15"/>
        <v>1000</v>
      </c>
      <c r="AC90" s="6">
        <f t="shared" si="15"/>
        <v>88760.68</v>
      </c>
      <c r="AD90" s="6">
        <f t="shared" si="15"/>
        <v>203169.62</v>
      </c>
      <c r="AE90" s="6">
        <f t="shared" si="15"/>
        <v>3717.32</v>
      </c>
      <c r="AF90" s="6">
        <f t="shared" si="15"/>
        <v>0</v>
      </c>
      <c r="AG90" s="6">
        <f t="shared" si="10"/>
        <v>747434.73</v>
      </c>
    </row>
    <row r="91" spans="1:33" x14ac:dyDescent="0.25">
      <c r="A91" s="3" t="s">
        <v>117</v>
      </c>
      <c r="B91" s="6">
        <f t="shared" ref="B91:AF91" si="16">((((((((B35)+(B48))+(B54))+(B55))+(B66))+(B70))+(B78))+(B85))+(B90)</f>
        <v>866818.46</v>
      </c>
      <c r="C91" s="6">
        <f t="shared" si="16"/>
        <v>0</v>
      </c>
      <c r="D91" s="6">
        <f t="shared" si="16"/>
        <v>59999.91</v>
      </c>
      <c r="E91" s="6">
        <f t="shared" si="16"/>
        <v>931621.69</v>
      </c>
      <c r="F91" s="6">
        <f t="shared" si="16"/>
        <v>50730.61</v>
      </c>
      <c r="G91" s="6">
        <f t="shared" si="16"/>
        <v>85483.85</v>
      </c>
      <c r="H91" s="6">
        <f t="shared" si="16"/>
        <v>42749.36</v>
      </c>
      <c r="I91" s="6">
        <f t="shared" si="16"/>
        <v>63508.22</v>
      </c>
      <c r="J91" s="6">
        <f t="shared" si="16"/>
        <v>140503.87</v>
      </c>
      <c r="K91" s="6">
        <f t="shared" si="16"/>
        <v>27731.78</v>
      </c>
      <c r="L91" s="6">
        <f t="shared" si="16"/>
        <v>36255.530000000006</v>
      </c>
      <c r="M91" s="6">
        <f t="shared" si="16"/>
        <v>558631.03</v>
      </c>
      <c r="N91" s="6">
        <f t="shared" si="16"/>
        <v>260961.56</v>
      </c>
      <c r="O91" s="6">
        <f t="shared" si="16"/>
        <v>406521.36</v>
      </c>
      <c r="P91" s="6">
        <f t="shared" si="16"/>
        <v>277259.55</v>
      </c>
      <c r="Q91" s="6">
        <f t="shared" si="16"/>
        <v>263567.64999999997</v>
      </c>
      <c r="R91" s="6">
        <f t="shared" si="16"/>
        <v>57612.9</v>
      </c>
      <c r="S91" s="6">
        <f t="shared" si="16"/>
        <v>73458.740000000005</v>
      </c>
      <c r="T91" s="6">
        <f t="shared" si="16"/>
        <v>211660.85000000003</v>
      </c>
      <c r="U91" s="6">
        <f t="shared" si="16"/>
        <v>478784.75</v>
      </c>
      <c r="V91" s="6">
        <f t="shared" si="16"/>
        <v>198182.19</v>
      </c>
      <c r="W91" s="6">
        <f t="shared" si="16"/>
        <v>18413.66</v>
      </c>
      <c r="X91" s="6">
        <f t="shared" si="16"/>
        <v>540814.37</v>
      </c>
      <c r="Y91" s="6">
        <f t="shared" si="16"/>
        <v>5134.42</v>
      </c>
      <c r="Z91" s="6">
        <f t="shared" si="16"/>
        <v>113.96</v>
      </c>
      <c r="AA91" s="6">
        <f t="shared" si="16"/>
        <v>4482.87</v>
      </c>
      <c r="AB91" s="6">
        <f t="shared" si="16"/>
        <v>11000</v>
      </c>
      <c r="AC91" s="6">
        <f t="shared" si="16"/>
        <v>719201.3</v>
      </c>
      <c r="AD91" s="6">
        <f t="shared" si="16"/>
        <v>1616018.29</v>
      </c>
      <c r="AE91" s="6">
        <f t="shared" si="16"/>
        <v>46527.72</v>
      </c>
      <c r="AF91" s="6">
        <f t="shared" si="16"/>
        <v>0</v>
      </c>
      <c r="AG91" s="6">
        <f t="shared" si="10"/>
        <v>8053750.4500000002</v>
      </c>
    </row>
    <row r="92" spans="1:33" x14ac:dyDescent="0.25">
      <c r="A92" s="3" t="s">
        <v>118</v>
      </c>
      <c r="B92" s="6">
        <f t="shared" ref="B92:AF92" si="17">(B30)-(B91)</f>
        <v>384095.38000000012</v>
      </c>
      <c r="C92" s="6">
        <f t="shared" si="17"/>
        <v>490.44</v>
      </c>
      <c r="D92" s="6">
        <f t="shared" si="17"/>
        <v>-0.14000000000669388</v>
      </c>
      <c r="E92" s="6">
        <f t="shared" si="17"/>
        <v>1327227.27</v>
      </c>
      <c r="F92" s="6">
        <f t="shared" si="17"/>
        <v>-7251</v>
      </c>
      <c r="G92" s="6">
        <f t="shared" si="17"/>
        <v>0</v>
      </c>
      <c r="H92" s="6">
        <f t="shared" si="17"/>
        <v>5339.260000000002</v>
      </c>
      <c r="I92" s="6">
        <f t="shared" si="17"/>
        <v>0</v>
      </c>
      <c r="J92" s="6">
        <f t="shared" si="17"/>
        <v>336536.06</v>
      </c>
      <c r="K92" s="6">
        <f t="shared" si="17"/>
        <v>18457.489999999998</v>
      </c>
      <c r="L92" s="6">
        <f t="shared" si="17"/>
        <v>32834.43</v>
      </c>
      <c r="M92" s="6">
        <f t="shared" si="17"/>
        <v>-92263.800000000047</v>
      </c>
      <c r="N92" s="6">
        <f t="shared" si="17"/>
        <v>0</v>
      </c>
      <c r="O92" s="6">
        <f t="shared" si="17"/>
        <v>0</v>
      </c>
      <c r="P92" s="6">
        <f t="shared" si="17"/>
        <v>-56873.479999999981</v>
      </c>
      <c r="Q92" s="6">
        <f t="shared" si="17"/>
        <v>-12661.879999999976</v>
      </c>
      <c r="R92" s="6">
        <f t="shared" si="17"/>
        <v>0.54999999999563443</v>
      </c>
      <c r="S92" s="6">
        <f t="shared" si="17"/>
        <v>9.9999999947613105E-3</v>
      </c>
      <c r="T92" s="6">
        <f t="shared" si="17"/>
        <v>0</v>
      </c>
      <c r="U92" s="6">
        <f t="shared" si="17"/>
        <v>0</v>
      </c>
      <c r="V92" s="6">
        <f t="shared" si="17"/>
        <v>-500</v>
      </c>
      <c r="W92" s="6">
        <f t="shared" si="17"/>
        <v>-18413.66</v>
      </c>
      <c r="X92" s="6">
        <f t="shared" si="17"/>
        <v>0</v>
      </c>
      <c r="Y92" s="6">
        <f t="shared" si="17"/>
        <v>0</v>
      </c>
      <c r="Z92" s="6">
        <f t="shared" si="17"/>
        <v>-113.96</v>
      </c>
      <c r="AA92" s="6">
        <f t="shared" si="17"/>
        <v>0</v>
      </c>
      <c r="AB92" s="6">
        <f t="shared" si="17"/>
        <v>-11000</v>
      </c>
      <c r="AC92" s="6">
        <f t="shared" si="17"/>
        <v>0</v>
      </c>
      <c r="AD92" s="6">
        <f t="shared" si="17"/>
        <v>-6810.2199999999721</v>
      </c>
      <c r="AE92" s="6">
        <f t="shared" si="17"/>
        <v>41872.28</v>
      </c>
      <c r="AF92" s="6">
        <f t="shared" si="17"/>
        <v>0</v>
      </c>
      <c r="AG92" s="6">
        <f t="shared" si="10"/>
        <v>1940965.0300000007</v>
      </c>
    </row>
    <row r="93" spans="1:33" x14ac:dyDescent="0.25">
      <c r="A93" s="3" t="s">
        <v>119</v>
      </c>
      <c r="B93" s="7">
        <f t="shared" ref="B93:AF93" si="18">(B92)+(0)</f>
        <v>384095.38000000012</v>
      </c>
      <c r="C93" s="7">
        <f t="shared" si="18"/>
        <v>490.44</v>
      </c>
      <c r="D93" s="7">
        <f t="shared" si="18"/>
        <v>-0.14000000000669388</v>
      </c>
      <c r="E93" s="7">
        <f t="shared" si="18"/>
        <v>1327227.27</v>
      </c>
      <c r="F93" s="7">
        <f t="shared" si="18"/>
        <v>-7251</v>
      </c>
      <c r="G93" s="7">
        <f t="shared" si="18"/>
        <v>0</v>
      </c>
      <c r="H93" s="7">
        <f t="shared" si="18"/>
        <v>5339.260000000002</v>
      </c>
      <c r="I93" s="7">
        <f t="shared" si="18"/>
        <v>0</v>
      </c>
      <c r="J93" s="7">
        <f t="shared" si="18"/>
        <v>336536.06</v>
      </c>
      <c r="K93" s="7">
        <f t="shared" si="18"/>
        <v>18457.489999999998</v>
      </c>
      <c r="L93" s="7">
        <f t="shared" si="18"/>
        <v>32834.43</v>
      </c>
      <c r="M93" s="7">
        <f t="shared" si="18"/>
        <v>-92263.800000000047</v>
      </c>
      <c r="N93" s="7">
        <f t="shared" si="18"/>
        <v>0</v>
      </c>
      <c r="O93" s="7">
        <f t="shared" si="18"/>
        <v>0</v>
      </c>
      <c r="P93" s="7">
        <f t="shared" si="18"/>
        <v>-56873.479999999981</v>
      </c>
      <c r="Q93" s="7">
        <f t="shared" si="18"/>
        <v>-12661.879999999976</v>
      </c>
      <c r="R93" s="7">
        <f t="shared" si="18"/>
        <v>0.54999999999563443</v>
      </c>
      <c r="S93" s="7">
        <f t="shared" si="18"/>
        <v>9.9999999947613105E-3</v>
      </c>
      <c r="T93" s="7">
        <f t="shared" si="18"/>
        <v>0</v>
      </c>
      <c r="U93" s="7">
        <f t="shared" si="18"/>
        <v>0</v>
      </c>
      <c r="V93" s="7">
        <f t="shared" si="18"/>
        <v>-500</v>
      </c>
      <c r="W93" s="7">
        <f t="shared" si="18"/>
        <v>-18413.66</v>
      </c>
      <c r="X93" s="7">
        <f t="shared" si="18"/>
        <v>0</v>
      </c>
      <c r="Y93" s="7">
        <f t="shared" si="18"/>
        <v>0</v>
      </c>
      <c r="Z93" s="7">
        <f t="shared" si="18"/>
        <v>-113.96</v>
      </c>
      <c r="AA93" s="7">
        <f t="shared" si="18"/>
        <v>0</v>
      </c>
      <c r="AB93" s="7">
        <f t="shared" si="18"/>
        <v>-11000</v>
      </c>
      <c r="AC93" s="7">
        <f t="shared" si="18"/>
        <v>0</v>
      </c>
      <c r="AD93" s="7">
        <f t="shared" si="18"/>
        <v>-6810.2199999999721</v>
      </c>
      <c r="AE93" s="7">
        <f t="shared" si="18"/>
        <v>41872.28</v>
      </c>
      <c r="AF93" s="7">
        <f t="shared" si="18"/>
        <v>0</v>
      </c>
      <c r="AG93" s="7">
        <f t="shared" si="10"/>
        <v>1940965.0300000007</v>
      </c>
    </row>
    <row r="94" spans="1:33" x14ac:dyDescent="0.2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7" spans="1:33" x14ac:dyDescent="0.25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</sheetData>
  <sheetProtection algorithmName="SHA-512" hashValue="Fbl9FXfVRrSNWqfdvaixRE46BHKaok9XtrgtqiIZTKWteEkYWbZuTqRFI+T1fh4dFb/BmljSIZCw9AjWywGqNw==" saltValue="GNrTJTfRUU7Gk4c9qmGOtA==" spinCount="100000" sheet="1" objects="1" scenarios="1"/>
  <mergeCells count="4">
    <mergeCell ref="A97:AG97"/>
    <mergeCell ref="A1:AG1"/>
    <mergeCell ref="A2:AG2"/>
    <mergeCell ref="A3:AG3"/>
  </mergeCells>
  <pageMargins left="0.7" right="0.7" top="0.75" bottom="0.75" header="0.3" footer="0.3"/>
  <pageSetup paperSize="5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Angie Perkins</cp:lastModifiedBy>
  <cp:lastPrinted>2025-01-09T16:14:31Z</cp:lastPrinted>
  <dcterms:created xsi:type="dcterms:W3CDTF">2025-01-09T16:13:25Z</dcterms:created>
  <dcterms:modified xsi:type="dcterms:W3CDTF">2025-01-09T16:15:42Z</dcterms:modified>
</cp:coreProperties>
</file>