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January 2025 Board Meeting\"/>
    </mc:Choice>
  </mc:AlternateContent>
  <xr:revisionPtr revIDLastSave="0" documentId="13_ncr:1_{76A49E5C-E414-42F6-92A7-5F5F316C592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D88" i="1" l="1"/>
  <c r="Z88" i="1"/>
  <c r="V88" i="1"/>
  <c r="R88" i="1"/>
  <c r="N88" i="1"/>
  <c r="L88" i="1"/>
  <c r="J88" i="1"/>
  <c r="F88" i="1"/>
  <c r="D88" i="1"/>
  <c r="C88" i="1"/>
  <c r="B88" i="1"/>
  <c r="AC87" i="1"/>
  <c r="AC88" i="1" s="1"/>
  <c r="AB87" i="1"/>
  <c r="AA87" i="1"/>
  <c r="AA88" i="1" s="1"/>
  <c r="Z87" i="1"/>
  <c r="Y87" i="1"/>
  <c r="Y88" i="1" s="1"/>
  <c r="X87" i="1"/>
  <c r="X88" i="1" s="1"/>
  <c r="W87" i="1"/>
  <c r="W88" i="1" s="1"/>
  <c r="V87" i="1"/>
  <c r="U87" i="1"/>
  <c r="T87" i="1"/>
  <c r="S87" i="1"/>
  <c r="S88" i="1" s="1"/>
  <c r="R87" i="1"/>
  <c r="Q87" i="1"/>
  <c r="Q88" i="1" s="1"/>
  <c r="P87" i="1"/>
  <c r="P88" i="1" s="1"/>
  <c r="O87" i="1"/>
  <c r="O88" i="1" s="1"/>
  <c r="N87" i="1"/>
  <c r="M87" i="1"/>
  <c r="M88" i="1" s="1"/>
  <c r="L87" i="1"/>
  <c r="K87" i="1"/>
  <c r="K88" i="1" s="1"/>
  <c r="I87" i="1"/>
  <c r="I88" i="1" s="1"/>
  <c r="H87" i="1"/>
  <c r="H88" i="1" s="1"/>
  <c r="G87" i="1"/>
  <c r="G88" i="1" s="1"/>
  <c r="F87" i="1"/>
  <c r="E87" i="1"/>
  <c r="D87" i="1"/>
  <c r="AE87" i="1" s="1"/>
  <c r="E86" i="1"/>
  <c r="AE86" i="1" s="1"/>
  <c r="AB85" i="1"/>
  <c r="AB88" i="1" s="1"/>
  <c r="U85" i="1"/>
  <c r="U88" i="1" s="1"/>
  <c r="T85" i="1"/>
  <c r="T88" i="1" s="1"/>
  <c r="B85" i="1"/>
  <c r="AE85" i="1" s="1"/>
  <c r="AE84" i="1"/>
  <c r="AD83" i="1"/>
  <c r="AB83" i="1"/>
  <c r="Z83" i="1"/>
  <c r="T83" i="1"/>
  <c r="R83" i="1"/>
  <c r="P83" i="1"/>
  <c r="O83" i="1"/>
  <c r="L83" i="1"/>
  <c r="I83" i="1"/>
  <c r="G83" i="1"/>
  <c r="D83" i="1"/>
  <c r="C83" i="1"/>
  <c r="B82" i="1"/>
  <c r="AE82" i="1" s="1"/>
  <c r="AB81" i="1"/>
  <c r="X81" i="1"/>
  <c r="U81" i="1"/>
  <c r="T81" i="1"/>
  <c r="AE81" i="1" s="1"/>
  <c r="S81" i="1"/>
  <c r="J81" i="1"/>
  <c r="AB80" i="1"/>
  <c r="AA80" i="1"/>
  <c r="Y80" i="1"/>
  <c r="Y83" i="1" s="1"/>
  <c r="X80" i="1"/>
  <c r="W80" i="1"/>
  <c r="W83" i="1" s="1"/>
  <c r="V80" i="1"/>
  <c r="U80" i="1"/>
  <c r="T80" i="1"/>
  <c r="Q80" i="1"/>
  <c r="N80" i="1"/>
  <c r="J80" i="1"/>
  <c r="H80" i="1"/>
  <c r="H83" i="1" s="1"/>
  <c r="F80" i="1"/>
  <c r="F83" i="1" s="1"/>
  <c r="E80" i="1"/>
  <c r="D80" i="1"/>
  <c r="B80" i="1"/>
  <c r="AE80" i="1" s="1"/>
  <c r="AB79" i="1"/>
  <c r="AA79" i="1"/>
  <c r="X79" i="1"/>
  <c r="X83" i="1" s="1"/>
  <c r="V79" i="1"/>
  <c r="V83" i="1" s="1"/>
  <c r="U79" i="1"/>
  <c r="T79" i="1"/>
  <c r="N79" i="1"/>
  <c r="N83" i="1" s="1"/>
  <c r="K79" i="1"/>
  <c r="J79" i="1"/>
  <c r="F79" i="1"/>
  <c r="E79" i="1"/>
  <c r="E83" i="1" s="1"/>
  <c r="B79" i="1"/>
  <c r="AE79" i="1" s="1"/>
  <c r="AC78" i="1"/>
  <c r="AC83" i="1" s="1"/>
  <c r="AB78" i="1"/>
  <c r="AA78" i="1"/>
  <c r="AA83" i="1" s="1"/>
  <c r="X78" i="1"/>
  <c r="V78" i="1"/>
  <c r="U78" i="1"/>
  <c r="U83" i="1" s="1"/>
  <c r="T78" i="1"/>
  <c r="S78" i="1"/>
  <c r="S83" i="1" s="1"/>
  <c r="Q78" i="1"/>
  <c r="Q83" i="1" s="1"/>
  <c r="M78" i="1"/>
  <c r="M83" i="1" s="1"/>
  <c r="K78" i="1"/>
  <c r="K83" i="1" s="1"/>
  <c r="J78" i="1"/>
  <c r="J83" i="1" s="1"/>
  <c r="D78" i="1"/>
  <c r="B78" i="1"/>
  <c r="B83" i="1" s="1"/>
  <c r="AE77" i="1"/>
  <c r="AD76" i="1"/>
  <c r="AC76" i="1"/>
  <c r="Y76" i="1"/>
  <c r="R76" i="1"/>
  <c r="Q76" i="1"/>
  <c r="P76" i="1"/>
  <c r="O76" i="1"/>
  <c r="M76" i="1"/>
  <c r="L76" i="1"/>
  <c r="I76" i="1"/>
  <c r="H76" i="1"/>
  <c r="C76" i="1"/>
  <c r="AB75" i="1"/>
  <c r="AA75" i="1"/>
  <c r="Z75" i="1"/>
  <c r="Z76" i="1" s="1"/>
  <c r="X75" i="1"/>
  <c r="W75" i="1"/>
  <c r="V75" i="1"/>
  <c r="U75" i="1"/>
  <c r="T75" i="1"/>
  <c r="S75" i="1"/>
  <c r="N75" i="1"/>
  <c r="K75" i="1"/>
  <c r="J75" i="1"/>
  <c r="J76" i="1" s="1"/>
  <c r="H75" i="1"/>
  <c r="G75" i="1"/>
  <c r="G76" i="1" s="1"/>
  <c r="F75" i="1"/>
  <c r="F76" i="1" s="1"/>
  <c r="E75" i="1"/>
  <c r="AE75" i="1" s="1"/>
  <c r="D75" i="1"/>
  <c r="B75" i="1"/>
  <c r="W74" i="1"/>
  <c r="W76" i="1" s="1"/>
  <c r="K74" i="1"/>
  <c r="K76" i="1" s="1"/>
  <c r="J74" i="1"/>
  <c r="H74" i="1"/>
  <c r="E74" i="1"/>
  <c r="D74" i="1"/>
  <c r="B74" i="1"/>
  <c r="AE74" i="1" s="1"/>
  <c r="AB73" i="1"/>
  <c r="AA73" i="1"/>
  <c r="X73" i="1"/>
  <c r="V73" i="1"/>
  <c r="U73" i="1"/>
  <c r="T73" i="1"/>
  <c r="E73" i="1"/>
  <c r="D73" i="1"/>
  <c r="B73" i="1"/>
  <c r="AE73" i="1" s="1"/>
  <c r="AB72" i="1"/>
  <c r="AA72" i="1"/>
  <c r="AA76" i="1" s="1"/>
  <c r="X72" i="1"/>
  <c r="X76" i="1" s="1"/>
  <c r="V72" i="1"/>
  <c r="V76" i="1" s="1"/>
  <c r="U72" i="1"/>
  <c r="T72" i="1"/>
  <c r="S72" i="1"/>
  <c r="S76" i="1" s="1"/>
  <c r="N72" i="1"/>
  <c r="E72" i="1"/>
  <c r="D72" i="1"/>
  <c r="D76" i="1" s="1"/>
  <c r="B72" i="1"/>
  <c r="AE72" i="1" s="1"/>
  <c r="AB71" i="1"/>
  <c r="AB76" i="1" s="1"/>
  <c r="X71" i="1"/>
  <c r="U71" i="1"/>
  <c r="U76" i="1" s="1"/>
  <c r="T71" i="1"/>
  <c r="N71" i="1"/>
  <c r="N76" i="1" s="1"/>
  <c r="E71" i="1"/>
  <c r="B71" i="1"/>
  <c r="B76" i="1" s="1"/>
  <c r="AE76" i="1" s="1"/>
  <c r="AE70" i="1"/>
  <c r="U70" i="1"/>
  <c r="T70" i="1"/>
  <c r="T76" i="1" s="1"/>
  <c r="E70" i="1"/>
  <c r="E76" i="1" s="1"/>
  <c r="B70" i="1"/>
  <c r="AE69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E67" i="1"/>
  <c r="B67" i="1"/>
  <c r="AE67" i="1" s="1"/>
  <c r="AE66" i="1"/>
  <c r="E66" i="1"/>
  <c r="B66" i="1"/>
  <c r="AE65" i="1"/>
  <c r="AD64" i="1"/>
  <c r="AC64" i="1"/>
  <c r="AB64" i="1"/>
  <c r="AA64" i="1"/>
  <c r="Z64" i="1"/>
  <c r="W64" i="1"/>
  <c r="V64" i="1"/>
  <c r="T64" i="1"/>
  <c r="S64" i="1"/>
  <c r="R64" i="1"/>
  <c r="Q64" i="1"/>
  <c r="P64" i="1"/>
  <c r="O64" i="1"/>
  <c r="M64" i="1"/>
  <c r="L64" i="1"/>
  <c r="K64" i="1"/>
  <c r="I64" i="1"/>
  <c r="G64" i="1"/>
  <c r="F64" i="1"/>
  <c r="D64" i="1"/>
  <c r="C64" i="1"/>
  <c r="B63" i="1"/>
  <c r="AE63" i="1" s="1"/>
  <c r="AB62" i="1"/>
  <c r="AA62" i="1"/>
  <c r="Y62" i="1"/>
  <c r="Y64" i="1" s="1"/>
  <c r="X62" i="1"/>
  <c r="X64" i="1" s="1"/>
  <c r="V62" i="1"/>
  <c r="U62" i="1"/>
  <c r="T62" i="1"/>
  <c r="S62" i="1"/>
  <c r="N62" i="1"/>
  <c r="N64" i="1" s="1"/>
  <c r="J62" i="1"/>
  <c r="J64" i="1" s="1"/>
  <c r="H62" i="1"/>
  <c r="H64" i="1" s="1"/>
  <c r="E62" i="1"/>
  <c r="AE62" i="1" s="1"/>
  <c r="D62" i="1"/>
  <c r="B62" i="1"/>
  <c r="AE61" i="1"/>
  <c r="E61" i="1"/>
  <c r="B61" i="1"/>
  <c r="U60" i="1"/>
  <c r="U64" i="1" s="1"/>
  <c r="AE59" i="1"/>
  <c r="E59" i="1"/>
  <c r="B59" i="1"/>
  <c r="AE58" i="1"/>
  <c r="E58" i="1"/>
  <c r="B58" i="1"/>
  <c r="E57" i="1"/>
  <c r="E64" i="1" s="1"/>
  <c r="B57" i="1"/>
  <c r="AE57" i="1" s="1"/>
  <c r="E56" i="1"/>
  <c r="B56" i="1"/>
  <c r="B64" i="1" s="1"/>
  <c r="AE55" i="1"/>
  <c r="AB54" i="1"/>
  <c r="AA54" i="1"/>
  <c r="X54" i="1"/>
  <c r="W54" i="1"/>
  <c r="V54" i="1"/>
  <c r="N54" i="1"/>
  <c r="J54" i="1"/>
  <c r="H54" i="1"/>
  <c r="G54" i="1"/>
  <c r="F54" i="1"/>
  <c r="E54" i="1"/>
  <c r="AE54" i="1" s="1"/>
  <c r="D54" i="1"/>
  <c r="B54" i="1"/>
  <c r="AD53" i="1"/>
  <c r="AC53" i="1"/>
  <c r="AA53" i="1"/>
  <c r="Z53" i="1"/>
  <c r="Y53" i="1"/>
  <c r="W53" i="1"/>
  <c r="R53" i="1"/>
  <c r="Q53" i="1"/>
  <c r="P53" i="1"/>
  <c r="N53" i="1"/>
  <c r="K53" i="1"/>
  <c r="J53" i="1"/>
  <c r="I53" i="1"/>
  <c r="G53" i="1"/>
  <c r="F53" i="1"/>
  <c r="C53" i="1"/>
  <c r="AB52" i="1"/>
  <c r="AB53" i="1" s="1"/>
  <c r="AA52" i="1"/>
  <c r="X52" i="1"/>
  <c r="V52" i="1"/>
  <c r="V53" i="1" s="1"/>
  <c r="U52" i="1"/>
  <c r="T52" i="1"/>
  <c r="S52" i="1"/>
  <c r="S53" i="1" s="1"/>
  <c r="N52" i="1"/>
  <c r="L52" i="1"/>
  <c r="L53" i="1" s="1"/>
  <c r="H52" i="1"/>
  <c r="H53" i="1" s="1"/>
  <c r="G52" i="1"/>
  <c r="E52" i="1"/>
  <c r="D52" i="1"/>
  <c r="D53" i="1" s="1"/>
  <c r="B52" i="1"/>
  <c r="AE52" i="1" s="1"/>
  <c r="AE51" i="1"/>
  <c r="E51" i="1"/>
  <c r="B51" i="1"/>
  <c r="AE50" i="1"/>
  <c r="B50" i="1"/>
  <c r="AA49" i="1"/>
  <c r="X49" i="1"/>
  <c r="X53" i="1" s="1"/>
  <c r="U49" i="1"/>
  <c r="U53" i="1" s="1"/>
  <c r="T49" i="1"/>
  <c r="T53" i="1" s="1"/>
  <c r="S49" i="1"/>
  <c r="O49" i="1"/>
  <c r="O53" i="1" s="1"/>
  <c r="M49" i="1"/>
  <c r="M53" i="1" s="1"/>
  <c r="J49" i="1"/>
  <c r="G49" i="1"/>
  <c r="E49" i="1"/>
  <c r="E53" i="1" s="1"/>
  <c r="B49" i="1"/>
  <c r="B53" i="1" s="1"/>
  <c r="AE48" i="1"/>
  <c r="AD47" i="1"/>
  <c r="Z47" i="1"/>
  <c r="Y47" i="1"/>
  <c r="W47" i="1"/>
  <c r="R47" i="1"/>
  <c r="Q47" i="1"/>
  <c r="J47" i="1"/>
  <c r="I47" i="1"/>
  <c r="C47" i="1"/>
  <c r="AE46" i="1"/>
  <c r="AC46" i="1"/>
  <c r="AB46" i="1"/>
  <c r="AA46" i="1"/>
  <c r="Y46" i="1"/>
  <c r="X46" i="1"/>
  <c r="V46" i="1"/>
  <c r="U46" i="1"/>
  <c r="T46" i="1"/>
  <c r="Q46" i="1"/>
  <c r="O46" i="1"/>
  <c r="N46" i="1"/>
  <c r="K46" i="1"/>
  <c r="G46" i="1"/>
  <c r="F46" i="1"/>
  <c r="D46" i="1"/>
  <c r="AE45" i="1"/>
  <c r="AB45" i="1"/>
  <c r="AA45" i="1"/>
  <c r="X45" i="1"/>
  <c r="V45" i="1"/>
  <c r="Q45" i="1"/>
  <c r="P45" i="1"/>
  <c r="N45" i="1"/>
  <c r="M45" i="1"/>
  <c r="L45" i="1"/>
  <c r="I45" i="1"/>
  <c r="H45" i="1"/>
  <c r="F45" i="1"/>
  <c r="E45" i="1"/>
  <c r="D45" i="1"/>
  <c r="B44" i="1"/>
  <c r="AE44" i="1" s="1"/>
  <c r="AC43" i="1"/>
  <c r="AB43" i="1"/>
  <c r="AA43" i="1"/>
  <c r="U43" i="1"/>
  <c r="T43" i="1"/>
  <c r="O43" i="1"/>
  <c r="M43" i="1"/>
  <c r="E43" i="1"/>
  <c r="B43" i="1"/>
  <c r="AE43" i="1" s="1"/>
  <c r="AC42" i="1"/>
  <c r="AB42" i="1"/>
  <c r="AA42" i="1"/>
  <c r="Y42" i="1"/>
  <c r="X42" i="1"/>
  <c r="V42" i="1"/>
  <c r="U42" i="1"/>
  <c r="T42" i="1"/>
  <c r="Q42" i="1"/>
  <c r="O42" i="1"/>
  <c r="N42" i="1"/>
  <c r="K42" i="1"/>
  <c r="G42" i="1"/>
  <c r="AE42" i="1" s="1"/>
  <c r="F42" i="1"/>
  <c r="D42" i="1"/>
  <c r="AB41" i="1"/>
  <c r="AA41" i="1"/>
  <c r="X41" i="1"/>
  <c r="U41" i="1"/>
  <c r="T41" i="1"/>
  <c r="P41" i="1"/>
  <c r="O41" i="1"/>
  <c r="N41" i="1"/>
  <c r="M41" i="1"/>
  <c r="I41" i="1"/>
  <c r="E41" i="1"/>
  <c r="D41" i="1"/>
  <c r="B41" i="1"/>
  <c r="AE41" i="1" s="1"/>
  <c r="AD40" i="1"/>
  <c r="AC40" i="1"/>
  <c r="AB40" i="1"/>
  <c r="AA40" i="1"/>
  <c r="Y40" i="1"/>
  <c r="X40" i="1"/>
  <c r="V40" i="1"/>
  <c r="U40" i="1"/>
  <c r="T40" i="1"/>
  <c r="S40" i="1"/>
  <c r="R40" i="1"/>
  <c r="Q40" i="1"/>
  <c r="N40" i="1"/>
  <c r="M40" i="1"/>
  <c r="L40" i="1"/>
  <c r="K40" i="1"/>
  <c r="H40" i="1"/>
  <c r="G40" i="1"/>
  <c r="F40" i="1"/>
  <c r="E40" i="1"/>
  <c r="D40" i="1"/>
  <c r="B40" i="1"/>
  <c r="AE40" i="1" s="1"/>
  <c r="AD39" i="1"/>
  <c r="AC39" i="1"/>
  <c r="AB39" i="1"/>
  <c r="AA39" i="1"/>
  <c r="Y39" i="1"/>
  <c r="X39" i="1"/>
  <c r="V39" i="1"/>
  <c r="U39" i="1"/>
  <c r="T39" i="1"/>
  <c r="S39" i="1"/>
  <c r="S47" i="1" s="1"/>
  <c r="R39" i="1"/>
  <c r="Q39" i="1"/>
  <c r="P39" i="1"/>
  <c r="O39" i="1"/>
  <c r="N39" i="1"/>
  <c r="N47" i="1" s="1"/>
  <c r="M39" i="1"/>
  <c r="L39" i="1"/>
  <c r="L47" i="1" s="1"/>
  <c r="K39" i="1"/>
  <c r="I39" i="1"/>
  <c r="H39" i="1"/>
  <c r="H47" i="1" s="1"/>
  <c r="G39" i="1"/>
  <c r="F39" i="1"/>
  <c r="E39" i="1"/>
  <c r="D39" i="1"/>
  <c r="AE39" i="1" s="1"/>
  <c r="B39" i="1"/>
  <c r="AB38" i="1"/>
  <c r="AA38" i="1"/>
  <c r="X38" i="1"/>
  <c r="U38" i="1"/>
  <c r="T38" i="1"/>
  <c r="P38" i="1"/>
  <c r="P47" i="1" s="1"/>
  <c r="O38" i="1"/>
  <c r="N38" i="1"/>
  <c r="M38" i="1"/>
  <c r="M47" i="1" s="1"/>
  <c r="I38" i="1"/>
  <c r="E38" i="1"/>
  <c r="E47" i="1" s="1"/>
  <c r="D38" i="1"/>
  <c r="B38" i="1"/>
  <c r="AE38" i="1" s="1"/>
  <c r="AE37" i="1"/>
  <c r="B37" i="1"/>
  <c r="AC36" i="1"/>
  <c r="AC47" i="1" s="1"/>
  <c r="AB36" i="1"/>
  <c r="AB47" i="1" s="1"/>
  <c r="AA36" i="1"/>
  <c r="AA47" i="1" s="1"/>
  <c r="Y36" i="1"/>
  <c r="X36" i="1"/>
  <c r="X47" i="1" s="1"/>
  <c r="V36" i="1"/>
  <c r="V47" i="1" s="1"/>
  <c r="U36" i="1"/>
  <c r="U47" i="1" s="1"/>
  <c r="T36" i="1"/>
  <c r="T47" i="1" s="1"/>
  <c r="Q36" i="1"/>
  <c r="O36" i="1"/>
  <c r="O47" i="1" s="1"/>
  <c r="N36" i="1"/>
  <c r="K36" i="1"/>
  <c r="K47" i="1" s="1"/>
  <c r="G36" i="1"/>
  <c r="G47" i="1" s="1"/>
  <c r="F36" i="1"/>
  <c r="F47" i="1" s="1"/>
  <c r="D36" i="1"/>
  <c r="AE36" i="1" s="1"/>
  <c r="AE35" i="1"/>
  <c r="AB34" i="1"/>
  <c r="AA34" i="1"/>
  <c r="Z34" i="1"/>
  <c r="Z89" i="1" s="1"/>
  <c r="W34" i="1"/>
  <c r="W89" i="1" s="1"/>
  <c r="S34" i="1"/>
  <c r="R34" i="1"/>
  <c r="R89" i="1" s="1"/>
  <c r="G34" i="1"/>
  <c r="G89" i="1" s="1"/>
  <c r="D34" i="1"/>
  <c r="C34" i="1"/>
  <c r="C89" i="1" s="1"/>
  <c r="B34" i="1"/>
  <c r="AB33" i="1"/>
  <c r="AA33" i="1"/>
  <c r="X33" i="1"/>
  <c r="U33" i="1"/>
  <c r="T33" i="1"/>
  <c r="P33" i="1"/>
  <c r="P34" i="1" s="1"/>
  <c r="P89" i="1" s="1"/>
  <c r="O33" i="1"/>
  <c r="O34" i="1" s="1"/>
  <c r="N33" i="1"/>
  <c r="M33" i="1"/>
  <c r="I33" i="1"/>
  <c r="I34" i="1" s="1"/>
  <c r="I89" i="1" s="1"/>
  <c r="E33" i="1"/>
  <c r="D33" i="1"/>
  <c r="B33" i="1"/>
  <c r="AE33" i="1" s="1"/>
  <c r="AD32" i="1"/>
  <c r="AD34" i="1" s="1"/>
  <c r="AD89" i="1" s="1"/>
  <c r="AC32" i="1"/>
  <c r="AC34" i="1" s="1"/>
  <c r="AC89" i="1" s="1"/>
  <c r="AB32" i="1"/>
  <c r="AA32" i="1"/>
  <c r="Y32" i="1"/>
  <c r="Y34" i="1" s="1"/>
  <c r="Y89" i="1" s="1"/>
  <c r="X32" i="1"/>
  <c r="X34" i="1" s="1"/>
  <c r="V32" i="1"/>
  <c r="V34" i="1" s="1"/>
  <c r="V89" i="1" s="1"/>
  <c r="U32" i="1"/>
  <c r="U34" i="1" s="1"/>
  <c r="T32" i="1"/>
  <c r="T34" i="1" s="1"/>
  <c r="S32" i="1"/>
  <c r="R32" i="1"/>
  <c r="Q32" i="1"/>
  <c r="Q34" i="1" s="1"/>
  <c r="N32" i="1"/>
  <c r="N34" i="1" s="1"/>
  <c r="N89" i="1" s="1"/>
  <c r="M32" i="1"/>
  <c r="M34" i="1" s="1"/>
  <c r="L32" i="1"/>
  <c r="L34" i="1" s="1"/>
  <c r="L89" i="1" s="1"/>
  <c r="K32" i="1"/>
  <c r="K34" i="1" s="1"/>
  <c r="J32" i="1"/>
  <c r="J34" i="1" s="1"/>
  <c r="H32" i="1"/>
  <c r="H34" i="1" s="1"/>
  <c r="G32" i="1"/>
  <c r="F32" i="1"/>
  <c r="F34" i="1" s="1"/>
  <c r="F89" i="1" s="1"/>
  <c r="E32" i="1"/>
  <c r="E34" i="1" s="1"/>
  <c r="D32" i="1"/>
  <c r="B32" i="1"/>
  <c r="AE31" i="1"/>
  <c r="U28" i="1"/>
  <c r="U29" i="1" s="1"/>
  <c r="M28" i="1"/>
  <c r="M29" i="1" s="1"/>
  <c r="AD27" i="1"/>
  <c r="AC27" i="1"/>
  <c r="AB27" i="1"/>
  <c r="AA27" i="1"/>
  <c r="W27" i="1"/>
  <c r="U27" i="1"/>
  <c r="T27" i="1"/>
  <c r="S27" i="1"/>
  <c r="M27" i="1"/>
  <c r="L27" i="1"/>
  <c r="K27" i="1"/>
  <c r="J27" i="1"/>
  <c r="I27" i="1"/>
  <c r="H27" i="1"/>
  <c r="E27" i="1"/>
  <c r="C27" i="1"/>
  <c r="B27" i="1"/>
  <c r="AB26" i="1"/>
  <c r="AA26" i="1"/>
  <c r="Z26" i="1"/>
  <c r="Z27" i="1" s="1"/>
  <c r="Y26" i="1"/>
  <c r="Y27" i="1" s="1"/>
  <c r="X26" i="1"/>
  <c r="X27" i="1" s="1"/>
  <c r="V26" i="1"/>
  <c r="V27" i="1" s="1"/>
  <c r="U26" i="1"/>
  <c r="T26" i="1"/>
  <c r="S26" i="1"/>
  <c r="Q26" i="1"/>
  <c r="Q27" i="1" s="1"/>
  <c r="N26" i="1"/>
  <c r="N27" i="1" s="1"/>
  <c r="G26" i="1"/>
  <c r="G27" i="1" s="1"/>
  <c r="F26" i="1"/>
  <c r="F27" i="1" s="1"/>
  <c r="D26" i="1"/>
  <c r="AE26" i="1" s="1"/>
  <c r="R25" i="1"/>
  <c r="R27" i="1" s="1"/>
  <c r="P25" i="1"/>
  <c r="P27" i="1" s="1"/>
  <c r="O25" i="1"/>
  <c r="O27" i="1" s="1"/>
  <c r="M25" i="1"/>
  <c r="AE25" i="1" s="1"/>
  <c r="AE24" i="1"/>
  <c r="B23" i="1"/>
  <c r="AE23" i="1" s="1"/>
  <c r="AE22" i="1"/>
  <c r="B22" i="1"/>
  <c r="AD21" i="1"/>
  <c r="AC21" i="1"/>
  <c r="AB21" i="1"/>
  <c r="AA21" i="1"/>
  <c r="Z21" i="1"/>
  <c r="Z28" i="1" s="1"/>
  <c r="Z29" i="1" s="1"/>
  <c r="Y21" i="1"/>
  <c r="X21" i="1"/>
  <c r="W21" i="1"/>
  <c r="V21" i="1"/>
  <c r="U21" i="1"/>
  <c r="T21" i="1"/>
  <c r="S21" i="1"/>
  <c r="R21" i="1"/>
  <c r="R28" i="1" s="1"/>
  <c r="R29" i="1" s="1"/>
  <c r="R90" i="1" s="1"/>
  <c r="R91" i="1" s="1"/>
  <c r="Q21" i="1"/>
  <c r="P21" i="1"/>
  <c r="O21" i="1"/>
  <c r="N21" i="1"/>
  <c r="M21" i="1"/>
  <c r="L21" i="1"/>
  <c r="K21" i="1"/>
  <c r="J21" i="1"/>
  <c r="I21" i="1"/>
  <c r="G21" i="1"/>
  <c r="F21" i="1"/>
  <c r="D21" i="1"/>
  <c r="C21" i="1"/>
  <c r="B21" i="1"/>
  <c r="AE21" i="1" s="1"/>
  <c r="AE20" i="1"/>
  <c r="E20" i="1"/>
  <c r="AE19" i="1"/>
  <c r="L19" i="1"/>
  <c r="H19" i="1"/>
  <c r="H21" i="1" s="1"/>
  <c r="E19" i="1"/>
  <c r="E21" i="1" s="1"/>
  <c r="AD18" i="1"/>
  <c r="AD28" i="1" s="1"/>
  <c r="AD29" i="1" s="1"/>
  <c r="AD90" i="1" s="1"/>
  <c r="AD91" i="1" s="1"/>
  <c r="AB18" i="1"/>
  <c r="AB28" i="1" s="1"/>
  <c r="AB29" i="1" s="1"/>
  <c r="AA18" i="1"/>
  <c r="AA28" i="1" s="1"/>
  <c r="AA29" i="1" s="1"/>
  <c r="Z18" i="1"/>
  <c r="Y18" i="1"/>
  <c r="Y28" i="1" s="1"/>
  <c r="Y29" i="1" s="1"/>
  <c r="X18" i="1"/>
  <c r="X28" i="1" s="1"/>
  <c r="X29" i="1" s="1"/>
  <c r="W18" i="1"/>
  <c r="W28" i="1" s="1"/>
  <c r="W29" i="1" s="1"/>
  <c r="V18" i="1"/>
  <c r="V28" i="1" s="1"/>
  <c r="V29" i="1" s="1"/>
  <c r="V90" i="1" s="1"/>
  <c r="V91" i="1" s="1"/>
  <c r="U18" i="1"/>
  <c r="T18" i="1"/>
  <c r="T28" i="1" s="1"/>
  <c r="T29" i="1" s="1"/>
  <c r="S18" i="1"/>
  <c r="S28" i="1" s="1"/>
  <c r="S29" i="1" s="1"/>
  <c r="R18" i="1"/>
  <c r="Q18" i="1"/>
  <c r="P18" i="1"/>
  <c r="P28" i="1" s="1"/>
  <c r="P29" i="1" s="1"/>
  <c r="P90" i="1" s="1"/>
  <c r="P91" i="1" s="1"/>
  <c r="O18" i="1"/>
  <c r="N18" i="1"/>
  <c r="N28" i="1" s="1"/>
  <c r="N29" i="1" s="1"/>
  <c r="M18" i="1"/>
  <c r="L18" i="1"/>
  <c r="L28" i="1" s="1"/>
  <c r="L29" i="1" s="1"/>
  <c r="L90" i="1" s="1"/>
  <c r="L91" i="1" s="1"/>
  <c r="K18" i="1"/>
  <c r="K28" i="1" s="1"/>
  <c r="K29" i="1" s="1"/>
  <c r="H18" i="1"/>
  <c r="H28" i="1" s="1"/>
  <c r="H29" i="1" s="1"/>
  <c r="G18" i="1"/>
  <c r="G28" i="1" s="1"/>
  <c r="G29" i="1" s="1"/>
  <c r="G90" i="1" s="1"/>
  <c r="G91" i="1" s="1"/>
  <c r="F18" i="1"/>
  <c r="F28" i="1" s="1"/>
  <c r="F29" i="1" s="1"/>
  <c r="D18" i="1"/>
  <c r="E17" i="1"/>
  <c r="AE17" i="1" s="1"/>
  <c r="C16" i="1"/>
  <c r="C18" i="1" s="1"/>
  <c r="C28" i="1" s="1"/>
  <c r="C29" i="1" s="1"/>
  <c r="C90" i="1" s="1"/>
  <c r="C91" i="1" s="1"/>
  <c r="B16" i="1"/>
  <c r="B15" i="1"/>
  <c r="AE15" i="1" s="1"/>
  <c r="B14" i="1"/>
  <c r="AE14" i="1" s="1"/>
  <c r="B13" i="1"/>
  <c r="AE13" i="1" s="1"/>
  <c r="AE12" i="1"/>
  <c r="K12" i="1"/>
  <c r="J12" i="1"/>
  <c r="E12" i="1"/>
  <c r="E18" i="1" s="1"/>
  <c r="E28" i="1" s="1"/>
  <c r="E29" i="1" s="1"/>
  <c r="B12" i="1"/>
  <c r="AC11" i="1"/>
  <c r="AC18" i="1" s="1"/>
  <c r="AC28" i="1" s="1"/>
  <c r="AC29" i="1" s="1"/>
  <c r="AC90" i="1" s="1"/>
  <c r="AC91" i="1" s="1"/>
  <c r="I11" i="1"/>
  <c r="I18" i="1" s="1"/>
  <c r="I28" i="1" s="1"/>
  <c r="I29" i="1" s="1"/>
  <c r="AE10" i="1"/>
  <c r="K10" i="1"/>
  <c r="J10" i="1"/>
  <c r="J18" i="1" s="1"/>
  <c r="J28" i="1" s="1"/>
  <c r="J29" i="1" s="1"/>
  <c r="AE9" i="1"/>
  <c r="B9" i="1"/>
  <c r="B8" i="1"/>
  <c r="B18" i="1" s="1"/>
  <c r="AE7" i="1"/>
  <c r="AE34" i="1" l="1"/>
  <c r="AA89" i="1"/>
  <c r="Q89" i="1"/>
  <c r="N90" i="1"/>
  <c r="N91" i="1" s="1"/>
  <c r="H89" i="1"/>
  <c r="O89" i="1"/>
  <c r="AB89" i="1"/>
  <c r="AB90" i="1" s="1"/>
  <c r="AB91" i="1" s="1"/>
  <c r="J90" i="1"/>
  <c r="J91" i="1" s="1"/>
  <c r="D28" i="1"/>
  <c r="D29" i="1" s="1"/>
  <c r="O28" i="1"/>
  <c r="O29" i="1" s="1"/>
  <c r="W90" i="1"/>
  <c r="W91" i="1" s="1"/>
  <c r="J89" i="1"/>
  <c r="T89" i="1"/>
  <c r="T90" i="1" s="1"/>
  <c r="T91" i="1" s="1"/>
  <c r="AA90" i="1"/>
  <c r="AA91" i="1" s="1"/>
  <c r="B28" i="1"/>
  <c r="AE18" i="1"/>
  <c r="AE53" i="1"/>
  <c r="AE83" i="1"/>
  <c r="F90" i="1"/>
  <c r="F91" i="1" s="1"/>
  <c r="X90" i="1"/>
  <c r="X91" i="1" s="1"/>
  <c r="K89" i="1"/>
  <c r="K90" i="1" s="1"/>
  <c r="K91" i="1" s="1"/>
  <c r="U89" i="1"/>
  <c r="U90" i="1" s="1"/>
  <c r="U91" i="1" s="1"/>
  <c r="AE64" i="1"/>
  <c r="Q28" i="1"/>
  <c r="Q29" i="1" s="1"/>
  <c r="Y90" i="1"/>
  <c r="Y91" i="1" s="1"/>
  <c r="I90" i="1"/>
  <c r="I91" i="1" s="1"/>
  <c r="H90" i="1"/>
  <c r="H91" i="1" s="1"/>
  <c r="Z90" i="1"/>
  <c r="Z91" i="1" s="1"/>
  <c r="M89" i="1"/>
  <c r="M90" i="1" s="1"/>
  <c r="M91" i="1" s="1"/>
  <c r="X89" i="1"/>
  <c r="S89" i="1"/>
  <c r="S90" i="1" s="1"/>
  <c r="S91" i="1" s="1"/>
  <c r="B68" i="1"/>
  <c r="AE68" i="1" s="1"/>
  <c r="AE56" i="1"/>
  <c r="AE78" i="1"/>
  <c r="AE71" i="1"/>
  <c r="AE60" i="1"/>
  <c r="E88" i="1"/>
  <c r="AE88" i="1" s="1"/>
  <c r="D27" i="1"/>
  <c r="AE27" i="1" s="1"/>
  <c r="AE32" i="1"/>
  <c r="B47" i="1"/>
  <c r="AE8" i="1"/>
  <c r="AE11" i="1"/>
  <c r="D47" i="1"/>
  <c r="D89" i="1" s="1"/>
  <c r="AE49" i="1"/>
  <c r="AE16" i="1"/>
  <c r="AE28" i="1" l="1"/>
  <c r="B29" i="1"/>
  <c r="E89" i="1"/>
  <c r="E90" i="1" s="1"/>
  <c r="E91" i="1" s="1"/>
  <c r="Q90" i="1"/>
  <c r="Q91" i="1" s="1"/>
  <c r="D90" i="1"/>
  <c r="D91" i="1" s="1"/>
  <c r="AE47" i="1"/>
  <c r="B89" i="1"/>
  <c r="AE89" i="1" s="1"/>
  <c r="O90" i="1"/>
  <c r="O91" i="1" s="1"/>
  <c r="B90" i="1" l="1"/>
  <c r="AE29" i="1"/>
  <c r="B91" i="1" l="1"/>
  <c r="AE91" i="1" s="1"/>
  <c r="AE90" i="1"/>
</calcChain>
</file>

<file path=xl/sharedStrings.xml><?xml version="1.0" encoding="utf-8"?>
<sst xmlns="http://schemas.openxmlformats.org/spreadsheetml/2006/main" count="119" uniqueCount="119">
  <si>
    <t>0010 - Operations</t>
  </si>
  <si>
    <t>0025 - Staff Account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</si>
  <si>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</si>
  <si>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</si>
  <si>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</si>
  <si>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</si>
  <si>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</si>
  <si>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</si>
  <si>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</si>
  <si>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</si>
  <si>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</si>
  <si>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</si>
  <si>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</si>
  <si>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</si>
  <si>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</si>
  <si>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</si>
  <si>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</si>
  <si>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</si>
  <si>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</si>
  <si>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</si>
  <si>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</si>
  <si>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</si>
  <si>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</si>
  <si>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</si>
  <si>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3601 - School Based Interventions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</si>
  <si>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</si>
  <si>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</si>
  <si>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</si>
  <si>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</si>
  <si>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</si>
  <si>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</si>
  <si>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</si>
  <si>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</si>
  <si>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</si>
  <si>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</si>
  <si>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</si>
  <si>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</si>
  <si>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</si>
  <si>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</si>
  <si>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</si>
  <si>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</si>
  <si>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</si>
  <si>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</si>
  <si>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</si>
  <si>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</si>
  <si>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</si>
  <si>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</si>
  <si>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</si>
  <si>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</si>
  <si>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</si>
  <si>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</si>
  <si>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</si>
  <si>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</si>
  <si>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</si>
  <si>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</si>
  <si>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</si>
  <si>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</si>
  <si>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</si>
  <si>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</si>
  <si>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</si>
  <si>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</si>
  <si>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</si>
  <si>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</si>
  <si>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</si>
  <si>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</si>
  <si>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</si>
  <si>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</si>
  <si>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</si>
  <si>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</si>
  <si>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</si>
  <si>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</si>
  <si>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</si>
  <si>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</si>
  <si>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</si>
  <si>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</si>
  <si>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</si>
  <si>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</si>
  <si>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</si>
  <si>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</si>
  <si>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</si>
  <si>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</si>
  <si>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</si>
  <si>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</si>
  <si>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</si>
  <si>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</si>
  <si>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</si>
  <si>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</si>
  <si>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</si>
  <si>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</si>
  <si>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</si>
  <si>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</si>
  <si>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</si>
  <si>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</si>
  <si>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</si>
  <si>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</si>
  <si>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</si>
  <si>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</si>
  <si>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</si>
  <si>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</si>
  <si>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</si>
  <si>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</si>
  <si>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</si>
  <si>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</si>
  <si>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</si>
  <si>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</si>
  <si>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</si>
  <si>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</si>
  <si>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</si>
  <si>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</si>
  <si>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</si>
  <si>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</si>
  <si>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</si>
  <si>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</si>
  <si>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</si>
  <si>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</si>
  <si>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</si>
  <si>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</si>
  <si>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</si>
  <si>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November,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</si>
</sst>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"/>
  <sheetViews>
    <sheetView tabSelected="1" workbookViewId="0">
      <selection activeCell="A95" sqref="A95:AE95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9.42578125" customWidth="1"/>
    <col min="5" max="5" width="12" customWidth="1"/>
    <col min="6" max="6" width="10.28515625" customWidth="1"/>
    <col min="7" max="8" width="9.42578125" customWidth="1"/>
    <col min="9" max="9" width="11.140625" customWidth="1"/>
    <col min="10" max="10" width="10.28515625" customWidth="1"/>
    <col min="11" max="12" width="9.42578125" customWidth="1"/>
    <col min="13" max="17" width="10.28515625" customWidth="1"/>
    <col min="18" max="18" width="11.140625" customWidth="1"/>
    <col min="19" max="19" width="9.42578125" customWidth="1"/>
    <col min="20" max="22" width="10.28515625" customWidth="1"/>
    <col min="23" max="23" width="11.140625" customWidth="1"/>
    <col min="24" max="24" width="10.28515625" customWidth="1"/>
    <col min="25" max="26" width="8.5703125" customWidth="1"/>
    <col min="27" max="27" width="10.28515625" customWidth="1"/>
    <col min="28" max="28" width="12" customWidth="1"/>
    <col min="29" max="29" width="9.42578125" customWidth="1"/>
    <col min="30" max="30" width="7.7109375" customWidth="1"/>
    <col min="31" max="31" width="12" customWidth="1"/>
  </cols>
  <sheetData>
    <row r="1" spans="1:31" ht="18" x14ac:dyDescent="0.25">
      <c r="A1" s="10" t="s">
        <v>116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8" x14ac:dyDescent="0.25">
      <c r="A2" s="10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x14ac:dyDescent="0.25">
      <c r="A3" s="11" t="s">
        <v>118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5" spans="1:31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</row>
    <row r="6" spans="1:31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3" t="s">
        <v>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>
        <f t="shared" ref="AE7:AE29" si="0">((((((((((((((((((((((((((((B7)+(C7))+(D7))+(E7))+(F7))+(G7))+(H7))+(I7))+(J7))+(K7))+(L7))+(M7))+(N7))+(O7))+(P7))+(Q7))+(R7))+(S7))+(T7))+(U7))+(V7))+(W7))+(X7))+(Y7))+(Z7))+(AA7))+(AB7))+(AC7))+(AD7)</f>
        <v>0</v>
      </c>
    </row>
    <row r="8" spans="1:31" x14ac:dyDescent="0.25">
      <c r="A8" s="3" t="s">
        <v>32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>
        <f t="shared" si="0"/>
        <v>283131.02</v>
      </c>
    </row>
    <row r="9" spans="1:31" x14ac:dyDescent="0.25">
      <c r="A9" s="3" t="s">
        <v>33</v>
      </c>
      <c r="B9" s="5">
        <f>72819.84</f>
        <v>72819.839999999997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>
        <f t="shared" si="0"/>
        <v>72819.839999999997</v>
      </c>
    </row>
    <row r="10" spans="1:31" x14ac:dyDescent="0.25">
      <c r="A10" s="3" t="s">
        <v>34</v>
      </c>
      <c r="B10" s="4"/>
      <c r="C10" s="4"/>
      <c r="D10" s="4"/>
      <c r="E10" s="4"/>
      <c r="F10" s="4"/>
      <c r="G10" s="4"/>
      <c r="H10" s="4"/>
      <c r="I10" s="4"/>
      <c r="J10" s="5">
        <f>459158.97</f>
        <v>459158.97</v>
      </c>
      <c r="K10" s="5">
        <f>44631.67</f>
        <v>44631.67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>
        <f t="shared" si="0"/>
        <v>503790.63999999996</v>
      </c>
    </row>
    <row r="11" spans="1:31" x14ac:dyDescent="0.25">
      <c r="A11" s="3" t="s">
        <v>35</v>
      </c>
      <c r="B11" s="4"/>
      <c r="C11" s="4"/>
      <c r="D11" s="4"/>
      <c r="E11" s="4"/>
      <c r="F11" s="4"/>
      <c r="G11" s="4"/>
      <c r="H11" s="4"/>
      <c r="I11" s="5">
        <f>31754.12</f>
        <v>31754.12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>
        <f>88400</f>
        <v>88400</v>
      </c>
      <c r="AD11" s="4"/>
      <c r="AE11" s="5">
        <f t="shared" si="0"/>
        <v>120154.12</v>
      </c>
    </row>
    <row r="12" spans="1:31" x14ac:dyDescent="0.25">
      <c r="A12" s="3" t="s">
        <v>36</v>
      </c>
      <c r="B12" s="5">
        <f>695.33</f>
        <v>695.33</v>
      </c>
      <c r="C12" s="4"/>
      <c r="D12" s="4"/>
      <c r="E12" s="5">
        <f>285.72</f>
        <v>285.72000000000003</v>
      </c>
      <c r="F12" s="4"/>
      <c r="G12" s="4"/>
      <c r="H12" s="4"/>
      <c r="I12" s="4"/>
      <c r="J12" s="5">
        <f>1295.99</f>
        <v>1295.99</v>
      </c>
      <c r="K12" s="5">
        <f>1557.6</f>
        <v>1557.6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>
        <f t="shared" si="0"/>
        <v>3834.64</v>
      </c>
    </row>
    <row r="13" spans="1:31" x14ac:dyDescent="0.25">
      <c r="A13" s="3" t="s">
        <v>37</v>
      </c>
      <c r="B13" s="5">
        <f>49917.36</f>
        <v>49917.36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5">
        <f t="shared" si="0"/>
        <v>49917.36</v>
      </c>
    </row>
    <row r="14" spans="1:31" x14ac:dyDescent="0.25">
      <c r="A14" s="3" t="s">
        <v>38</v>
      </c>
      <c r="B14" s="5">
        <f>601641.2</f>
        <v>601641.19999999995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5">
        <f t="shared" si="0"/>
        <v>601641.19999999995</v>
      </c>
    </row>
    <row r="15" spans="1:31" x14ac:dyDescent="0.25">
      <c r="A15" s="3" t="s">
        <v>39</v>
      </c>
      <c r="B15" s="5">
        <f>40000</f>
        <v>40000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5">
        <f t="shared" si="0"/>
        <v>40000</v>
      </c>
    </row>
    <row r="16" spans="1:31" x14ac:dyDescent="0.25">
      <c r="A16" s="3" t="s">
        <v>40</v>
      </c>
      <c r="B16" s="5">
        <f>0</f>
        <v>0</v>
      </c>
      <c r="C16" s="5">
        <f>490.44</f>
        <v>490.44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5">
        <f t="shared" si="0"/>
        <v>490.44</v>
      </c>
    </row>
    <row r="17" spans="1:31" x14ac:dyDescent="0.25">
      <c r="A17" s="3" t="s">
        <v>41</v>
      </c>
      <c r="B17" s="4"/>
      <c r="C17" s="4"/>
      <c r="D17" s="4"/>
      <c r="E17" s="5">
        <f>59552</f>
        <v>59552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5">
        <f t="shared" si="0"/>
        <v>59552</v>
      </c>
    </row>
    <row r="18" spans="1:31" x14ac:dyDescent="0.25">
      <c r="A18" s="3" t="s">
        <v>42</v>
      </c>
      <c r="B18" s="6">
        <f t="shared" ref="B18:AD18" si="1">((((((((((B7)+(B8))+(B9))+(B10))+(B11))+(B12))+(B13))+(B14))+(B15))+(B16))+(B17)</f>
        <v>1048204.75</v>
      </c>
      <c r="C18" s="6">
        <f t="shared" si="1"/>
        <v>490.44</v>
      </c>
      <c r="D18" s="6">
        <f t="shared" si="1"/>
        <v>0</v>
      </c>
      <c r="E18" s="6">
        <f t="shared" si="1"/>
        <v>59837.72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31754.12</v>
      </c>
      <c r="J18" s="6">
        <f t="shared" si="1"/>
        <v>460454.95999999996</v>
      </c>
      <c r="K18" s="6">
        <f t="shared" si="1"/>
        <v>46189.27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88400</v>
      </c>
      <c r="AD18" s="6">
        <f t="shared" si="1"/>
        <v>0</v>
      </c>
      <c r="AE18" s="6">
        <f t="shared" si="0"/>
        <v>1735331.26</v>
      </c>
    </row>
    <row r="19" spans="1:31" x14ac:dyDescent="0.25">
      <c r="A19" s="3" t="s">
        <v>43</v>
      </c>
      <c r="B19" s="4"/>
      <c r="C19" s="4"/>
      <c r="D19" s="4"/>
      <c r="E19" s="5">
        <f>1057030.3</f>
        <v>1057030.3</v>
      </c>
      <c r="F19" s="4"/>
      <c r="G19" s="4"/>
      <c r="H19" s="5">
        <f>40073.85</f>
        <v>40073.85</v>
      </c>
      <c r="I19" s="4"/>
      <c r="J19" s="4"/>
      <c r="K19" s="4"/>
      <c r="L19" s="5">
        <f>69089.96</f>
        <v>69089.960000000006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>
        <f t="shared" si="0"/>
        <v>1166194.1100000001</v>
      </c>
    </row>
    <row r="20" spans="1:31" x14ac:dyDescent="0.25">
      <c r="A20" s="3" t="s">
        <v>44</v>
      </c>
      <c r="B20" s="4"/>
      <c r="C20" s="4"/>
      <c r="D20" s="4"/>
      <c r="E20" s="5">
        <f>24064.2</f>
        <v>24064.2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5">
        <f t="shared" si="0"/>
        <v>24064.2</v>
      </c>
    </row>
    <row r="21" spans="1:31" x14ac:dyDescent="0.25">
      <c r="A21" s="3" t="s">
        <v>45</v>
      </c>
      <c r="B21" s="6">
        <f t="shared" ref="B21:AD21" si="2">(B19)+(B20)</f>
        <v>0</v>
      </c>
      <c r="C21" s="6">
        <f t="shared" si="2"/>
        <v>0</v>
      </c>
      <c r="D21" s="6">
        <f t="shared" si="2"/>
        <v>0</v>
      </c>
      <c r="E21" s="6">
        <f t="shared" si="2"/>
        <v>1081094.5</v>
      </c>
      <c r="F21" s="6">
        <f t="shared" si="2"/>
        <v>0</v>
      </c>
      <c r="G21" s="6">
        <f t="shared" si="2"/>
        <v>0</v>
      </c>
      <c r="H21" s="6">
        <f t="shared" si="2"/>
        <v>40073.85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69089.960000000006</v>
      </c>
      <c r="M21" s="6">
        <f t="shared" si="2"/>
        <v>0</v>
      </c>
      <c r="N21" s="6">
        <f t="shared" si="2"/>
        <v>0</v>
      </c>
      <c r="O21" s="6">
        <f t="shared" si="2"/>
        <v>0</v>
      </c>
      <c r="P21" s="6">
        <f t="shared" si="2"/>
        <v>0</v>
      </c>
      <c r="Q21" s="6">
        <f t="shared" si="2"/>
        <v>0</v>
      </c>
      <c r="R21" s="6">
        <f t="shared" si="2"/>
        <v>0</v>
      </c>
      <c r="S21" s="6">
        <f t="shared" si="2"/>
        <v>0</v>
      </c>
      <c r="T21" s="6">
        <f t="shared" si="2"/>
        <v>0</v>
      </c>
      <c r="U21" s="6">
        <f t="shared" si="2"/>
        <v>0</v>
      </c>
      <c r="V21" s="6">
        <f t="shared" si="2"/>
        <v>0</v>
      </c>
      <c r="W21" s="6">
        <f t="shared" si="2"/>
        <v>0</v>
      </c>
      <c r="X21" s="6">
        <f t="shared" si="2"/>
        <v>0</v>
      </c>
      <c r="Y21" s="6">
        <f t="shared" si="2"/>
        <v>0</v>
      </c>
      <c r="Z21" s="6">
        <f t="shared" si="2"/>
        <v>0</v>
      </c>
      <c r="AA21" s="6">
        <f t="shared" si="2"/>
        <v>0</v>
      </c>
      <c r="AB21" s="6">
        <f t="shared" si="2"/>
        <v>0</v>
      </c>
      <c r="AC21" s="6">
        <f t="shared" si="2"/>
        <v>0</v>
      </c>
      <c r="AD21" s="6">
        <f t="shared" si="2"/>
        <v>0</v>
      </c>
      <c r="AE21" s="6">
        <f t="shared" si="0"/>
        <v>1190258.31</v>
      </c>
    </row>
    <row r="22" spans="1:31" x14ac:dyDescent="0.25">
      <c r="A22" s="3" t="s">
        <v>46</v>
      </c>
      <c r="B22" s="5">
        <f>19404</f>
        <v>19404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5">
        <f t="shared" si="0"/>
        <v>19404</v>
      </c>
    </row>
    <row r="23" spans="1:31" x14ac:dyDescent="0.25">
      <c r="A23" s="3" t="s">
        <v>47</v>
      </c>
      <c r="B23" s="5">
        <f>31762.53</f>
        <v>31762.53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5">
        <f t="shared" si="0"/>
        <v>31762.53</v>
      </c>
    </row>
    <row r="24" spans="1:31" x14ac:dyDescent="0.25">
      <c r="A24" s="3" t="s">
        <v>48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5">
        <f t="shared" si="0"/>
        <v>0</v>
      </c>
    </row>
    <row r="25" spans="1:31" x14ac:dyDescent="0.25">
      <c r="A25" s="3" t="s">
        <v>49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>
        <f>466367.23</f>
        <v>466367.23</v>
      </c>
      <c r="N25" s="4"/>
      <c r="O25" s="5">
        <f>337027.82</f>
        <v>337027.82</v>
      </c>
      <c r="P25" s="5">
        <f>220386.07</f>
        <v>220386.07</v>
      </c>
      <c r="Q25" s="4"/>
      <c r="R25" s="5">
        <f>28807</f>
        <v>28807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5">
        <f t="shared" si="0"/>
        <v>1052588.1200000001</v>
      </c>
    </row>
    <row r="26" spans="1:31" x14ac:dyDescent="0.25">
      <c r="A26" s="3" t="s">
        <v>50</v>
      </c>
      <c r="B26" s="4"/>
      <c r="C26" s="4"/>
      <c r="D26" s="5">
        <f>59999.77</f>
        <v>59999.77</v>
      </c>
      <c r="E26" s="4"/>
      <c r="F26" s="5">
        <f>43479.61</f>
        <v>43479.61</v>
      </c>
      <c r="G26" s="5">
        <f>85483.85</f>
        <v>85483.85</v>
      </c>
      <c r="H26" s="4"/>
      <c r="I26" s="4"/>
      <c r="J26" s="4"/>
      <c r="K26" s="4"/>
      <c r="L26" s="4"/>
      <c r="M26" s="4"/>
      <c r="N26" s="5">
        <f>228730.39</f>
        <v>228730.39</v>
      </c>
      <c r="O26" s="4"/>
      <c r="P26" s="4"/>
      <c r="Q26" s="5">
        <f>250905.77</f>
        <v>250905.77</v>
      </c>
      <c r="R26" s="4"/>
      <c r="S26" s="5">
        <f>73458.75</f>
        <v>73458.75</v>
      </c>
      <c r="T26" s="5">
        <f>211660.85</f>
        <v>211660.85</v>
      </c>
      <c r="U26" s="5">
        <f>387024.9</f>
        <v>387024.9</v>
      </c>
      <c r="V26" s="5">
        <f>170839.73</f>
        <v>170839.73</v>
      </c>
      <c r="W26" s="4"/>
      <c r="X26" s="5">
        <f>540814.37</f>
        <v>540814.37</v>
      </c>
      <c r="Y26" s="5">
        <f>5134.42</f>
        <v>5134.42</v>
      </c>
      <c r="Z26" s="5">
        <f>4482.87</f>
        <v>4482.87</v>
      </c>
      <c r="AA26" s="5">
        <f>637422.57</f>
        <v>637422.56999999995</v>
      </c>
      <c r="AB26" s="5">
        <f>1163630.43</f>
        <v>1163630.43</v>
      </c>
      <c r="AC26" s="4"/>
      <c r="AD26" s="4"/>
      <c r="AE26" s="5">
        <f t="shared" si="0"/>
        <v>3863068.2800000003</v>
      </c>
    </row>
    <row r="27" spans="1:31" x14ac:dyDescent="0.25">
      <c r="A27" s="3" t="s">
        <v>51</v>
      </c>
      <c r="B27" s="6">
        <f t="shared" ref="B27:AD27" si="3">((B24)+(B25))+(B26)</f>
        <v>0</v>
      </c>
      <c r="C27" s="6">
        <f t="shared" si="3"/>
        <v>0</v>
      </c>
      <c r="D27" s="6">
        <f t="shared" si="3"/>
        <v>59999.77</v>
      </c>
      <c r="E27" s="6">
        <f t="shared" si="3"/>
        <v>0</v>
      </c>
      <c r="F27" s="6">
        <f t="shared" si="3"/>
        <v>43479.61</v>
      </c>
      <c r="G27" s="6">
        <f t="shared" si="3"/>
        <v>85483.85</v>
      </c>
      <c r="H27" s="6">
        <f t="shared" si="3"/>
        <v>0</v>
      </c>
      <c r="I27" s="6">
        <f t="shared" si="3"/>
        <v>0</v>
      </c>
      <c r="J27" s="6">
        <f t="shared" si="3"/>
        <v>0</v>
      </c>
      <c r="K27" s="6">
        <f t="shared" si="3"/>
        <v>0</v>
      </c>
      <c r="L27" s="6">
        <f t="shared" si="3"/>
        <v>0</v>
      </c>
      <c r="M27" s="6">
        <f t="shared" si="3"/>
        <v>466367.23</v>
      </c>
      <c r="N27" s="6">
        <f t="shared" si="3"/>
        <v>228730.39</v>
      </c>
      <c r="O27" s="6">
        <f t="shared" si="3"/>
        <v>337027.82</v>
      </c>
      <c r="P27" s="6">
        <f t="shared" si="3"/>
        <v>220386.07</v>
      </c>
      <c r="Q27" s="6">
        <f t="shared" si="3"/>
        <v>250905.77</v>
      </c>
      <c r="R27" s="6">
        <f t="shared" si="3"/>
        <v>28807</v>
      </c>
      <c r="S27" s="6">
        <f t="shared" si="3"/>
        <v>73458.75</v>
      </c>
      <c r="T27" s="6">
        <f t="shared" si="3"/>
        <v>211660.85</v>
      </c>
      <c r="U27" s="6">
        <f t="shared" si="3"/>
        <v>387024.9</v>
      </c>
      <c r="V27" s="6">
        <f t="shared" si="3"/>
        <v>170839.73</v>
      </c>
      <c r="W27" s="6">
        <f t="shared" si="3"/>
        <v>0</v>
      </c>
      <c r="X27" s="6">
        <f t="shared" si="3"/>
        <v>540814.37</v>
      </c>
      <c r="Y27" s="6">
        <f t="shared" si="3"/>
        <v>5134.42</v>
      </c>
      <c r="Z27" s="6">
        <f t="shared" si="3"/>
        <v>4482.87</v>
      </c>
      <c r="AA27" s="6">
        <f t="shared" si="3"/>
        <v>637422.56999999995</v>
      </c>
      <c r="AB27" s="6">
        <f t="shared" si="3"/>
        <v>1163630.43</v>
      </c>
      <c r="AC27" s="6">
        <f t="shared" si="3"/>
        <v>0</v>
      </c>
      <c r="AD27" s="6">
        <f t="shared" si="3"/>
        <v>0</v>
      </c>
      <c r="AE27" s="6">
        <f t="shared" si="0"/>
        <v>4915656.4000000004</v>
      </c>
    </row>
    <row r="28" spans="1:31" x14ac:dyDescent="0.25">
      <c r="A28" s="3" t="s">
        <v>52</v>
      </c>
      <c r="B28" s="6">
        <f t="shared" ref="B28:AD28" si="4">((((B18)+(B21))+(B22))+(B23))+(B27)</f>
        <v>1099371.28</v>
      </c>
      <c r="C28" s="6">
        <f t="shared" si="4"/>
        <v>490.44</v>
      </c>
      <c r="D28" s="6">
        <f t="shared" si="4"/>
        <v>59999.77</v>
      </c>
      <c r="E28" s="6">
        <f t="shared" si="4"/>
        <v>1140932.22</v>
      </c>
      <c r="F28" s="6">
        <f t="shared" si="4"/>
        <v>43479.61</v>
      </c>
      <c r="G28" s="6">
        <f t="shared" si="4"/>
        <v>85483.85</v>
      </c>
      <c r="H28" s="6">
        <f t="shared" si="4"/>
        <v>40073.85</v>
      </c>
      <c r="I28" s="6">
        <f t="shared" si="4"/>
        <v>31754.12</v>
      </c>
      <c r="J28" s="6">
        <f t="shared" si="4"/>
        <v>460454.95999999996</v>
      </c>
      <c r="K28" s="6">
        <f t="shared" si="4"/>
        <v>46189.27</v>
      </c>
      <c r="L28" s="6">
        <f t="shared" si="4"/>
        <v>69089.960000000006</v>
      </c>
      <c r="M28" s="6">
        <f t="shared" si="4"/>
        <v>466367.23</v>
      </c>
      <c r="N28" s="6">
        <f t="shared" si="4"/>
        <v>228730.39</v>
      </c>
      <c r="O28" s="6">
        <f t="shared" si="4"/>
        <v>337027.82</v>
      </c>
      <c r="P28" s="6">
        <f t="shared" si="4"/>
        <v>220386.07</v>
      </c>
      <c r="Q28" s="6">
        <f t="shared" si="4"/>
        <v>250905.77</v>
      </c>
      <c r="R28" s="6">
        <f t="shared" si="4"/>
        <v>28807</v>
      </c>
      <c r="S28" s="6">
        <f t="shared" si="4"/>
        <v>73458.75</v>
      </c>
      <c r="T28" s="6">
        <f t="shared" si="4"/>
        <v>211660.85</v>
      </c>
      <c r="U28" s="6">
        <f t="shared" si="4"/>
        <v>387024.9</v>
      </c>
      <c r="V28" s="6">
        <f t="shared" si="4"/>
        <v>170839.73</v>
      </c>
      <c r="W28" s="6">
        <f t="shared" si="4"/>
        <v>0</v>
      </c>
      <c r="X28" s="6">
        <f t="shared" si="4"/>
        <v>540814.37</v>
      </c>
      <c r="Y28" s="6">
        <f t="shared" si="4"/>
        <v>5134.42</v>
      </c>
      <c r="Z28" s="6">
        <f t="shared" si="4"/>
        <v>4482.87</v>
      </c>
      <c r="AA28" s="6">
        <f t="shared" si="4"/>
        <v>637422.56999999995</v>
      </c>
      <c r="AB28" s="6">
        <f t="shared" si="4"/>
        <v>1163630.43</v>
      </c>
      <c r="AC28" s="6">
        <f t="shared" si="4"/>
        <v>88400</v>
      </c>
      <c r="AD28" s="6">
        <f t="shared" si="4"/>
        <v>0</v>
      </c>
      <c r="AE28" s="6">
        <f t="shared" si="0"/>
        <v>7892412.5</v>
      </c>
    </row>
    <row r="29" spans="1:31" x14ac:dyDescent="0.25">
      <c r="A29" s="3" t="s">
        <v>53</v>
      </c>
      <c r="B29" s="6">
        <f t="shared" ref="B29:AD29" si="5">(B28)-(0)</f>
        <v>1099371.28</v>
      </c>
      <c r="C29" s="6">
        <f t="shared" si="5"/>
        <v>490.44</v>
      </c>
      <c r="D29" s="6">
        <f t="shared" si="5"/>
        <v>59999.77</v>
      </c>
      <c r="E29" s="6">
        <f t="shared" si="5"/>
        <v>1140932.22</v>
      </c>
      <c r="F29" s="6">
        <f t="shared" si="5"/>
        <v>43479.61</v>
      </c>
      <c r="G29" s="6">
        <f t="shared" si="5"/>
        <v>85483.85</v>
      </c>
      <c r="H29" s="6">
        <f t="shared" si="5"/>
        <v>40073.85</v>
      </c>
      <c r="I29" s="6">
        <f t="shared" si="5"/>
        <v>31754.12</v>
      </c>
      <c r="J29" s="6">
        <f t="shared" si="5"/>
        <v>460454.95999999996</v>
      </c>
      <c r="K29" s="6">
        <f t="shared" si="5"/>
        <v>46189.27</v>
      </c>
      <c r="L29" s="6">
        <f t="shared" si="5"/>
        <v>69089.960000000006</v>
      </c>
      <c r="M29" s="6">
        <f t="shared" si="5"/>
        <v>466367.23</v>
      </c>
      <c r="N29" s="6">
        <f t="shared" si="5"/>
        <v>228730.39</v>
      </c>
      <c r="O29" s="6">
        <f t="shared" si="5"/>
        <v>337027.82</v>
      </c>
      <c r="P29" s="6">
        <f t="shared" si="5"/>
        <v>220386.07</v>
      </c>
      <c r="Q29" s="6">
        <f t="shared" si="5"/>
        <v>250905.77</v>
      </c>
      <c r="R29" s="6">
        <f t="shared" si="5"/>
        <v>28807</v>
      </c>
      <c r="S29" s="6">
        <f t="shared" si="5"/>
        <v>73458.75</v>
      </c>
      <c r="T29" s="6">
        <f t="shared" si="5"/>
        <v>211660.85</v>
      </c>
      <c r="U29" s="6">
        <f t="shared" si="5"/>
        <v>387024.9</v>
      </c>
      <c r="V29" s="6">
        <f t="shared" si="5"/>
        <v>170839.73</v>
      </c>
      <c r="W29" s="6">
        <f t="shared" si="5"/>
        <v>0</v>
      </c>
      <c r="X29" s="6">
        <f t="shared" si="5"/>
        <v>540814.37</v>
      </c>
      <c r="Y29" s="6">
        <f t="shared" si="5"/>
        <v>5134.42</v>
      </c>
      <c r="Z29" s="6">
        <f t="shared" si="5"/>
        <v>4482.87</v>
      </c>
      <c r="AA29" s="6">
        <f t="shared" si="5"/>
        <v>637422.56999999995</v>
      </c>
      <c r="AB29" s="6">
        <f t="shared" si="5"/>
        <v>1163630.43</v>
      </c>
      <c r="AC29" s="6">
        <f t="shared" si="5"/>
        <v>88400</v>
      </c>
      <c r="AD29" s="6">
        <f t="shared" si="5"/>
        <v>0</v>
      </c>
      <c r="AE29" s="6">
        <f t="shared" si="0"/>
        <v>7892412.5</v>
      </c>
    </row>
    <row r="30" spans="1:31" x14ac:dyDescent="0.25">
      <c r="A30" s="3" t="s">
        <v>54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5">
      <c r="A31" s="3" t="s">
        <v>55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5">
        <f t="shared" ref="AE31:AE62" si="6">((((((((((((((((((((((((((((B31)+(C31))+(D31))+(E31))+(F31))+(G31))+(H31))+(I31))+(J31))+(K31))+(L31))+(M31))+(N31))+(O31))+(P31))+(Q31))+(R31))+(S31))+(T31))+(U31))+(V31))+(W31))+(X31))+(Y31))+(Z31))+(AA31))+(AB31))+(AC31))+(AD31)</f>
        <v>0</v>
      </c>
    </row>
    <row r="32" spans="1:31" x14ac:dyDescent="0.25">
      <c r="A32" s="3" t="s">
        <v>56</v>
      </c>
      <c r="B32" s="5">
        <f>128166.81</f>
        <v>128166.81</v>
      </c>
      <c r="C32" s="4"/>
      <c r="D32" s="5">
        <f>22785.59</f>
        <v>22785.59</v>
      </c>
      <c r="E32" s="5">
        <f>396507.96</f>
        <v>396507.96</v>
      </c>
      <c r="F32" s="5">
        <f>17996.36</f>
        <v>17996.36</v>
      </c>
      <c r="G32" s="5">
        <f>22643.42</f>
        <v>22643.42</v>
      </c>
      <c r="H32" s="5">
        <f>22815.78</f>
        <v>22815.78</v>
      </c>
      <c r="I32" s="4"/>
      <c r="J32" s="5">
        <f>8819.95</f>
        <v>8819.9500000000007</v>
      </c>
      <c r="K32" s="5">
        <f>-1971.79</f>
        <v>-1971.79</v>
      </c>
      <c r="L32" s="5">
        <f>25962.5</f>
        <v>25962.5</v>
      </c>
      <c r="M32" s="5">
        <f>370944.06</f>
        <v>370944.06</v>
      </c>
      <c r="N32" s="5">
        <f>40857.38</f>
        <v>40857.379999999997</v>
      </c>
      <c r="O32" s="4"/>
      <c r="P32" s="4"/>
      <c r="Q32" s="5">
        <f>42916.6</f>
        <v>42916.6</v>
      </c>
      <c r="R32" s="5">
        <f>42578.7</f>
        <v>42578.7</v>
      </c>
      <c r="S32" s="5">
        <f>11656.86</f>
        <v>11656.86</v>
      </c>
      <c r="T32" s="5">
        <f>75370.92</f>
        <v>75370.92</v>
      </c>
      <c r="U32" s="5">
        <f>130144.29</f>
        <v>130144.29</v>
      </c>
      <c r="V32" s="5">
        <f>77769.45</f>
        <v>77769.45</v>
      </c>
      <c r="W32" s="4"/>
      <c r="X32" s="5">
        <f>128141.2</f>
        <v>128141.2</v>
      </c>
      <c r="Y32" s="5">
        <f>1456.32</f>
        <v>1456.32</v>
      </c>
      <c r="Z32" s="4"/>
      <c r="AA32" s="5">
        <f>145086.48</f>
        <v>145086.48000000001</v>
      </c>
      <c r="AB32" s="5">
        <f>191321.79</f>
        <v>191321.79</v>
      </c>
      <c r="AC32" s="5">
        <f>24467</f>
        <v>24467</v>
      </c>
      <c r="AD32" s="5">
        <f>0</f>
        <v>0</v>
      </c>
      <c r="AE32" s="5">
        <f t="shared" si="6"/>
        <v>1926437.63</v>
      </c>
    </row>
    <row r="33" spans="1:31" x14ac:dyDescent="0.25">
      <c r="A33" s="3" t="s">
        <v>57</v>
      </c>
      <c r="B33" s="5">
        <f>136365.2</f>
        <v>136365.20000000001</v>
      </c>
      <c r="C33" s="4"/>
      <c r="D33" s="5">
        <f>9737.84</f>
        <v>9737.84</v>
      </c>
      <c r="E33" s="5">
        <f>119512.82</f>
        <v>119512.82</v>
      </c>
      <c r="F33" s="4"/>
      <c r="G33" s="4"/>
      <c r="H33" s="4"/>
      <c r="I33" s="5">
        <f>37971.8</f>
        <v>37971.800000000003</v>
      </c>
      <c r="J33" s="4"/>
      <c r="K33" s="4"/>
      <c r="L33" s="4"/>
      <c r="M33" s="5">
        <f>19312.5</f>
        <v>19312.5</v>
      </c>
      <c r="N33" s="5">
        <f>24819.48</f>
        <v>24819.48</v>
      </c>
      <c r="O33" s="5">
        <f>221064.04</f>
        <v>221064.04</v>
      </c>
      <c r="P33" s="5">
        <f>152610.6</f>
        <v>152610.6</v>
      </c>
      <c r="Q33" s="4"/>
      <c r="R33" s="4"/>
      <c r="S33" s="4"/>
      <c r="T33" s="5">
        <f>11186.24</f>
        <v>11186.24</v>
      </c>
      <c r="U33" s="5">
        <f>16779.36</f>
        <v>16779.36</v>
      </c>
      <c r="V33" s="4"/>
      <c r="W33" s="4"/>
      <c r="X33" s="5">
        <f>11298.75</f>
        <v>11298.75</v>
      </c>
      <c r="Y33" s="4"/>
      <c r="Z33" s="4"/>
      <c r="AA33" s="5">
        <f>14606.76</f>
        <v>14606.76</v>
      </c>
      <c r="AB33" s="5">
        <f>20730.25</f>
        <v>20730.25</v>
      </c>
      <c r="AC33" s="4"/>
      <c r="AD33" s="4"/>
      <c r="AE33" s="5">
        <f t="shared" si="6"/>
        <v>795995.6399999999</v>
      </c>
    </row>
    <row r="34" spans="1:31" x14ac:dyDescent="0.25">
      <c r="A34" s="3" t="s">
        <v>58</v>
      </c>
      <c r="B34" s="6">
        <f t="shared" ref="B34:AD34" si="7">((B31)+(B32))+(B33)</f>
        <v>264532.01</v>
      </c>
      <c r="C34" s="6">
        <f t="shared" si="7"/>
        <v>0</v>
      </c>
      <c r="D34" s="6">
        <f t="shared" si="7"/>
        <v>32523.43</v>
      </c>
      <c r="E34" s="6">
        <f t="shared" si="7"/>
        <v>516020.78</v>
      </c>
      <c r="F34" s="6">
        <f t="shared" si="7"/>
        <v>17996.36</v>
      </c>
      <c r="G34" s="6">
        <f t="shared" si="7"/>
        <v>22643.42</v>
      </c>
      <c r="H34" s="6">
        <f t="shared" si="7"/>
        <v>22815.78</v>
      </c>
      <c r="I34" s="6">
        <f t="shared" si="7"/>
        <v>37971.800000000003</v>
      </c>
      <c r="J34" s="6">
        <f t="shared" si="7"/>
        <v>8819.9500000000007</v>
      </c>
      <c r="K34" s="6">
        <f t="shared" si="7"/>
        <v>-1971.79</v>
      </c>
      <c r="L34" s="6">
        <f t="shared" si="7"/>
        <v>25962.5</v>
      </c>
      <c r="M34" s="6">
        <f t="shared" si="7"/>
        <v>390256.56</v>
      </c>
      <c r="N34" s="6">
        <f t="shared" si="7"/>
        <v>65676.86</v>
      </c>
      <c r="O34" s="6">
        <f t="shared" si="7"/>
        <v>221064.04</v>
      </c>
      <c r="P34" s="6">
        <f t="shared" si="7"/>
        <v>152610.6</v>
      </c>
      <c r="Q34" s="6">
        <f t="shared" si="7"/>
        <v>42916.6</v>
      </c>
      <c r="R34" s="6">
        <f t="shared" si="7"/>
        <v>42578.7</v>
      </c>
      <c r="S34" s="6">
        <f t="shared" si="7"/>
        <v>11656.86</v>
      </c>
      <c r="T34" s="6">
        <f t="shared" si="7"/>
        <v>86557.16</v>
      </c>
      <c r="U34" s="6">
        <f t="shared" si="7"/>
        <v>146923.65</v>
      </c>
      <c r="V34" s="6">
        <f t="shared" si="7"/>
        <v>77769.45</v>
      </c>
      <c r="W34" s="6">
        <f t="shared" si="7"/>
        <v>0</v>
      </c>
      <c r="X34" s="6">
        <f t="shared" si="7"/>
        <v>139439.95000000001</v>
      </c>
      <c r="Y34" s="6">
        <f t="shared" si="7"/>
        <v>1456.32</v>
      </c>
      <c r="Z34" s="6">
        <f t="shared" si="7"/>
        <v>0</v>
      </c>
      <c r="AA34" s="6">
        <f t="shared" si="7"/>
        <v>159693.24000000002</v>
      </c>
      <c r="AB34" s="6">
        <f t="shared" si="7"/>
        <v>212052.04</v>
      </c>
      <c r="AC34" s="6">
        <f t="shared" si="7"/>
        <v>24467</v>
      </c>
      <c r="AD34" s="6">
        <f t="shared" si="7"/>
        <v>0</v>
      </c>
      <c r="AE34" s="6">
        <f t="shared" si="6"/>
        <v>2722433.2700000009</v>
      </c>
    </row>
    <row r="35" spans="1:31" x14ac:dyDescent="0.25">
      <c r="A35" s="3" t="s">
        <v>59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5">
        <f t="shared" si="6"/>
        <v>0</v>
      </c>
    </row>
    <row r="36" spans="1:31" x14ac:dyDescent="0.25">
      <c r="A36" s="3" t="s">
        <v>60</v>
      </c>
      <c r="B36" s="4"/>
      <c r="C36" s="4"/>
      <c r="D36" s="5">
        <f>4.95</f>
        <v>4.95</v>
      </c>
      <c r="E36" s="4"/>
      <c r="F36" s="5">
        <f>2.09</f>
        <v>2.09</v>
      </c>
      <c r="G36" s="5">
        <f>3.84</f>
        <v>3.84</v>
      </c>
      <c r="H36" s="4"/>
      <c r="I36" s="4"/>
      <c r="J36" s="4"/>
      <c r="K36" s="5">
        <f>-0.27</f>
        <v>-0.27</v>
      </c>
      <c r="L36" s="4"/>
      <c r="M36" s="4"/>
      <c r="N36" s="5">
        <f>10.62</f>
        <v>10.62</v>
      </c>
      <c r="O36" s="5">
        <f>23.28</f>
        <v>23.28</v>
      </c>
      <c r="P36" s="4"/>
      <c r="Q36" s="5">
        <f>6.25</f>
        <v>6.25</v>
      </c>
      <c r="R36" s="4"/>
      <c r="S36" s="4"/>
      <c r="T36" s="5">
        <f>11.32</f>
        <v>11.32</v>
      </c>
      <c r="U36" s="5">
        <f>19.28</f>
        <v>19.28</v>
      </c>
      <c r="V36" s="5">
        <f>9.85</f>
        <v>9.85</v>
      </c>
      <c r="W36" s="4"/>
      <c r="X36" s="5">
        <f>14.13</f>
        <v>14.13</v>
      </c>
      <c r="Y36" s="5">
        <f>0.3</f>
        <v>0.3</v>
      </c>
      <c r="Z36" s="4"/>
      <c r="AA36" s="5">
        <f>22.36</f>
        <v>22.36</v>
      </c>
      <c r="AB36" s="5">
        <f>32.98</f>
        <v>32.979999999999997</v>
      </c>
      <c r="AC36" s="5">
        <f>3</f>
        <v>3</v>
      </c>
      <c r="AD36" s="4"/>
      <c r="AE36" s="5">
        <f t="shared" si="6"/>
        <v>163.98</v>
      </c>
    </row>
    <row r="37" spans="1:31" x14ac:dyDescent="0.25">
      <c r="A37" s="3" t="s">
        <v>61</v>
      </c>
      <c r="B37" s="5">
        <f>1440</f>
        <v>1440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5">
        <f t="shared" si="6"/>
        <v>1440</v>
      </c>
    </row>
    <row r="38" spans="1:31" x14ac:dyDescent="0.25">
      <c r="A38" s="3" t="s">
        <v>62</v>
      </c>
      <c r="B38" s="5">
        <f>8104.74</f>
        <v>8104.74</v>
      </c>
      <c r="C38" s="4"/>
      <c r="D38" s="5">
        <f>515.13</f>
        <v>515.13</v>
      </c>
      <c r="E38" s="5">
        <f>7094.9</f>
        <v>7094.9</v>
      </c>
      <c r="F38" s="4"/>
      <c r="G38" s="4"/>
      <c r="H38" s="4"/>
      <c r="I38" s="5">
        <f>2259.4</f>
        <v>2259.4</v>
      </c>
      <c r="J38" s="4"/>
      <c r="K38" s="4"/>
      <c r="L38" s="4"/>
      <c r="M38" s="5">
        <f>1144.4</f>
        <v>1144.4000000000001</v>
      </c>
      <c r="N38" s="5">
        <f>1486.08</f>
        <v>1486.08</v>
      </c>
      <c r="O38" s="5">
        <f>13376.73</f>
        <v>13376.73</v>
      </c>
      <c r="P38" s="5">
        <f>8940.19</f>
        <v>8940.19</v>
      </c>
      <c r="Q38" s="4"/>
      <c r="R38" s="4"/>
      <c r="S38" s="4"/>
      <c r="T38" s="5">
        <f>679.25</f>
        <v>679.25</v>
      </c>
      <c r="U38" s="5">
        <f>1018.87</f>
        <v>1018.87</v>
      </c>
      <c r="V38" s="4"/>
      <c r="W38" s="4"/>
      <c r="X38" s="5">
        <f>657.55</f>
        <v>657.55</v>
      </c>
      <c r="Y38" s="4"/>
      <c r="Z38" s="4"/>
      <c r="AA38" s="5">
        <f>772.69</f>
        <v>772.69</v>
      </c>
      <c r="AB38" s="5">
        <f>1247.98</f>
        <v>1247.98</v>
      </c>
      <c r="AC38" s="4"/>
      <c r="AD38" s="4"/>
      <c r="AE38" s="5">
        <f t="shared" si="6"/>
        <v>47297.910000000018</v>
      </c>
    </row>
    <row r="39" spans="1:31" x14ac:dyDescent="0.25">
      <c r="A39" s="3" t="s">
        <v>63</v>
      </c>
      <c r="B39" s="5">
        <f>3700.95</f>
        <v>3700.95</v>
      </c>
      <c r="C39" s="4"/>
      <c r="D39" s="5">
        <f>435.26</f>
        <v>435.26</v>
      </c>
      <c r="E39" s="5">
        <f>7158.41</f>
        <v>7158.41</v>
      </c>
      <c r="F39" s="5">
        <f>260.05</f>
        <v>260.05</v>
      </c>
      <c r="G39" s="5">
        <f>364.5</f>
        <v>364.5</v>
      </c>
      <c r="H39" s="5">
        <f>293.94</f>
        <v>293.94</v>
      </c>
      <c r="I39" s="5">
        <f>528.4</f>
        <v>528.4</v>
      </c>
      <c r="J39" s="4"/>
      <c r="K39" s="5">
        <f>-26.87</f>
        <v>-26.87</v>
      </c>
      <c r="L39" s="5">
        <f>370.6</f>
        <v>370.6</v>
      </c>
      <c r="M39" s="5">
        <f>5434.64</f>
        <v>5434.64</v>
      </c>
      <c r="N39" s="5">
        <f>899.97</f>
        <v>899.97</v>
      </c>
      <c r="O39" s="5">
        <f>3128.47</f>
        <v>3128.47</v>
      </c>
      <c r="P39" s="5">
        <f>2090.84</f>
        <v>2090.84</v>
      </c>
      <c r="Q39" s="5">
        <f>603.5</f>
        <v>603.5</v>
      </c>
      <c r="R39" s="5">
        <f>598.3</f>
        <v>598.29999999999995</v>
      </c>
      <c r="S39" s="5">
        <f>169.02</f>
        <v>169.02</v>
      </c>
      <c r="T39" s="5">
        <f>1205.38</f>
        <v>1205.3800000000001</v>
      </c>
      <c r="U39" s="5">
        <f>2046.71</f>
        <v>2046.71</v>
      </c>
      <c r="V39" s="5">
        <f>1077.19</f>
        <v>1077.19</v>
      </c>
      <c r="W39" s="4"/>
      <c r="X39" s="5">
        <f>1961.83</f>
        <v>1961.83</v>
      </c>
      <c r="Y39" s="5">
        <f>18.76</f>
        <v>18.760000000000002</v>
      </c>
      <c r="Z39" s="4"/>
      <c r="AA39" s="5">
        <f>2198.29</f>
        <v>2198.29</v>
      </c>
      <c r="AB39" s="5">
        <f>2978.28</f>
        <v>2978.28</v>
      </c>
      <c r="AC39" s="5">
        <f>350.3</f>
        <v>350.3</v>
      </c>
      <c r="AD39" s="5">
        <f>0</f>
        <v>0</v>
      </c>
      <c r="AE39" s="5">
        <f t="shared" si="6"/>
        <v>37846.719999999994</v>
      </c>
    </row>
    <row r="40" spans="1:31" x14ac:dyDescent="0.25">
      <c r="A40" s="3" t="s">
        <v>64</v>
      </c>
      <c r="B40" s="5">
        <f>5284.32</f>
        <v>5284.32</v>
      </c>
      <c r="C40" s="4"/>
      <c r="D40" s="5">
        <f>3705.93</f>
        <v>3705.93</v>
      </c>
      <c r="E40" s="5">
        <f>12270</f>
        <v>12270</v>
      </c>
      <c r="F40" s="5">
        <f>3033.26</f>
        <v>3033.26</v>
      </c>
      <c r="G40" s="5">
        <f>4247.94</f>
        <v>4247.9399999999996</v>
      </c>
      <c r="H40" s="5">
        <f>859.08</f>
        <v>859.08</v>
      </c>
      <c r="I40" s="4"/>
      <c r="J40" s="4"/>
      <c r="K40" s="5">
        <f>-317.56</f>
        <v>-317.56</v>
      </c>
      <c r="L40" s="5">
        <f>778.9</f>
        <v>778.9</v>
      </c>
      <c r="M40" s="5">
        <f>11025.51</f>
        <v>11025.51</v>
      </c>
      <c r="N40" s="5">
        <f>6469.04</f>
        <v>6469.04</v>
      </c>
      <c r="O40" s="4"/>
      <c r="P40" s="4"/>
      <c r="Q40" s="5">
        <f>5786.9</f>
        <v>5786.9</v>
      </c>
      <c r="R40" s="5">
        <f>1277.4</f>
        <v>1277.4000000000001</v>
      </c>
      <c r="S40" s="5">
        <f>1602.84</f>
        <v>1602.84</v>
      </c>
      <c r="T40" s="5">
        <f>12138.48</f>
        <v>12138.48</v>
      </c>
      <c r="U40" s="5">
        <f>20776.73</f>
        <v>20776.73</v>
      </c>
      <c r="V40" s="5">
        <f>12217.45</f>
        <v>12217.45</v>
      </c>
      <c r="W40" s="4"/>
      <c r="X40" s="5">
        <f>20598.04</f>
        <v>20598.04</v>
      </c>
      <c r="Y40" s="5">
        <f>74.52</f>
        <v>74.52</v>
      </c>
      <c r="Z40" s="4"/>
      <c r="AA40" s="5">
        <f>23727.97</f>
        <v>23727.97</v>
      </c>
      <c r="AB40" s="5">
        <f>31349.59</f>
        <v>31349.59</v>
      </c>
      <c r="AC40" s="5">
        <f>3364.2</f>
        <v>3364.2</v>
      </c>
      <c r="AD40" s="5">
        <f>0</f>
        <v>0</v>
      </c>
      <c r="AE40" s="5">
        <f t="shared" si="6"/>
        <v>180270.54</v>
      </c>
    </row>
    <row r="41" spans="1:31" x14ac:dyDescent="0.25">
      <c r="A41" s="3" t="s">
        <v>65</v>
      </c>
      <c r="B41" s="5">
        <f>26882.79</f>
        <v>26882.79</v>
      </c>
      <c r="C41" s="4"/>
      <c r="D41" s="5">
        <f>1919.32</f>
        <v>1919.32</v>
      </c>
      <c r="E41" s="5">
        <f>23556.05</f>
        <v>23556.05</v>
      </c>
      <c r="F41" s="4"/>
      <c r="G41" s="4"/>
      <c r="H41" s="4"/>
      <c r="I41" s="5">
        <f>7484.21</f>
        <v>7484.21</v>
      </c>
      <c r="J41" s="4"/>
      <c r="K41" s="4"/>
      <c r="L41" s="4"/>
      <c r="M41" s="5">
        <f>3806.5</f>
        <v>3806.5</v>
      </c>
      <c r="N41" s="5">
        <f>4891.93</f>
        <v>4891.93</v>
      </c>
      <c r="O41" s="5">
        <f>40613.49</f>
        <v>40613.49</v>
      </c>
      <c r="P41" s="5">
        <f>30079.44</f>
        <v>30079.439999999999</v>
      </c>
      <c r="Q41" s="4"/>
      <c r="R41" s="4"/>
      <c r="S41" s="4"/>
      <c r="T41" s="5">
        <f>1443.72</f>
        <v>1443.72</v>
      </c>
      <c r="U41" s="5">
        <f>2165.58</f>
        <v>2165.58</v>
      </c>
      <c r="V41" s="4"/>
      <c r="W41" s="4"/>
      <c r="X41" s="5">
        <f>2226.99</f>
        <v>2226.9899999999998</v>
      </c>
      <c r="Y41" s="4"/>
      <c r="Z41" s="4"/>
      <c r="AA41" s="5">
        <f>2878.98</f>
        <v>2878.98</v>
      </c>
      <c r="AB41" s="5">
        <f>4080.85</f>
        <v>4080.85</v>
      </c>
      <c r="AC41" s="4"/>
      <c r="AD41" s="4"/>
      <c r="AE41" s="5">
        <f t="shared" si="6"/>
        <v>152029.85</v>
      </c>
    </row>
    <row r="42" spans="1:31" x14ac:dyDescent="0.25">
      <c r="A42" s="3" t="s">
        <v>66</v>
      </c>
      <c r="B42" s="4"/>
      <c r="C42" s="4"/>
      <c r="D42" s="5">
        <f>6181.33</f>
        <v>6181.33</v>
      </c>
      <c r="E42" s="4"/>
      <c r="F42" s="5">
        <f>1650.03</f>
        <v>1650.03</v>
      </c>
      <c r="G42" s="5">
        <f>1349.7</f>
        <v>1349.7</v>
      </c>
      <c r="H42" s="4"/>
      <c r="I42" s="4"/>
      <c r="J42" s="4"/>
      <c r="K42" s="5">
        <f>-302.37</f>
        <v>-302.37</v>
      </c>
      <c r="L42" s="4"/>
      <c r="M42" s="4"/>
      <c r="N42" s="5">
        <f>12981.28</f>
        <v>12981.28</v>
      </c>
      <c r="O42" s="5">
        <f>22355.44</f>
        <v>22355.439999999999</v>
      </c>
      <c r="P42" s="4"/>
      <c r="Q42" s="5">
        <f>7332.4</f>
        <v>7332.4</v>
      </c>
      <c r="R42" s="4"/>
      <c r="S42" s="4"/>
      <c r="T42" s="5">
        <f>12805.22</f>
        <v>12805.22</v>
      </c>
      <c r="U42" s="5">
        <f>21691.58</f>
        <v>21691.58</v>
      </c>
      <c r="V42" s="5">
        <f>8077.27</f>
        <v>8077.27</v>
      </c>
      <c r="W42" s="4"/>
      <c r="X42" s="5">
        <f>13002.82</f>
        <v>13002.82</v>
      </c>
      <c r="Y42" s="5">
        <f>503.76</f>
        <v>503.76</v>
      </c>
      <c r="Z42" s="4"/>
      <c r="AA42" s="5">
        <f>25069.6</f>
        <v>25069.599999999999</v>
      </c>
      <c r="AB42" s="5">
        <f>22780.18</f>
        <v>22780.18</v>
      </c>
      <c r="AC42" s="5">
        <f>2631.9</f>
        <v>2631.9</v>
      </c>
      <c r="AD42" s="4"/>
      <c r="AE42" s="5">
        <f t="shared" si="6"/>
        <v>158110.13999999998</v>
      </c>
    </row>
    <row r="43" spans="1:31" x14ac:dyDescent="0.25">
      <c r="A43" s="3" t="s">
        <v>67</v>
      </c>
      <c r="B43" s="5">
        <f>-3944.48</f>
        <v>-3944.48</v>
      </c>
      <c r="C43" s="4"/>
      <c r="D43" s="4"/>
      <c r="E43" s="5">
        <f>414.47</f>
        <v>414.47</v>
      </c>
      <c r="F43" s="4"/>
      <c r="G43" s="4"/>
      <c r="H43" s="4"/>
      <c r="I43" s="4"/>
      <c r="J43" s="4"/>
      <c r="K43" s="4"/>
      <c r="L43" s="4"/>
      <c r="M43" s="5">
        <f>180</f>
        <v>180</v>
      </c>
      <c r="N43" s="4"/>
      <c r="O43" s="5">
        <f>180</f>
        <v>180</v>
      </c>
      <c r="P43" s="4"/>
      <c r="Q43" s="4"/>
      <c r="R43" s="4"/>
      <c r="S43" s="4"/>
      <c r="T43" s="5">
        <f>4.39</f>
        <v>4.3899999999999997</v>
      </c>
      <c r="U43" s="5">
        <f>60</f>
        <v>60</v>
      </c>
      <c r="V43" s="4"/>
      <c r="W43" s="4"/>
      <c r="X43" s="4"/>
      <c r="Y43" s="4"/>
      <c r="Z43" s="4"/>
      <c r="AA43" s="5">
        <f>60</f>
        <v>60</v>
      </c>
      <c r="AB43" s="5">
        <f>9.07</f>
        <v>9.07</v>
      </c>
      <c r="AC43" s="5">
        <f>60</f>
        <v>60</v>
      </c>
      <c r="AD43" s="4"/>
      <c r="AE43" s="5">
        <f t="shared" si="6"/>
        <v>-2976.55</v>
      </c>
    </row>
    <row r="44" spans="1:31" x14ac:dyDescent="0.25">
      <c r="A44" s="3" t="s">
        <v>68</v>
      </c>
      <c r="B44" s="5">
        <f>55738.29</f>
        <v>55738.29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">
        <f t="shared" si="6"/>
        <v>55738.29</v>
      </c>
    </row>
    <row r="45" spans="1:31" x14ac:dyDescent="0.25">
      <c r="A45" s="3" t="s">
        <v>69</v>
      </c>
      <c r="B45" s="4"/>
      <c r="C45" s="4"/>
      <c r="D45" s="5">
        <f>650.47</f>
        <v>650.47</v>
      </c>
      <c r="E45" s="5">
        <f>5160.21</f>
        <v>5160.21</v>
      </c>
      <c r="F45" s="5">
        <f>359.92</f>
        <v>359.92</v>
      </c>
      <c r="G45" s="4"/>
      <c r="H45" s="5">
        <f>456.33</f>
        <v>456.33</v>
      </c>
      <c r="I45" s="5">
        <f>759.45</f>
        <v>759.45</v>
      </c>
      <c r="J45" s="4"/>
      <c r="K45" s="4"/>
      <c r="L45" s="5">
        <f>259.65</f>
        <v>259.64999999999998</v>
      </c>
      <c r="M45" s="5">
        <f>7805.15</f>
        <v>7805.15</v>
      </c>
      <c r="N45" s="5">
        <f>1313.53</f>
        <v>1313.53</v>
      </c>
      <c r="O45" s="4"/>
      <c r="P45" s="5">
        <f>3052.2</f>
        <v>3052.2</v>
      </c>
      <c r="Q45" s="5">
        <f>858.35</f>
        <v>858.35</v>
      </c>
      <c r="R45" s="4"/>
      <c r="S45" s="4"/>
      <c r="T45" s="4"/>
      <c r="U45" s="4"/>
      <c r="V45" s="5">
        <f>1555.37</f>
        <v>1555.37</v>
      </c>
      <c r="W45" s="4"/>
      <c r="X45" s="5">
        <f>2097.01</f>
        <v>2097.0100000000002</v>
      </c>
      <c r="Y45" s="4"/>
      <c r="Z45" s="4"/>
      <c r="AA45" s="5">
        <f>3193.85</f>
        <v>3193.85</v>
      </c>
      <c r="AB45" s="5">
        <f>4241.04</f>
        <v>4241.04</v>
      </c>
      <c r="AC45" s="4"/>
      <c r="AD45" s="4"/>
      <c r="AE45" s="5">
        <f t="shared" si="6"/>
        <v>31762.53</v>
      </c>
    </row>
    <row r="46" spans="1:31" x14ac:dyDescent="0.25">
      <c r="A46" s="3" t="s">
        <v>70</v>
      </c>
      <c r="B46" s="4"/>
      <c r="C46" s="4"/>
      <c r="D46" s="5">
        <f>39.6</f>
        <v>39.6</v>
      </c>
      <c r="E46" s="4"/>
      <c r="F46" s="5">
        <f>16.72</f>
        <v>16.72</v>
      </c>
      <c r="G46" s="5">
        <f>30.72</f>
        <v>30.72</v>
      </c>
      <c r="H46" s="4"/>
      <c r="I46" s="4"/>
      <c r="J46" s="4"/>
      <c r="K46" s="5">
        <f>-2.16</f>
        <v>-2.16</v>
      </c>
      <c r="L46" s="4"/>
      <c r="M46" s="4"/>
      <c r="N46" s="5">
        <f>84.96</f>
        <v>84.96</v>
      </c>
      <c r="O46" s="5">
        <f>186.24</f>
        <v>186.24</v>
      </c>
      <c r="P46" s="4"/>
      <c r="Q46" s="5">
        <f>50</f>
        <v>50</v>
      </c>
      <c r="R46" s="4"/>
      <c r="S46" s="4"/>
      <c r="T46" s="5">
        <f>90.56</f>
        <v>90.56</v>
      </c>
      <c r="U46" s="5">
        <f>154.24</f>
        <v>154.24</v>
      </c>
      <c r="V46" s="5">
        <f>78.8</f>
        <v>78.8</v>
      </c>
      <c r="W46" s="4"/>
      <c r="X46" s="5">
        <f>113.04</f>
        <v>113.04</v>
      </c>
      <c r="Y46" s="5">
        <f>2.4</f>
        <v>2.4</v>
      </c>
      <c r="Z46" s="4"/>
      <c r="AA46" s="5">
        <f>178.8</f>
        <v>178.8</v>
      </c>
      <c r="AB46" s="5">
        <f>263.76</f>
        <v>263.76</v>
      </c>
      <c r="AC46" s="5">
        <f>24</f>
        <v>24</v>
      </c>
      <c r="AD46" s="4"/>
      <c r="AE46" s="5">
        <f t="shared" si="6"/>
        <v>1311.6799999999998</v>
      </c>
    </row>
    <row r="47" spans="1:31" x14ac:dyDescent="0.25">
      <c r="A47" s="3" t="s">
        <v>71</v>
      </c>
      <c r="B47" s="6">
        <f t="shared" ref="B47:AD47" si="8">(((((((((((B35)+(B36))+(B37))+(B38))+(B39))+(B40))+(B41))+(B42))+(B43))+(B44))+(B45))+(B46)</f>
        <v>97206.61</v>
      </c>
      <c r="C47" s="6">
        <f t="shared" si="8"/>
        <v>0</v>
      </c>
      <c r="D47" s="6">
        <f t="shared" si="8"/>
        <v>13451.989999999998</v>
      </c>
      <c r="E47" s="6">
        <f t="shared" si="8"/>
        <v>55654.04</v>
      </c>
      <c r="F47" s="6">
        <f t="shared" si="8"/>
        <v>5322.0700000000006</v>
      </c>
      <c r="G47" s="6">
        <f t="shared" si="8"/>
        <v>5996.7</v>
      </c>
      <c r="H47" s="6">
        <f t="shared" si="8"/>
        <v>1609.35</v>
      </c>
      <c r="I47" s="6">
        <f t="shared" si="8"/>
        <v>11031.460000000001</v>
      </c>
      <c r="J47" s="6">
        <f t="shared" si="8"/>
        <v>0</v>
      </c>
      <c r="K47" s="6">
        <f t="shared" si="8"/>
        <v>-649.2299999999999</v>
      </c>
      <c r="L47" s="6">
        <f t="shared" si="8"/>
        <v>1409.15</v>
      </c>
      <c r="M47" s="6">
        <f t="shared" si="8"/>
        <v>29396.200000000004</v>
      </c>
      <c r="N47" s="6">
        <f t="shared" si="8"/>
        <v>28137.409999999996</v>
      </c>
      <c r="O47" s="6">
        <f t="shared" si="8"/>
        <v>79863.650000000009</v>
      </c>
      <c r="P47" s="6">
        <f t="shared" si="8"/>
        <v>44162.67</v>
      </c>
      <c r="Q47" s="6">
        <f t="shared" si="8"/>
        <v>14637.4</v>
      </c>
      <c r="R47" s="6">
        <f t="shared" si="8"/>
        <v>1875.7</v>
      </c>
      <c r="S47" s="6">
        <f t="shared" si="8"/>
        <v>1771.86</v>
      </c>
      <c r="T47" s="6">
        <f t="shared" si="8"/>
        <v>28378.32</v>
      </c>
      <c r="U47" s="6">
        <f t="shared" si="8"/>
        <v>47932.99</v>
      </c>
      <c r="V47" s="6">
        <f t="shared" si="8"/>
        <v>23015.93</v>
      </c>
      <c r="W47" s="6">
        <f t="shared" si="8"/>
        <v>0</v>
      </c>
      <c r="X47" s="6">
        <f t="shared" si="8"/>
        <v>40671.410000000003</v>
      </c>
      <c r="Y47" s="6">
        <f t="shared" si="8"/>
        <v>599.74</v>
      </c>
      <c r="Z47" s="6">
        <f t="shared" si="8"/>
        <v>0</v>
      </c>
      <c r="AA47" s="6">
        <f t="shared" si="8"/>
        <v>58102.54</v>
      </c>
      <c r="AB47" s="6">
        <f t="shared" si="8"/>
        <v>66983.73</v>
      </c>
      <c r="AC47" s="6">
        <f t="shared" si="8"/>
        <v>6433.4</v>
      </c>
      <c r="AD47" s="6">
        <f t="shared" si="8"/>
        <v>0</v>
      </c>
      <c r="AE47" s="6">
        <f t="shared" si="6"/>
        <v>662995.09000000008</v>
      </c>
    </row>
    <row r="48" spans="1:31" x14ac:dyDescent="0.25">
      <c r="A48" s="3" t="s">
        <v>72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5">
        <f t="shared" si="6"/>
        <v>0</v>
      </c>
    </row>
    <row r="49" spans="1:31" x14ac:dyDescent="0.25">
      <c r="A49" s="3" t="s">
        <v>73</v>
      </c>
      <c r="B49" s="5">
        <f>20398.02</f>
        <v>20398.02</v>
      </c>
      <c r="C49" s="4"/>
      <c r="D49" s="4"/>
      <c r="E49" s="5">
        <f>789.77</f>
        <v>789.77</v>
      </c>
      <c r="F49" s="4"/>
      <c r="G49" s="5">
        <f>3297.84</f>
        <v>3297.84</v>
      </c>
      <c r="H49" s="4"/>
      <c r="I49" s="4"/>
      <c r="J49" s="5">
        <f>10</f>
        <v>10</v>
      </c>
      <c r="K49" s="4"/>
      <c r="L49" s="4"/>
      <c r="M49" s="5">
        <f>73.25</f>
        <v>73.25</v>
      </c>
      <c r="N49" s="4"/>
      <c r="O49" s="5">
        <f>-10</f>
        <v>-10</v>
      </c>
      <c r="P49" s="4"/>
      <c r="Q49" s="4"/>
      <c r="R49" s="4"/>
      <c r="S49" s="5">
        <f>800</f>
        <v>800</v>
      </c>
      <c r="T49" s="5">
        <f>712.2</f>
        <v>712.2</v>
      </c>
      <c r="U49" s="5">
        <f>4991.8</f>
        <v>4991.8</v>
      </c>
      <c r="V49" s="4"/>
      <c r="W49" s="4"/>
      <c r="X49" s="5">
        <f>0</f>
        <v>0</v>
      </c>
      <c r="Y49" s="4"/>
      <c r="Z49" s="4"/>
      <c r="AA49" s="5">
        <f>159.9</f>
        <v>159.9</v>
      </c>
      <c r="AB49" s="4"/>
      <c r="AC49" s="4"/>
      <c r="AD49" s="4"/>
      <c r="AE49" s="5">
        <f t="shared" si="6"/>
        <v>31222.780000000002</v>
      </c>
    </row>
    <row r="50" spans="1:31" x14ac:dyDescent="0.25">
      <c r="A50" s="3" t="s">
        <v>74</v>
      </c>
      <c r="B50" s="5">
        <f>25300</f>
        <v>25300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5">
        <f t="shared" si="6"/>
        <v>25300</v>
      </c>
    </row>
    <row r="51" spans="1:31" x14ac:dyDescent="0.25">
      <c r="A51" s="3" t="s">
        <v>75</v>
      </c>
      <c r="B51" s="5">
        <f>4400.98</f>
        <v>4400.9799999999996</v>
      </c>
      <c r="C51" s="4"/>
      <c r="D51" s="4"/>
      <c r="E51" s="5">
        <f>3457.9</f>
        <v>3457.9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5">
        <f t="shared" si="6"/>
        <v>7858.8799999999992</v>
      </c>
    </row>
    <row r="52" spans="1:31" x14ac:dyDescent="0.25">
      <c r="A52" s="3" t="s">
        <v>76</v>
      </c>
      <c r="B52" s="5">
        <f>10781.58</f>
        <v>10781.58</v>
      </c>
      <c r="C52" s="4"/>
      <c r="D52" s="5">
        <f>78.28</f>
        <v>78.28</v>
      </c>
      <c r="E52" s="5">
        <f>5289.35</f>
        <v>5289.35</v>
      </c>
      <c r="F52" s="4"/>
      <c r="G52" s="5">
        <f>57.87</f>
        <v>57.87</v>
      </c>
      <c r="H52" s="5">
        <f>96.17</f>
        <v>96.17</v>
      </c>
      <c r="I52" s="4"/>
      <c r="J52" s="4"/>
      <c r="K52" s="4"/>
      <c r="L52" s="5">
        <f>96.17</f>
        <v>96.17</v>
      </c>
      <c r="M52" s="4"/>
      <c r="N52" s="5">
        <f>192.34</f>
        <v>192.34</v>
      </c>
      <c r="O52" s="4"/>
      <c r="P52" s="4"/>
      <c r="Q52" s="4"/>
      <c r="R52" s="4"/>
      <c r="S52" s="5">
        <f>38.3</f>
        <v>38.299999999999997</v>
      </c>
      <c r="T52" s="5">
        <f>1519.56</f>
        <v>1519.56</v>
      </c>
      <c r="U52" s="5">
        <f>2325.55</f>
        <v>2325.5500000000002</v>
      </c>
      <c r="V52" s="5">
        <f>192.34</f>
        <v>192.34</v>
      </c>
      <c r="W52" s="4"/>
      <c r="X52" s="5">
        <f>211.91</f>
        <v>211.91</v>
      </c>
      <c r="Y52" s="4"/>
      <c r="Z52" s="4"/>
      <c r="AA52" s="5">
        <f>345.54</f>
        <v>345.54</v>
      </c>
      <c r="AB52" s="5">
        <f>537.88</f>
        <v>537.88</v>
      </c>
      <c r="AC52" s="4"/>
      <c r="AD52" s="4"/>
      <c r="AE52" s="5">
        <f t="shared" si="6"/>
        <v>21762.840000000004</v>
      </c>
    </row>
    <row r="53" spans="1:31" x14ac:dyDescent="0.25">
      <c r="A53" s="3" t="s">
        <v>77</v>
      </c>
      <c r="B53" s="6">
        <f t="shared" ref="B53:AD53" si="9">((((B48)+(B49))+(B50))+(B51))+(B52)</f>
        <v>60880.58</v>
      </c>
      <c r="C53" s="6">
        <f t="shared" si="9"/>
        <v>0</v>
      </c>
      <c r="D53" s="6">
        <f t="shared" si="9"/>
        <v>78.28</v>
      </c>
      <c r="E53" s="6">
        <f t="shared" si="9"/>
        <v>9537.02</v>
      </c>
      <c r="F53" s="6">
        <f t="shared" si="9"/>
        <v>0</v>
      </c>
      <c r="G53" s="6">
        <f t="shared" si="9"/>
        <v>3355.71</v>
      </c>
      <c r="H53" s="6">
        <f t="shared" si="9"/>
        <v>96.17</v>
      </c>
      <c r="I53" s="6">
        <f t="shared" si="9"/>
        <v>0</v>
      </c>
      <c r="J53" s="6">
        <f t="shared" si="9"/>
        <v>10</v>
      </c>
      <c r="K53" s="6">
        <f t="shared" si="9"/>
        <v>0</v>
      </c>
      <c r="L53" s="6">
        <f t="shared" si="9"/>
        <v>96.17</v>
      </c>
      <c r="M53" s="6">
        <f t="shared" si="9"/>
        <v>73.25</v>
      </c>
      <c r="N53" s="6">
        <f t="shared" si="9"/>
        <v>192.34</v>
      </c>
      <c r="O53" s="6">
        <f t="shared" si="9"/>
        <v>-10</v>
      </c>
      <c r="P53" s="6">
        <f t="shared" si="9"/>
        <v>0</v>
      </c>
      <c r="Q53" s="6">
        <f t="shared" si="9"/>
        <v>0</v>
      </c>
      <c r="R53" s="6">
        <f t="shared" si="9"/>
        <v>0</v>
      </c>
      <c r="S53" s="6">
        <f t="shared" si="9"/>
        <v>838.3</v>
      </c>
      <c r="T53" s="6">
        <f t="shared" si="9"/>
        <v>2231.7600000000002</v>
      </c>
      <c r="U53" s="6">
        <f t="shared" si="9"/>
        <v>7317.35</v>
      </c>
      <c r="V53" s="6">
        <f t="shared" si="9"/>
        <v>192.34</v>
      </c>
      <c r="W53" s="6">
        <f t="shared" si="9"/>
        <v>0</v>
      </c>
      <c r="X53" s="6">
        <f t="shared" si="9"/>
        <v>211.91</v>
      </c>
      <c r="Y53" s="6">
        <f t="shared" si="9"/>
        <v>0</v>
      </c>
      <c r="Z53" s="6">
        <f t="shared" si="9"/>
        <v>0</v>
      </c>
      <c r="AA53" s="6">
        <f t="shared" si="9"/>
        <v>505.44000000000005</v>
      </c>
      <c r="AB53" s="6">
        <f t="shared" si="9"/>
        <v>537.88</v>
      </c>
      <c r="AC53" s="6">
        <f t="shared" si="9"/>
        <v>0</v>
      </c>
      <c r="AD53" s="6">
        <f t="shared" si="9"/>
        <v>0</v>
      </c>
      <c r="AE53" s="6">
        <f t="shared" si="6"/>
        <v>86144.500000000015</v>
      </c>
    </row>
    <row r="54" spans="1:31" x14ac:dyDescent="0.25">
      <c r="A54" s="3" t="s">
        <v>78</v>
      </c>
      <c r="B54" s="5">
        <f>60098.25</f>
        <v>60098.25</v>
      </c>
      <c r="C54" s="4"/>
      <c r="D54" s="5">
        <f>4700</f>
        <v>4700</v>
      </c>
      <c r="E54" s="5">
        <f>705</f>
        <v>705</v>
      </c>
      <c r="F54" s="5">
        <f>1800</f>
        <v>1800</v>
      </c>
      <c r="G54" s="5">
        <f>43067.44</f>
        <v>43067.44</v>
      </c>
      <c r="H54" s="5">
        <f>8000</f>
        <v>8000</v>
      </c>
      <c r="I54" s="4"/>
      <c r="J54" s="5">
        <f>57381</f>
        <v>57381</v>
      </c>
      <c r="K54" s="4"/>
      <c r="L54" s="4"/>
      <c r="M54" s="4"/>
      <c r="N54" s="5">
        <f>54500.42</f>
        <v>54500.42</v>
      </c>
      <c r="O54" s="4"/>
      <c r="P54" s="4"/>
      <c r="Q54" s="4"/>
      <c r="R54" s="4"/>
      <c r="S54" s="4"/>
      <c r="T54" s="4"/>
      <c r="U54" s="4"/>
      <c r="V54" s="5">
        <f>500</f>
        <v>500</v>
      </c>
      <c r="W54" s="5">
        <f>4385</f>
        <v>4385</v>
      </c>
      <c r="X54" s="5">
        <f>216235.21</f>
        <v>216235.21</v>
      </c>
      <c r="Y54" s="4"/>
      <c r="Z54" s="4"/>
      <c r="AA54" s="5">
        <f>16087</f>
        <v>16087</v>
      </c>
      <c r="AB54" s="5">
        <f>44251</f>
        <v>44251</v>
      </c>
      <c r="AC54" s="4"/>
      <c r="AD54" s="4"/>
      <c r="AE54" s="5">
        <f t="shared" si="6"/>
        <v>511710.31999999995</v>
      </c>
    </row>
    <row r="55" spans="1:31" x14ac:dyDescent="0.25">
      <c r="A55" s="3" t="s">
        <v>79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5">
        <f t="shared" si="6"/>
        <v>0</v>
      </c>
    </row>
    <row r="56" spans="1:31" x14ac:dyDescent="0.25">
      <c r="A56" s="3" t="s">
        <v>80</v>
      </c>
      <c r="B56" s="5">
        <f>96.37</f>
        <v>96.37</v>
      </c>
      <c r="C56" s="4"/>
      <c r="D56" s="4"/>
      <c r="E56" s="5">
        <f>195.64</f>
        <v>195.64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5">
        <f t="shared" si="6"/>
        <v>292.01</v>
      </c>
    </row>
    <row r="57" spans="1:31" x14ac:dyDescent="0.25">
      <c r="A57" s="3" t="s">
        <v>81</v>
      </c>
      <c r="B57" s="5">
        <f>569.25</f>
        <v>569.25</v>
      </c>
      <c r="C57" s="4"/>
      <c r="D57" s="4"/>
      <c r="E57" s="5">
        <f>1155.75</f>
        <v>1155.75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5">
        <f t="shared" si="6"/>
        <v>1725</v>
      </c>
    </row>
    <row r="58" spans="1:31" x14ac:dyDescent="0.25">
      <c r="A58" s="3" t="s">
        <v>82</v>
      </c>
      <c r="B58" s="5">
        <f>898.48</f>
        <v>898.48</v>
      </c>
      <c r="C58" s="4"/>
      <c r="D58" s="4"/>
      <c r="E58" s="5">
        <f>1651.6</f>
        <v>1651.6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5">
        <f t="shared" si="6"/>
        <v>2550.08</v>
      </c>
    </row>
    <row r="59" spans="1:31" x14ac:dyDescent="0.25">
      <c r="A59" s="3" t="s">
        <v>83</v>
      </c>
      <c r="B59" s="5">
        <f>49415.22</f>
        <v>49415.22</v>
      </c>
      <c r="C59" s="4"/>
      <c r="D59" s="4"/>
      <c r="E59" s="5">
        <f>33621.79</f>
        <v>33621.79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5">
        <f t="shared" si="6"/>
        <v>83037.010000000009</v>
      </c>
    </row>
    <row r="60" spans="1:31" x14ac:dyDescent="0.25">
      <c r="A60" s="3" t="s">
        <v>84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>
        <f>40000</f>
        <v>40000</v>
      </c>
      <c r="V60" s="4"/>
      <c r="W60" s="4"/>
      <c r="X60" s="4"/>
      <c r="Y60" s="4"/>
      <c r="Z60" s="4"/>
      <c r="AA60" s="4"/>
      <c r="AB60" s="4"/>
      <c r="AC60" s="4"/>
      <c r="AD60" s="4"/>
      <c r="AE60" s="5">
        <f t="shared" si="6"/>
        <v>40000</v>
      </c>
    </row>
    <row r="61" spans="1:31" x14ac:dyDescent="0.25">
      <c r="A61" s="3" t="s">
        <v>85</v>
      </c>
      <c r="B61" s="5">
        <f>4428.38</f>
        <v>4428.38</v>
      </c>
      <c r="C61" s="4"/>
      <c r="D61" s="4"/>
      <c r="E61" s="5">
        <f>8990.99</f>
        <v>8990.99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5">
        <f t="shared" si="6"/>
        <v>13419.369999999999</v>
      </c>
    </row>
    <row r="62" spans="1:31" x14ac:dyDescent="0.25">
      <c r="A62" s="3" t="s">
        <v>86</v>
      </c>
      <c r="B62" s="5">
        <f>1982.6</f>
        <v>1982.6</v>
      </c>
      <c r="C62" s="4"/>
      <c r="D62" s="5">
        <f>55.44</f>
        <v>55.44</v>
      </c>
      <c r="E62" s="5">
        <f>92.4</f>
        <v>92.4</v>
      </c>
      <c r="F62" s="4"/>
      <c r="G62" s="4"/>
      <c r="H62" s="5">
        <f>110.88</f>
        <v>110.88</v>
      </c>
      <c r="I62" s="4"/>
      <c r="J62" s="5">
        <f>14700</f>
        <v>14700</v>
      </c>
      <c r="K62" s="4"/>
      <c r="L62" s="4"/>
      <c r="M62" s="4"/>
      <c r="N62" s="5">
        <f>184.8</f>
        <v>184.8</v>
      </c>
      <c r="O62" s="4"/>
      <c r="P62" s="4"/>
      <c r="Q62" s="4"/>
      <c r="R62" s="4"/>
      <c r="S62" s="5">
        <f>55.44</f>
        <v>55.44</v>
      </c>
      <c r="T62" s="5">
        <f>314.16</f>
        <v>314.16000000000003</v>
      </c>
      <c r="U62" s="5">
        <f>480.48</f>
        <v>480.48</v>
      </c>
      <c r="V62" s="5">
        <f>184.8</f>
        <v>184.8</v>
      </c>
      <c r="W62" s="4"/>
      <c r="X62" s="5">
        <f>221.76</f>
        <v>221.76</v>
      </c>
      <c r="Y62" s="5">
        <f>2200</f>
        <v>2200</v>
      </c>
      <c r="Z62" s="4"/>
      <c r="AA62" s="5">
        <f>332.64</f>
        <v>332.64</v>
      </c>
      <c r="AB62" s="5">
        <f>505.56</f>
        <v>505.56</v>
      </c>
      <c r="AC62" s="4"/>
      <c r="AD62" s="4"/>
      <c r="AE62" s="5">
        <f t="shared" si="6"/>
        <v>21420.959999999995</v>
      </c>
    </row>
    <row r="63" spans="1:31" x14ac:dyDescent="0.25">
      <c r="A63" s="3" t="s">
        <v>87</v>
      </c>
      <c r="B63" s="5">
        <f>0</f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5">
        <f t="shared" ref="AE63:AE91" si="10">((((((((((((((((((((((((((((B63)+(C63))+(D63))+(E63))+(F63))+(G63))+(H63))+(I63))+(J63))+(K63))+(L63))+(M63))+(N63))+(O63))+(P63))+(Q63))+(R63))+(S63))+(T63))+(U63))+(V63))+(W63))+(X63))+(Y63))+(Z63))+(AA63))+(AB63))+(AC63))+(AD63)</f>
        <v>0</v>
      </c>
    </row>
    <row r="64" spans="1:31" x14ac:dyDescent="0.25">
      <c r="A64" s="3" t="s">
        <v>88</v>
      </c>
      <c r="B64" s="6">
        <f t="shared" ref="B64:AD64" si="11">((((((((B55)+(B56))+(B57))+(B58))+(B59))+(B60))+(B61))+(B62))+(B63)</f>
        <v>57390.299999999996</v>
      </c>
      <c r="C64" s="6">
        <f t="shared" si="11"/>
        <v>0</v>
      </c>
      <c r="D64" s="6">
        <f t="shared" si="11"/>
        <v>55.44</v>
      </c>
      <c r="E64" s="6">
        <f t="shared" si="11"/>
        <v>45708.17</v>
      </c>
      <c r="F64" s="6">
        <f t="shared" si="11"/>
        <v>0</v>
      </c>
      <c r="G64" s="6">
        <f t="shared" si="11"/>
        <v>0</v>
      </c>
      <c r="H64" s="6">
        <f t="shared" si="11"/>
        <v>110.88</v>
      </c>
      <c r="I64" s="6">
        <f t="shared" si="11"/>
        <v>0</v>
      </c>
      <c r="J64" s="6">
        <f t="shared" si="11"/>
        <v>14700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184.8</v>
      </c>
      <c r="O64" s="6">
        <f t="shared" si="11"/>
        <v>0</v>
      </c>
      <c r="P64" s="6">
        <f t="shared" si="11"/>
        <v>0</v>
      </c>
      <c r="Q64" s="6">
        <f t="shared" si="11"/>
        <v>0</v>
      </c>
      <c r="R64" s="6">
        <f t="shared" si="11"/>
        <v>0</v>
      </c>
      <c r="S64" s="6">
        <f t="shared" si="11"/>
        <v>55.44</v>
      </c>
      <c r="T64" s="6">
        <f t="shared" si="11"/>
        <v>314.16000000000003</v>
      </c>
      <c r="U64" s="6">
        <f t="shared" si="11"/>
        <v>40480.480000000003</v>
      </c>
      <c r="V64" s="6">
        <f t="shared" si="11"/>
        <v>184.8</v>
      </c>
      <c r="W64" s="6">
        <f t="shared" si="11"/>
        <v>0</v>
      </c>
      <c r="X64" s="6">
        <f t="shared" si="11"/>
        <v>221.76</v>
      </c>
      <c r="Y64" s="6">
        <f t="shared" si="11"/>
        <v>2200</v>
      </c>
      <c r="Z64" s="6">
        <f t="shared" si="11"/>
        <v>0</v>
      </c>
      <c r="AA64" s="6">
        <f t="shared" si="11"/>
        <v>332.64</v>
      </c>
      <c r="AB64" s="6">
        <f t="shared" si="11"/>
        <v>505.56</v>
      </c>
      <c r="AC64" s="6">
        <f t="shared" si="11"/>
        <v>0</v>
      </c>
      <c r="AD64" s="6">
        <f t="shared" si="11"/>
        <v>0</v>
      </c>
      <c r="AE64" s="6">
        <f t="shared" si="10"/>
        <v>162444.43000000002</v>
      </c>
    </row>
    <row r="65" spans="1:31" x14ac:dyDescent="0.25">
      <c r="A65" s="3" t="s">
        <v>89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5">
        <f t="shared" si="10"/>
        <v>0</v>
      </c>
    </row>
    <row r="66" spans="1:31" x14ac:dyDescent="0.25">
      <c r="A66" s="3" t="s">
        <v>90</v>
      </c>
      <c r="B66" s="5">
        <f>39123.58</f>
        <v>39123.58</v>
      </c>
      <c r="C66" s="4"/>
      <c r="D66" s="4"/>
      <c r="E66" s="5">
        <f>32702</f>
        <v>32702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5">
        <f t="shared" si="10"/>
        <v>71825.58</v>
      </c>
    </row>
    <row r="67" spans="1:31" x14ac:dyDescent="0.25">
      <c r="A67" s="3" t="s">
        <v>91</v>
      </c>
      <c r="B67" s="5">
        <f>23939.5</f>
        <v>23939.5</v>
      </c>
      <c r="C67" s="4"/>
      <c r="D67" s="4"/>
      <c r="E67" s="5">
        <f>18374.5</f>
        <v>18374.5</v>
      </c>
      <c r="F67" s="4"/>
      <c r="G67" s="4"/>
      <c r="H67" s="4"/>
      <c r="I67" s="4"/>
      <c r="J67" s="4"/>
      <c r="K67" s="4"/>
      <c r="L67" s="4"/>
      <c r="M67" s="4"/>
      <c r="N67" s="5">
        <f>185</f>
        <v>185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5">
        <f t="shared" si="10"/>
        <v>42499</v>
      </c>
    </row>
    <row r="68" spans="1:31" x14ac:dyDescent="0.25">
      <c r="A68" s="3" t="s">
        <v>92</v>
      </c>
      <c r="B68" s="6">
        <f t="shared" ref="B68:AD68" si="12">((B65)+(B66))+(B67)</f>
        <v>63063.08</v>
      </c>
      <c r="C68" s="6">
        <f t="shared" si="12"/>
        <v>0</v>
      </c>
      <c r="D68" s="6">
        <f t="shared" si="12"/>
        <v>0</v>
      </c>
      <c r="E68" s="6">
        <f t="shared" si="12"/>
        <v>51076.5</v>
      </c>
      <c r="F68" s="6">
        <f t="shared" si="12"/>
        <v>0</v>
      </c>
      <c r="G68" s="6">
        <f t="shared" si="12"/>
        <v>0</v>
      </c>
      <c r="H68" s="6">
        <f t="shared" si="12"/>
        <v>0</v>
      </c>
      <c r="I68" s="6">
        <f t="shared" si="12"/>
        <v>0</v>
      </c>
      <c r="J68" s="6">
        <f t="shared" si="12"/>
        <v>0</v>
      </c>
      <c r="K68" s="6">
        <f t="shared" si="12"/>
        <v>0</v>
      </c>
      <c r="L68" s="6">
        <f t="shared" si="12"/>
        <v>0</v>
      </c>
      <c r="M68" s="6">
        <f t="shared" si="12"/>
        <v>0</v>
      </c>
      <c r="N68" s="6">
        <f t="shared" si="12"/>
        <v>185</v>
      </c>
      <c r="O68" s="6">
        <f t="shared" si="12"/>
        <v>0</v>
      </c>
      <c r="P68" s="6">
        <f t="shared" si="12"/>
        <v>0</v>
      </c>
      <c r="Q68" s="6">
        <f t="shared" si="12"/>
        <v>0</v>
      </c>
      <c r="R68" s="6">
        <f t="shared" si="12"/>
        <v>0</v>
      </c>
      <c r="S68" s="6">
        <f t="shared" si="12"/>
        <v>0</v>
      </c>
      <c r="T68" s="6">
        <f t="shared" si="12"/>
        <v>0</v>
      </c>
      <c r="U68" s="6">
        <f t="shared" si="12"/>
        <v>0</v>
      </c>
      <c r="V68" s="6">
        <f t="shared" si="12"/>
        <v>0</v>
      </c>
      <c r="W68" s="6">
        <f t="shared" si="12"/>
        <v>0</v>
      </c>
      <c r="X68" s="6">
        <f t="shared" si="12"/>
        <v>0</v>
      </c>
      <c r="Y68" s="6">
        <f t="shared" si="12"/>
        <v>0</v>
      </c>
      <c r="Z68" s="6">
        <f t="shared" si="12"/>
        <v>0</v>
      </c>
      <c r="AA68" s="6">
        <f t="shared" si="12"/>
        <v>0</v>
      </c>
      <c r="AB68" s="6">
        <f t="shared" si="12"/>
        <v>0</v>
      </c>
      <c r="AC68" s="6">
        <f t="shared" si="12"/>
        <v>0</v>
      </c>
      <c r="AD68" s="6">
        <f t="shared" si="12"/>
        <v>0</v>
      </c>
      <c r="AE68" s="6">
        <f t="shared" si="10"/>
        <v>114324.58</v>
      </c>
    </row>
    <row r="69" spans="1:31" x14ac:dyDescent="0.25">
      <c r="A69" s="3" t="s">
        <v>93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5">
        <f t="shared" si="10"/>
        <v>0</v>
      </c>
    </row>
    <row r="70" spans="1:31" x14ac:dyDescent="0.25">
      <c r="A70" s="3" t="s">
        <v>94</v>
      </c>
      <c r="B70" s="5">
        <f>317.22</f>
        <v>317.22000000000003</v>
      </c>
      <c r="C70" s="4"/>
      <c r="D70" s="4"/>
      <c r="E70" s="5">
        <f>222.04</f>
        <v>222.04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5">
        <f>47.58</f>
        <v>47.58</v>
      </c>
      <c r="U70" s="5">
        <f>47.58</f>
        <v>47.58</v>
      </c>
      <c r="V70" s="4"/>
      <c r="W70" s="4"/>
      <c r="X70" s="4"/>
      <c r="Y70" s="4"/>
      <c r="Z70" s="4"/>
      <c r="AA70" s="4"/>
      <c r="AB70" s="4"/>
      <c r="AC70" s="4"/>
      <c r="AD70" s="4"/>
      <c r="AE70" s="5">
        <f t="shared" si="10"/>
        <v>634.42000000000007</v>
      </c>
    </row>
    <row r="71" spans="1:31" x14ac:dyDescent="0.25">
      <c r="A71" s="3" t="s">
        <v>95</v>
      </c>
      <c r="B71" s="5">
        <f>500</f>
        <v>500</v>
      </c>
      <c r="C71" s="4"/>
      <c r="D71" s="4"/>
      <c r="E71" s="5">
        <f>180</f>
        <v>180</v>
      </c>
      <c r="F71" s="4"/>
      <c r="G71" s="4"/>
      <c r="H71" s="4"/>
      <c r="I71" s="4"/>
      <c r="J71" s="4"/>
      <c r="K71" s="4"/>
      <c r="L71" s="4"/>
      <c r="M71" s="4"/>
      <c r="N71" s="5">
        <f>83.15</f>
        <v>83.15</v>
      </c>
      <c r="O71" s="4"/>
      <c r="P71" s="4"/>
      <c r="Q71" s="4"/>
      <c r="R71" s="4"/>
      <c r="S71" s="4"/>
      <c r="T71" s="5">
        <f>60</f>
        <v>60</v>
      </c>
      <c r="U71" s="5">
        <f>60</f>
        <v>60</v>
      </c>
      <c r="V71" s="4"/>
      <c r="W71" s="4"/>
      <c r="X71" s="5">
        <f>71</f>
        <v>71</v>
      </c>
      <c r="Y71" s="4"/>
      <c r="Z71" s="4"/>
      <c r="AA71" s="4"/>
      <c r="AB71" s="5">
        <f>16.7</f>
        <v>16.7</v>
      </c>
      <c r="AC71" s="4"/>
      <c r="AD71" s="4"/>
      <c r="AE71" s="5">
        <f t="shared" si="10"/>
        <v>970.85</v>
      </c>
    </row>
    <row r="72" spans="1:31" x14ac:dyDescent="0.25">
      <c r="A72" s="3" t="s">
        <v>96</v>
      </c>
      <c r="B72" s="5">
        <f>3018.46</f>
        <v>3018.46</v>
      </c>
      <c r="C72" s="4"/>
      <c r="D72" s="5">
        <f>4.74</f>
        <v>4.74</v>
      </c>
      <c r="E72" s="5">
        <f>2027.4</f>
        <v>2027.4</v>
      </c>
      <c r="F72" s="4"/>
      <c r="G72" s="4"/>
      <c r="H72" s="4"/>
      <c r="I72" s="4"/>
      <c r="J72" s="4"/>
      <c r="K72" s="4"/>
      <c r="L72" s="4"/>
      <c r="M72" s="4"/>
      <c r="N72" s="5">
        <f>139.2</f>
        <v>139.19999999999999</v>
      </c>
      <c r="O72" s="4"/>
      <c r="P72" s="4"/>
      <c r="Q72" s="4"/>
      <c r="R72" s="4"/>
      <c r="S72" s="5">
        <f>32.88</f>
        <v>32.880000000000003</v>
      </c>
      <c r="T72" s="5">
        <f>658.71</f>
        <v>658.71</v>
      </c>
      <c r="U72" s="5">
        <f>1461.52</f>
        <v>1461.52</v>
      </c>
      <c r="V72" s="5">
        <f>487.52</f>
        <v>487.52</v>
      </c>
      <c r="W72" s="4"/>
      <c r="X72" s="5">
        <f>594.03</f>
        <v>594.03</v>
      </c>
      <c r="Y72" s="4"/>
      <c r="Z72" s="4"/>
      <c r="AA72" s="5">
        <f>839.39</f>
        <v>839.39</v>
      </c>
      <c r="AB72" s="5">
        <f>1062.5</f>
        <v>1062.5</v>
      </c>
      <c r="AC72" s="4"/>
      <c r="AD72" s="4"/>
      <c r="AE72" s="5">
        <f t="shared" si="10"/>
        <v>10326.35</v>
      </c>
    </row>
    <row r="73" spans="1:31" x14ac:dyDescent="0.25">
      <c r="A73" s="3" t="s">
        <v>97</v>
      </c>
      <c r="B73" s="5">
        <f>215.58</f>
        <v>215.58</v>
      </c>
      <c r="C73" s="4"/>
      <c r="D73" s="5">
        <f>0</f>
        <v>0</v>
      </c>
      <c r="E73" s="5">
        <f>930.75</f>
        <v>930.75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5">
        <f>13794.8</f>
        <v>13794.8</v>
      </c>
      <c r="U73" s="5">
        <f>215.58</f>
        <v>215.58</v>
      </c>
      <c r="V73" s="5">
        <f>1055</f>
        <v>1055</v>
      </c>
      <c r="W73" s="4"/>
      <c r="X73" s="5">
        <f>0</f>
        <v>0</v>
      </c>
      <c r="Y73" s="4"/>
      <c r="Z73" s="4"/>
      <c r="AA73" s="5">
        <f>634.55</f>
        <v>634.54999999999995</v>
      </c>
      <c r="AB73" s="5">
        <f>634.55</f>
        <v>634.54999999999995</v>
      </c>
      <c r="AC73" s="4"/>
      <c r="AD73" s="4"/>
      <c r="AE73" s="5">
        <f t="shared" si="10"/>
        <v>17480.809999999998</v>
      </c>
    </row>
    <row r="74" spans="1:31" x14ac:dyDescent="0.25">
      <c r="A74" s="3" t="s">
        <v>98</v>
      </c>
      <c r="B74" s="5">
        <f>16113.7</f>
        <v>16113.7</v>
      </c>
      <c r="C74" s="4"/>
      <c r="D74" s="5">
        <f>0</f>
        <v>0</v>
      </c>
      <c r="E74" s="5">
        <f>202.75</f>
        <v>202.75</v>
      </c>
      <c r="F74" s="4"/>
      <c r="G74" s="4"/>
      <c r="H74" s="5">
        <f>307.54</f>
        <v>307.54000000000002</v>
      </c>
      <c r="I74" s="4"/>
      <c r="J74" s="5">
        <f>1297.79</f>
        <v>1297.79</v>
      </c>
      <c r="K74" s="5">
        <f>2580.28</f>
        <v>2580.2800000000002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>
        <f>6205.3</f>
        <v>6205.3</v>
      </c>
      <c r="X74" s="4"/>
      <c r="Y74" s="4"/>
      <c r="Z74" s="4"/>
      <c r="AA74" s="4"/>
      <c r="AB74" s="4"/>
      <c r="AC74" s="4"/>
      <c r="AD74" s="4"/>
      <c r="AE74" s="5">
        <f t="shared" si="10"/>
        <v>26707.360000000001</v>
      </c>
    </row>
    <row r="75" spans="1:31" x14ac:dyDescent="0.25">
      <c r="A75" s="3" t="s">
        <v>99</v>
      </c>
      <c r="B75" s="5">
        <f>42325.72</f>
        <v>42325.72</v>
      </c>
      <c r="C75" s="4"/>
      <c r="D75" s="5">
        <f>0</f>
        <v>0</v>
      </c>
      <c r="E75" s="5">
        <f>4196.11</f>
        <v>4196.1099999999997</v>
      </c>
      <c r="F75" s="5">
        <f>390.8</f>
        <v>390.8</v>
      </c>
      <c r="G75" s="5">
        <f>2646.89</f>
        <v>2646.89</v>
      </c>
      <c r="H75" s="5">
        <f>112.25</f>
        <v>112.25</v>
      </c>
      <c r="I75" s="4"/>
      <c r="J75" s="5">
        <f>3036.37</f>
        <v>3036.37</v>
      </c>
      <c r="K75" s="5">
        <f>4301.44</f>
        <v>4301.4399999999996</v>
      </c>
      <c r="L75" s="4"/>
      <c r="M75" s="4"/>
      <c r="N75" s="5">
        <f>44956.29</f>
        <v>44956.29</v>
      </c>
      <c r="O75" s="4"/>
      <c r="P75" s="4"/>
      <c r="Q75" s="4"/>
      <c r="R75" s="4"/>
      <c r="S75" s="5">
        <f>1399.85</f>
        <v>1399.85</v>
      </c>
      <c r="T75" s="5">
        <f>8713.65</f>
        <v>8713.65</v>
      </c>
      <c r="U75" s="5">
        <f>19256.15</f>
        <v>19256.150000000001</v>
      </c>
      <c r="V75" s="5">
        <f>31618.56</f>
        <v>31618.560000000001</v>
      </c>
      <c r="W75" s="5">
        <f>800</f>
        <v>800</v>
      </c>
      <c r="X75" s="5">
        <f>621.48</f>
        <v>621.48</v>
      </c>
      <c r="Y75" s="4"/>
      <c r="Z75" s="5">
        <f>4075.34</f>
        <v>4075.34</v>
      </c>
      <c r="AA75" s="5">
        <f>171316.03</f>
        <v>171316.03</v>
      </c>
      <c r="AB75" s="5">
        <f>93453.69</f>
        <v>93453.69</v>
      </c>
      <c r="AC75" s="4"/>
      <c r="AD75" s="4"/>
      <c r="AE75" s="5">
        <f t="shared" si="10"/>
        <v>433220.62000000005</v>
      </c>
    </row>
    <row r="76" spans="1:31" x14ac:dyDescent="0.25">
      <c r="A76" s="3" t="s">
        <v>100</v>
      </c>
      <c r="B76" s="6">
        <f t="shared" ref="B76:AD76" si="13">((((((B69)+(B70))+(B71))+(B72))+(B73))+(B74))+(B75)</f>
        <v>62490.68</v>
      </c>
      <c r="C76" s="6">
        <f t="shared" si="13"/>
        <v>0</v>
      </c>
      <c r="D76" s="6">
        <f t="shared" si="13"/>
        <v>4.74</v>
      </c>
      <c r="E76" s="6">
        <f t="shared" si="13"/>
        <v>7759.0499999999993</v>
      </c>
      <c r="F76" s="6">
        <f t="shared" si="13"/>
        <v>390.8</v>
      </c>
      <c r="G76" s="6">
        <f t="shared" si="13"/>
        <v>2646.89</v>
      </c>
      <c r="H76" s="6">
        <f t="shared" si="13"/>
        <v>419.79</v>
      </c>
      <c r="I76" s="6">
        <f t="shared" si="13"/>
        <v>0</v>
      </c>
      <c r="J76" s="6">
        <f t="shared" si="13"/>
        <v>4334.16</v>
      </c>
      <c r="K76" s="6">
        <f t="shared" si="13"/>
        <v>6881.7199999999993</v>
      </c>
      <c r="L76" s="6">
        <f t="shared" si="13"/>
        <v>0</v>
      </c>
      <c r="M76" s="6">
        <f t="shared" si="13"/>
        <v>0</v>
      </c>
      <c r="N76" s="6">
        <f t="shared" si="13"/>
        <v>45178.64</v>
      </c>
      <c r="O76" s="6">
        <f t="shared" si="13"/>
        <v>0</v>
      </c>
      <c r="P76" s="6">
        <f t="shared" si="13"/>
        <v>0</v>
      </c>
      <c r="Q76" s="6">
        <f t="shared" si="13"/>
        <v>0</v>
      </c>
      <c r="R76" s="6">
        <f t="shared" si="13"/>
        <v>0</v>
      </c>
      <c r="S76" s="6">
        <f t="shared" si="13"/>
        <v>1432.73</v>
      </c>
      <c r="T76" s="6">
        <f t="shared" si="13"/>
        <v>23274.739999999998</v>
      </c>
      <c r="U76" s="6">
        <f t="shared" si="13"/>
        <v>21040.83</v>
      </c>
      <c r="V76" s="6">
        <f t="shared" si="13"/>
        <v>33161.08</v>
      </c>
      <c r="W76" s="6">
        <f t="shared" si="13"/>
        <v>7005.3</v>
      </c>
      <c r="X76" s="6">
        <f t="shared" si="13"/>
        <v>1286.51</v>
      </c>
      <c r="Y76" s="6">
        <f t="shared" si="13"/>
        <v>0</v>
      </c>
      <c r="Z76" s="6">
        <f t="shared" si="13"/>
        <v>4075.34</v>
      </c>
      <c r="AA76" s="6">
        <f t="shared" si="13"/>
        <v>172789.97</v>
      </c>
      <c r="AB76" s="6">
        <f t="shared" si="13"/>
        <v>95167.44</v>
      </c>
      <c r="AC76" s="6">
        <f t="shared" si="13"/>
        <v>0</v>
      </c>
      <c r="AD76" s="6">
        <f t="shared" si="13"/>
        <v>0</v>
      </c>
      <c r="AE76" s="6">
        <f t="shared" si="10"/>
        <v>489340.41000000003</v>
      </c>
    </row>
    <row r="77" spans="1:31" x14ac:dyDescent="0.25">
      <c r="A77" s="3" t="s">
        <v>101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5">
        <f t="shared" si="10"/>
        <v>0</v>
      </c>
    </row>
    <row r="78" spans="1:31" x14ac:dyDescent="0.25">
      <c r="A78" s="3" t="s">
        <v>102</v>
      </c>
      <c r="B78" s="5">
        <f>2078.7</f>
        <v>2078.6999999999998</v>
      </c>
      <c r="C78" s="4"/>
      <c r="D78" s="5">
        <f>2494.44</f>
        <v>2494.44</v>
      </c>
      <c r="E78" s="4"/>
      <c r="F78" s="4"/>
      <c r="G78" s="4"/>
      <c r="H78" s="4"/>
      <c r="I78" s="4"/>
      <c r="J78" s="5">
        <f>500</f>
        <v>500</v>
      </c>
      <c r="K78" s="5">
        <f>17500</f>
        <v>17500</v>
      </c>
      <c r="L78" s="4"/>
      <c r="M78" s="5">
        <f>4244.19</f>
        <v>4244.1899999999996</v>
      </c>
      <c r="N78" s="4"/>
      <c r="O78" s="4"/>
      <c r="P78" s="4"/>
      <c r="Q78" s="5">
        <f>250</f>
        <v>250</v>
      </c>
      <c r="R78" s="4"/>
      <c r="S78" s="5">
        <f>46618</f>
        <v>46618</v>
      </c>
      <c r="T78" s="5">
        <f>18024.14</f>
        <v>18024.14</v>
      </c>
      <c r="U78" s="5">
        <f>49203.18</f>
        <v>49203.18</v>
      </c>
      <c r="V78" s="5">
        <f>500</f>
        <v>500</v>
      </c>
      <c r="W78" s="4"/>
      <c r="X78" s="5">
        <f>4988.88</f>
        <v>4988.88</v>
      </c>
      <c r="Y78" s="4"/>
      <c r="Z78" s="4"/>
      <c r="AA78" s="5">
        <f>132873.28</f>
        <v>132873.28</v>
      </c>
      <c r="AB78" s="5">
        <f>560354.21</f>
        <v>560354.21</v>
      </c>
      <c r="AC78" s="5">
        <f>5388</f>
        <v>5388</v>
      </c>
      <c r="AD78" s="4"/>
      <c r="AE78" s="5">
        <f t="shared" si="10"/>
        <v>845017.02</v>
      </c>
    </row>
    <row r="79" spans="1:31" x14ac:dyDescent="0.25">
      <c r="A79" s="3" t="s">
        <v>103</v>
      </c>
      <c r="B79" s="5">
        <f>7734.81</f>
        <v>7734.81</v>
      </c>
      <c r="C79" s="4"/>
      <c r="D79" s="4"/>
      <c r="E79" s="5">
        <f>145</f>
        <v>145</v>
      </c>
      <c r="F79" s="5">
        <f>12689</f>
        <v>12689</v>
      </c>
      <c r="G79" s="4"/>
      <c r="H79" s="4"/>
      <c r="I79" s="4"/>
      <c r="J79" s="5">
        <f>9796.9</f>
        <v>9796.9</v>
      </c>
      <c r="K79" s="5">
        <f>1546.25</f>
        <v>1546.25</v>
      </c>
      <c r="L79" s="4"/>
      <c r="M79" s="4"/>
      <c r="N79" s="5">
        <f>3935</f>
        <v>3935</v>
      </c>
      <c r="O79" s="4"/>
      <c r="P79" s="4"/>
      <c r="Q79" s="4"/>
      <c r="R79" s="4"/>
      <c r="S79" s="4"/>
      <c r="T79" s="5">
        <f>2728</f>
        <v>2728</v>
      </c>
      <c r="U79" s="5">
        <f>8330</f>
        <v>8330</v>
      </c>
      <c r="V79" s="5">
        <f>6311</f>
        <v>6311</v>
      </c>
      <c r="W79" s="4"/>
      <c r="X79" s="5">
        <f>1368</f>
        <v>1368</v>
      </c>
      <c r="Y79" s="4"/>
      <c r="Z79" s="4"/>
      <c r="AA79" s="5">
        <f>5702</f>
        <v>5702</v>
      </c>
      <c r="AB79" s="5">
        <f>9550</f>
        <v>9550</v>
      </c>
      <c r="AC79" s="4"/>
      <c r="AD79" s="4"/>
      <c r="AE79" s="5">
        <f t="shared" si="10"/>
        <v>69835.959999999992</v>
      </c>
    </row>
    <row r="80" spans="1:31" x14ac:dyDescent="0.25">
      <c r="A80" s="3" t="s">
        <v>104</v>
      </c>
      <c r="B80" s="5">
        <f>34682.58</f>
        <v>34682.58</v>
      </c>
      <c r="C80" s="4"/>
      <c r="D80" s="5">
        <f>2193.68</f>
        <v>2193.6799999999998</v>
      </c>
      <c r="E80" s="5">
        <f>1875.98</f>
        <v>1875.98</v>
      </c>
      <c r="F80" s="5">
        <f>7959.44</f>
        <v>7959.44</v>
      </c>
      <c r="G80" s="4"/>
      <c r="H80" s="5">
        <f>481.76</f>
        <v>481.76</v>
      </c>
      <c r="I80" s="4"/>
      <c r="J80" s="5">
        <f>40365.84</f>
        <v>40365.839999999997</v>
      </c>
      <c r="K80" s="4"/>
      <c r="L80" s="4"/>
      <c r="M80" s="4"/>
      <c r="N80" s="5">
        <f>4246.83</f>
        <v>4246.83</v>
      </c>
      <c r="O80" s="4"/>
      <c r="P80" s="4"/>
      <c r="Q80" s="5">
        <f>170351.24</f>
        <v>170351.24</v>
      </c>
      <c r="R80" s="4"/>
      <c r="S80" s="4"/>
      <c r="T80" s="5">
        <f>4612.15</f>
        <v>4612.1499999999996</v>
      </c>
      <c r="U80" s="5">
        <f>8437.77</f>
        <v>8437.77</v>
      </c>
      <c r="V80" s="5">
        <f>8224.81</f>
        <v>8224.81</v>
      </c>
      <c r="W80" s="5">
        <f>2730.57</f>
        <v>2730.57</v>
      </c>
      <c r="X80" s="5">
        <f>80557.44</f>
        <v>80557.440000000002</v>
      </c>
      <c r="Y80" s="5">
        <f>777.69</f>
        <v>777.69</v>
      </c>
      <c r="Z80" s="4"/>
      <c r="AA80" s="5">
        <f>12618.78</f>
        <v>12618.78</v>
      </c>
      <c r="AB80" s="5">
        <f>21894.08</f>
        <v>21894.080000000002</v>
      </c>
      <c r="AC80" s="4"/>
      <c r="AD80" s="4"/>
      <c r="AE80" s="5">
        <f t="shared" si="10"/>
        <v>402010.64000000007</v>
      </c>
    </row>
    <row r="81" spans="1:31" x14ac:dyDescent="0.25">
      <c r="A81" s="3" t="s">
        <v>105</v>
      </c>
      <c r="B81" s="4"/>
      <c r="C81" s="4"/>
      <c r="D81" s="4"/>
      <c r="E81" s="4"/>
      <c r="F81" s="4"/>
      <c r="G81" s="4"/>
      <c r="H81" s="4"/>
      <c r="I81" s="4"/>
      <c r="J81" s="5">
        <f>2285.54</f>
        <v>2285.54</v>
      </c>
      <c r="K81" s="4"/>
      <c r="L81" s="4"/>
      <c r="M81" s="4"/>
      <c r="N81" s="4"/>
      <c r="O81" s="4"/>
      <c r="P81" s="4"/>
      <c r="Q81" s="4"/>
      <c r="R81" s="4"/>
      <c r="S81" s="5">
        <f>5651.84</f>
        <v>5651.84</v>
      </c>
      <c r="T81" s="5">
        <f>27059.54</f>
        <v>27059.54</v>
      </c>
      <c r="U81" s="5">
        <f>27795.36</f>
        <v>27795.360000000001</v>
      </c>
      <c r="V81" s="4"/>
      <c r="W81" s="4"/>
      <c r="X81" s="5">
        <f>6651.78</f>
        <v>6651.78</v>
      </c>
      <c r="Y81" s="4"/>
      <c r="Z81" s="4"/>
      <c r="AA81" s="4"/>
      <c r="AB81" s="5">
        <f>8646.74</f>
        <v>8646.74</v>
      </c>
      <c r="AC81" s="4"/>
      <c r="AD81" s="4"/>
      <c r="AE81" s="5">
        <f t="shared" si="10"/>
        <v>78090.8</v>
      </c>
    </row>
    <row r="82" spans="1:31" x14ac:dyDescent="0.25">
      <c r="A82" s="3" t="s">
        <v>106</v>
      </c>
      <c r="B82" s="5">
        <f>6966.11</f>
        <v>6966.11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5">
        <f t="shared" si="10"/>
        <v>6966.11</v>
      </c>
    </row>
    <row r="83" spans="1:31" x14ac:dyDescent="0.25">
      <c r="A83" s="3" t="s">
        <v>107</v>
      </c>
      <c r="B83" s="6">
        <f t="shared" ref="B83:AD83" si="14">(((((B77)+(B78))+(B79))+(B80))+(B81))+(B82)</f>
        <v>51462.200000000004</v>
      </c>
      <c r="C83" s="6">
        <f t="shared" si="14"/>
        <v>0</v>
      </c>
      <c r="D83" s="6">
        <f t="shared" si="14"/>
        <v>4688.12</v>
      </c>
      <c r="E83" s="6">
        <f t="shared" si="14"/>
        <v>2020.98</v>
      </c>
      <c r="F83" s="6">
        <f t="shared" si="14"/>
        <v>20648.439999999999</v>
      </c>
      <c r="G83" s="6">
        <f t="shared" si="14"/>
        <v>0</v>
      </c>
      <c r="H83" s="6">
        <f t="shared" si="14"/>
        <v>481.76</v>
      </c>
      <c r="I83" s="6">
        <f t="shared" si="14"/>
        <v>0</v>
      </c>
      <c r="J83" s="6">
        <f t="shared" si="14"/>
        <v>52948.28</v>
      </c>
      <c r="K83" s="6">
        <f t="shared" si="14"/>
        <v>19046.25</v>
      </c>
      <c r="L83" s="6">
        <f t="shared" si="14"/>
        <v>0</v>
      </c>
      <c r="M83" s="6">
        <f t="shared" si="14"/>
        <v>4244.1899999999996</v>
      </c>
      <c r="N83" s="6">
        <f t="shared" si="14"/>
        <v>8181.83</v>
      </c>
      <c r="O83" s="6">
        <f t="shared" si="14"/>
        <v>0</v>
      </c>
      <c r="P83" s="6">
        <f t="shared" si="14"/>
        <v>0</v>
      </c>
      <c r="Q83" s="6">
        <f t="shared" si="14"/>
        <v>170601.24</v>
      </c>
      <c r="R83" s="6">
        <f t="shared" si="14"/>
        <v>0</v>
      </c>
      <c r="S83" s="6">
        <f t="shared" si="14"/>
        <v>52269.84</v>
      </c>
      <c r="T83" s="6">
        <f t="shared" si="14"/>
        <v>52423.83</v>
      </c>
      <c r="U83" s="6">
        <f t="shared" si="14"/>
        <v>93766.31</v>
      </c>
      <c r="V83" s="6">
        <f t="shared" si="14"/>
        <v>15035.81</v>
      </c>
      <c r="W83" s="6">
        <f t="shared" si="14"/>
        <v>2730.57</v>
      </c>
      <c r="X83" s="6">
        <f t="shared" si="14"/>
        <v>93566.1</v>
      </c>
      <c r="Y83" s="6">
        <f t="shared" si="14"/>
        <v>777.69</v>
      </c>
      <c r="Z83" s="6">
        <f t="shared" si="14"/>
        <v>0</v>
      </c>
      <c r="AA83" s="6">
        <f t="shared" si="14"/>
        <v>151194.06</v>
      </c>
      <c r="AB83" s="6">
        <f t="shared" si="14"/>
        <v>600445.02999999991</v>
      </c>
      <c r="AC83" s="6">
        <f t="shared" si="14"/>
        <v>5388</v>
      </c>
      <c r="AD83" s="6">
        <f t="shared" si="14"/>
        <v>0</v>
      </c>
      <c r="AE83" s="6">
        <f t="shared" si="10"/>
        <v>1401920.5299999998</v>
      </c>
    </row>
    <row r="84" spans="1:31" x14ac:dyDescent="0.25">
      <c r="A84" s="3" t="s">
        <v>108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5">
        <f t="shared" si="10"/>
        <v>0</v>
      </c>
    </row>
    <row r="85" spans="1:31" x14ac:dyDescent="0.25">
      <c r="A85" s="3" t="s">
        <v>109</v>
      </c>
      <c r="B85" s="5">
        <f>720</f>
        <v>720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5">
        <f>2751.08</f>
        <v>2751.08</v>
      </c>
      <c r="U85" s="5">
        <f>894.77</f>
        <v>894.77</v>
      </c>
      <c r="V85" s="4"/>
      <c r="W85" s="4"/>
      <c r="X85" s="4"/>
      <c r="Y85" s="4"/>
      <c r="Z85" s="4"/>
      <c r="AA85" s="4"/>
      <c r="AB85" s="5">
        <f>720</f>
        <v>720</v>
      </c>
      <c r="AC85" s="4"/>
      <c r="AD85" s="4"/>
      <c r="AE85" s="5">
        <f t="shared" si="10"/>
        <v>5085.8500000000004</v>
      </c>
    </row>
    <row r="86" spans="1:31" x14ac:dyDescent="0.25">
      <c r="A86" s="3" t="s">
        <v>110</v>
      </c>
      <c r="B86" s="4"/>
      <c r="C86" s="4"/>
      <c r="D86" s="4"/>
      <c r="E86" s="5">
        <f>15000</f>
        <v>15000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5">
        <f t="shared" si="10"/>
        <v>15000</v>
      </c>
    </row>
    <row r="87" spans="1:31" x14ac:dyDescent="0.25">
      <c r="A87" s="3" t="s">
        <v>111</v>
      </c>
      <c r="B87" s="4"/>
      <c r="C87" s="4"/>
      <c r="D87" s="5">
        <f>4497.91</f>
        <v>4497.91</v>
      </c>
      <c r="E87" s="5">
        <f>70348.16</f>
        <v>70348.160000000003</v>
      </c>
      <c r="F87" s="5">
        <f>4572.94</f>
        <v>4572.9399999999996</v>
      </c>
      <c r="G87" s="5">
        <f>7773.69</f>
        <v>7773.69</v>
      </c>
      <c r="H87" s="5">
        <f>3353.38</f>
        <v>3353.38</v>
      </c>
      <c r="I87" s="5">
        <f>3920.26</f>
        <v>3920.26</v>
      </c>
      <c r="J87" s="4"/>
      <c r="K87" s="5">
        <f>2494.79</f>
        <v>2494.79</v>
      </c>
      <c r="L87" s="5">
        <f>2746.78</f>
        <v>2746.78</v>
      </c>
      <c r="M87" s="5">
        <f>42397.03</f>
        <v>42397.03</v>
      </c>
      <c r="N87" s="5">
        <f>26493.09</f>
        <v>26493.09</v>
      </c>
      <c r="O87" s="5">
        <f>36110.13</f>
        <v>36110.129999999997</v>
      </c>
      <c r="P87" s="5">
        <f>23612.8</f>
        <v>23612.799999999999</v>
      </c>
      <c r="Q87" s="5">
        <f>22750.53</f>
        <v>22750.53</v>
      </c>
      <c r="R87" s="5">
        <f>3556.35</f>
        <v>3556.35</v>
      </c>
      <c r="S87" s="5">
        <f>5433.71</f>
        <v>5433.71</v>
      </c>
      <c r="T87" s="5">
        <f>15729.8</f>
        <v>15729.8</v>
      </c>
      <c r="U87" s="5">
        <f>28668.52</f>
        <v>28668.52</v>
      </c>
      <c r="V87" s="5">
        <f>20980.32</f>
        <v>20980.32</v>
      </c>
      <c r="W87" s="5">
        <f>1835.71</f>
        <v>1835.71</v>
      </c>
      <c r="X87" s="5">
        <f>49181.52</f>
        <v>49181.52</v>
      </c>
      <c r="Y87" s="5">
        <f>100.67</f>
        <v>100.67</v>
      </c>
      <c r="Z87" s="5">
        <f>407.53</f>
        <v>407.53</v>
      </c>
      <c r="AA87" s="5">
        <f>78717.68</f>
        <v>78717.679999999993</v>
      </c>
      <c r="AB87" s="5">
        <f>142892.78</f>
        <v>142892.78</v>
      </c>
      <c r="AC87" s="5">
        <f>3065.12</f>
        <v>3065.12</v>
      </c>
      <c r="AD87" s="4"/>
      <c r="AE87" s="5">
        <f t="shared" si="10"/>
        <v>601641.20000000007</v>
      </c>
    </row>
    <row r="88" spans="1:31" x14ac:dyDescent="0.25">
      <c r="A88" s="3" t="s">
        <v>112</v>
      </c>
      <c r="B88" s="6">
        <f t="shared" ref="B88:AD88" si="15">(((B84)+(B85))+(B86))+(B87)</f>
        <v>720</v>
      </c>
      <c r="C88" s="6">
        <f t="shared" si="15"/>
        <v>0</v>
      </c>
      <c r="D88" s="6">
        <f t="shared" si="15"/>
        <v>4497.91</v>
      </c>
      <c r="E88" s="6">
        <f t="shared" si="15"/>
        <v>85348.160000000003</v>
      </c>
      <c r="F88" s="6">
        <f t="shared" si="15"/>
        <v>4572.9399999999996</v>
      </c>
      <c r="G88" s="6">
        <f t="shared" si="15"/>
        <v>7773.69</v>
      </c>
      <c r="H88" s="6">
        <f t="shared" si="15"/>
        <v>3353.38</v>
      </c>
      <c r="I88" s="6">
        <f t="shared" si="15"/>
        <v>3920.26</v>
      </c>
      <c r="J88" s="6">
        <f t="shared" si="15"/>
        <v>0</v>
      </c>
      <c r="K88" s="6">
        <f t="shared" si="15"/>
        <v>2494.79</v>
      </c>
      <c r="L88" s="6">
        <f t="shared" si="15"/>
        <v>2746.78</v>
      </c>
      <c r="M88" s="6">
        <f t="shared" si="15"/>
        <v>42397.03</v>
      </c>
      <c r="N88" s="6">
        <f t="shared" si="15"/>
        <v>26493.09</v>
      </c>
      <c r="O88" s="6">
        <f t="shared" si="15"/>
        <v>36110.129999999997</v>
      </c>
      <c r="P88" s="6">
        <f t="shared" si="15"/>
        <v>23612.799999999999</v>
      </c>
      <c r="Q88" s="6">
        <f t="shared" si="15"/>
        <v>22750.53</v>
      </c>
      <c r="R88" s="6">
        <f t="shared" si="15"/>
        <v>3556.35</v>
      </c>
      <c r="S88" s="6">
        <f t="shared" si="15"/>
        <v>5433.71</v>
      </c>
      <c r="T88" s="6">
        <f t="shared" si="15"/>
        <v>18480.879999999997</v>
      </c>
      <c r="U88" s="6">
        <f t="shared" si="15"/>
        <v>29563.29</v>
      </c>
      <c r="V88" s="6">
        <f t="shared" si="15"/>
        <v>20980.32</v>
      </c>
      <c r="W88" s="6">
        <f t="shared" si="15"/>
        <v>1835.71</v>
      </c>
      <c r="X88" s="6">
        <f t="shared" si="15"/>
        <v>49181.52</v>
      </c>
      <c r="Y88" s="6">
        <f t="shared" si="15"/>
        <v>100.67</v>
      </c>
      <c r="Z88" s="6">
        <f t="shared" si="15"/>
        <v>407.53</v>
      </c>
      <c r="AA88" s="6">
        <f t="shared" si="15"/>
        <v>78717.679999999993</v>
      </c>
      <c r="AB88" s="6">
        <f t="shared" si="15"/>
        <v>143612.78</v>
      </c>
      <c r="AC88" s="6">
        <f t="shared" si="15"/>
        <v>3065.12</v>
      </c>
      <c r="AD88" s="6">
        <f t="shared" si="15"/>
        <v>0</v>
      </c>
      <c r="AE88" s="6">
        <f t="shared" si="10"/>
        <v>621727.05000000005</v>
      </c>
    </row>
    <row r="89" spans="1:31" x14ac:dyDescent="0.25">
      <c r="A89" s="3" t="s">
        <v>113</v>
      </c>
      <c r="B89" s="6">
        <f t="shared" ref="B89:AD89" si="16">((((((((B34)+(B47))+(B53))+(B54))+(B64))+(B68))+(B76))+(B83))+(B88)</f>
        <v>717843.71</v>
      </c>
      <c r="C89" s="6">
        <f t="shared" si="16"/>
        <v>0</v>
      </c>
      <c r="D89" s="6">
        <f t="shared" si="16"/>
        <v>59999.91</v>
      </c>
      <c r="E89" s="6">
        <f t="shared" si="16"/>
        <v>773829.70000000019</v>
      </c>
      <c r="F89" s="6">
        <f t="shared" si="16"/>
        <v>50730.61</v>
      </c>
      <c r="G89" s="6">
        <f t="shared" si="16"/>
        <v>85483.85</v>
      </c>
      <c r="H89" s="6">
        <f t="shared" si="16"/>
        <v>36887.109999999993</v>
      </c>
      <c r="I89" s="6">
        <f t="shared" si="16"/>
        <v>52923.520000000004</v>
      </c>
      <c r="J89" s="6">
        <f t="shared" si="16"/>
        <v>138193.39000000001</v>
      </c>
      <c r="K89" s="6">
        <f t="shared" si="16"/>
        <v>25801.739999999998</v>
      </c>
      <c r="L89" s="6">
        <f t="shared" si="16"/>
        <v>30214.6</v>
      </c>
      <c r="M89" s="6">
        <f t="shared" si="16"/>
        <v>466367.23</v>
      </c>
      <c r="N89" s="6">
        <f t="shared" si="16"/>
        <v>228730.38999999996</v>
      </c>
      <c r="O89" s="6">
        <f t="shared" si="16"/>
        <v>337027.82</v>
      </c>
      <c r="P89" s="6">
        <f t="shared" si="16"/>
        <v>220386.07</v>
      </c>
      <c r="Q89" s="6">
        <f t="shared" si="16"/>
        <v>250905.77</v>
      </c>
      <c r="R89" s="6">
        <f t="shared" si="16"/>
        <v>48010.749999999993</v>
      </c>
      <c r="S89" s="6">
        <f t="shared" si="16"/>
        <v>73458.740000000005</v>
      </c>
      <c r="T89" s="6">
        <f t="shared" si="16"/>
        <v>211660.85000000003</v>
      </c>
      <c r="U89" s="6">
        <f t="shared" si="16"/>
        <v>387024.89999999997</v>
      </c>
      <c r="V89" s="6">
        <f t="shared" si="16"/>
        <v>170839.73</v>
      </c>
      <c r="W89" s="6">
        <f t="shared" si="16"/>
        <v>15956.579999999998</v>
      </c>
      <c r="X89" s="6">
        <f t="shared" si="16"/>
        <v>540814.37</v>
      </c>
      <c r="Y89" s="6">
        <f t="shared" si="16"/>
        <v>5134.42</v>
      </c>
      <c r="Z89" s="6">
        <f t="shared" si="16"/>
        <v>4482.87</v>
      </c>
      <c r="AA89" s="6">
        <f t="shared" si="16"/>
        <v>637422.57000000007</v>
      </c>
      <c r="AB89" s="6">
        <f t="shared" si="16"/>
        <v>1163555.46</v>
      </c>
      <c r="AC89" s="6">
        <f t="shared" si="16"/>
        <v>39353.520000000004</v>
      </c>
      <c r="AD89" s="6">
        <f t="shared" si="16"/>
        <v>0</v>
      </c>
      <c r="AE89" s="6">
        <f t="shared" si="10"/>
        <v>6773040.1800000016</v>
      </c>
    </row>
    <row r="90" spans="1:31" x14ac:dyDescent="0.25">
      <c r="A90" s="3" t="s">
        <v>114</v>
      </c>
      <c r="B90" s="6">
        <f t="shared" ref="B90:AD90" si="17">(B29)-(B89)</f>
        <v>381527.57000000007</v>
      </c>
      <c r="C90" s="6">
        <f t="shared" si="17"/>
        <v>490.44</v>
      </c>
      <c r="D90" s="6">
        <f t="shared" si="17"/>
        <v>-0.14000000000669388</v>
      </c>
      <c r="E90" s="6">
        <f t="shared" si="17"/>
        <v>367102.51999999979</v>
      </c>
      <c r="F90" s="6">
        <f t="shared" si="17"/>
        <v>-7251</v>
      </c>
      <c r="G90" s="6">
        <f t="shared" si="17"/>
        <v>0</v>
      </c>
      <c r="H90" s="6">
        <f t="shared" si="17"/>
        <v>3186.7400000000052</v>
      </c>
      <c r="I90" s="6">
        <f t="shared" si="17"/>
        <v>-21169.400000000005</v>
      </c>
      <c r="J90" s="6">
        <f t="shared" si="17"/>
        <v>322261.56999999995</v>
      </c>
      <c r="K90" s="6">
        <f t="shared" si="17"/>
        <v>20387.53</v>
      </c>
      <c r="L90" s="6">
        <f t="shared" si="17"/>
        <v>38875.360000000008</v>
      </c>
      <c r="M90" s="6">
        <f t="shared" si="17"/>
        <v>0</v>
      </c>
      <c r="N90" s="6">
        <f t="shared" si="17"/>
        <v>0</v>
      </c>
      <c r="O90" s="6">
        <f t="shared" si="17"/>
        <v>0</v>
      </c>
      <c r="P90" s="6">
        <f t="shared" si="17"/>
        <v>0</v>
      </c>
      <c r="Q90" s="6">
        <f t="shared" si="17"/>
        <v>0</v>
      </c>
      <c r="R90" s="6">
        <f t="shared" si="17"/>
        <v>-19203.749999999993</v>
      </c>
      <c r="S90" s="6">
        <f t="shared" si="17"/>
        <v>9.9999999947613105E-3</v>
      </c>
      <c r="T90" s="6">
        <f t="shared" si="17"/>
        <v>0</v>
      </c>
      <c r="U90" s="6">
        <f t="shared" si="17"/>
        <v>0</v>
      </c>
      <c r="V90" s="6">
        <f t="shared" si="17"/>
        <v>0</v>
      </c>
      <c r="W90" s="6">
        <f t="shared" si="17"/>
        <v>-15956.579999999998</v>
      </c>
      <c r="X90" s="6">
        <f t="shared" si="17"/>
        <v>0</v>
      </c>
      <c r="Y90" s="6">
        <f t="shared" si="17"/>
        <v>0</v>
      </c>
      <c r="Z90" s="6">
        <f t="shared" si="17"/>
        <v>0</v>
      </c>
      <c r="AA90" s="6">
        <f t="shared" si="17"/>
        <v>0</v>
      </c>
      <c r="AB90" s="6">
        <f t="shared" si="17"/>
        <v>74.96999999997206</v>
      </c>
      <c r="AC90" s="6">
        <f t="shared" si="17"/>
        <v>49046.479999999996</v>
      </c>
      <c r="AD90" s="6">
        <f t="shared" si="17"/>
        <v>0</v>
      </c>
      <c r="AE90" s="6">
        <f t="shared" si="10"/>
        <v>1119372.3199999998</v>
      </c>
    </row>
    <row r="91" spans="1:31" x14ac:dyDescent="0.25">
      <c r="A91" s="3" t="s">
        <v>115</v>
      </c>
      <c r="B91" s="7">
        <f t="shared" ref="B91:AD91" si="18">(B90)+(0)</f>
        <v>381527.57000000007</v>
      </c>
      <c r="C91" s="7">
        <f t="shared" si="18"/>
        <v>490.44</v>
      </c>
      <c r="D91" s="7">
        <f t="shared" si="18"/>
        <v>-0.14000000000669388</v>
      </c>
      <c r="E91" s="7">
        <f t="shared" si="18"/>
        <v>367102.51999999979</v>
      </c>
      <c r="F91" s="7">
        <f t="shared" si="18"/>
        <v>-7251</v>
      </c>
      <c r="G91" s="7">
        <f t="shared" si="18"/>
        <v>0</v>
      </c>
      <c r="H91" s="7">
        <f t="shared" si="18"/>
        <v>3186.7400000000052</v>
      </c>
      <c r="I91" s="7">
        <f t="shared" si="18"/>
        <v>-21169.400000000005</v>
      </c>
      <c r="J91" s="7">
        <f t="shared" si="18"/>
        <v>322261.56999999995</v>
      </c>
      <c r="K91" s="7">
        <f t="shared" si="18"/>
        <v>20387.53</v>
      </c>
      <c r="L91" s="7">
        <f t="shared" si="18"/>
        <v>38875.360000000008</v>
      </c>
      <c r="M91" s="7">
        <f t="shared" si="18"/>
        <v>0</v>
      </c>
      <c r="N91" s="7">
        <f t="shared" si="18"/>
        <v>0</v>
      </c>
      <c r="O91" s="7">
        <f t="shared" si="18"/>
        <v>0</v>
      </c>
      <c r="P91" s="7">
        <f t="shared" si="18"/>
        <v>0</v>
      </c>
      <c r="Q91" s="7">
        <f t="shared" si="18"/>
        <v>0</v>
      </c>
      <c r="R91" s="7">
        <f t="shared" si="18"/>
        <v>-19203.749999999993</v>
      </c>
      <c r="S91" s="7">
        <f t="shared" si="18"/>
        <v>9.9999999947613105E-3</v>
      </c>
      <c r="T91" s="7">
        <f t="shared" si="18"/>
        <v>0</v>
      </c>
      <c r="U91" s="7">
        <f t="shared" si="18"/>
        <v>0</v>
      </c>
      <c r="V91" s="7">
        <f t="shared" si="18"/>
        <v>0</v>
      </c>
      <c r="W91" s="7">
        <f t="shared" si="18"/>
        <v>-15956.579999999998</v>
      </c>
      <c r="X91" s="7">
        <f t="shared" si="18"/>
        <v>0</v>
      </c>
      <c r="Y91" s="7">
        <f t="shared" si="18"/>
        <v>0</v>
      </c>
      <c r="Z91" s="7">
        <f t="shared" si="18"/>
        <v>0</v>
      </c>
      <c r="AA91" s="7">
        <f t="shared" si="18"/>
        <v>0</v>
      </c>
      <c r="AB91" s="7">
        <f t="shared" si="18"/>
        <v>74.96999999997206</v>
      </c>
      <c r="AC91" s="7">
        <f t="shared" si="18"/>
        <v>49046.479999999996</v>
      </c>
      <c r="AD91" s="7">
        <f t="shared" si="18"/>
        <v>0</v>
      </c>
      <c r="AE91" s="7">
        <f t="shared" si="10"/>
        <v>1119372.3199999998</v>
      </c>
    </row>
    <row r="92" spans="1:3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5" spans="1:31" x14ac:dyDescent="0.2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</sheetData>
  <sheetProtection algorithmName="SHA-512" hashValue="1tiiLDQhrHwBon2NTuo8RhKndPHBTrsD+izd4SpX+19G0X7AG0NOeVfIwVEtWcniQrC8z97ZESFnjg6GGSWDpg==" saltValue="Onn6jUTJYDnYTLmAd9GEiA==" spinCount="100000" sheet="1" objects="1" scenarios="1"/>
  <mergeCells count="4">
    <mergeCell ref="A95:AE95"/>
    <mergeCell ref="A1:AE1"/>
    <mergeCell ref="A2:AE2"/>
    <mergeCell ref="A3:AE3"/>
  </mergeCells>
  <pageMargins left="0.7" right="0.7" top="0.75" bottom="0.75" header="0.3" footer="0.3"/>
  <pageSetup paperSize="5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2024-12-04T19:26:16Z</cp:lastPrinted>
  <dcterms:created xsi:type="dcterms:W3CDTF">2024-12-04T19:25:39Z</dcterms:created>
  <dcterms:modified xsi:type="dcterms:W3CDTF">2024-12-04T19:28:08Z</dcterms:modified>
</cp:coreProperties>
</file>