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ie.perkins_nkces\Documents\Board Meetings\November 2024\"/>
    </mc:Choice>
  </mc:AlternateContent>
  <xr:revisionPtr revIDLastSave="0" documentId="13_ncr:1_{C930487A-1216-4BCE-8367-97CD85C1E4F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rofit and Loss by Class" sheetId="1" r:id="rId1"/>
  </sheets>
  <calcPr calcId="191029"/>
</workbook>
</file>

<file path=xl/calcChain.xml><?xml version="1.0" encoding="utf-8"?>
<calcChain xmlns="http://schemas.openxmlformats.org/spreadsheetml/2006/main">
  <c r="AC86" i="1" l="1"/>
  <c r="X86" i="1"/>
  <c r="W86" i="1"/>
  <c r="V86" i="1"/>
  <c r="P86" i="1"/>
  <c r="O86" i="1"/>
  <c r="N86" i="1"/>
  <c r="I86" i="1"/>
  <c r="H86" i="1"/>
  <c r="G86" i="1"/>
  <c r="F86" i="1"/>
  <c r="B86" i="1"/>
  <c r="AB85" i="1"/>
  <c r="AB86" i="1" s="1"/>
  <c r="AA85" i="1"/>
  <c r="Z85" i="1"/>
  <c r="Z86" i="1" s="1"/>
  <c r="Y85" i="1"/>
  <c r="Y86" i="1" s="1"/>
  <c r="X85" i="1"/>
  <c r="W85" i="1"/>
  <c r="V85" i="1"/>
  <c r="U85" i="1"/>
  <c r="U86" i="1" s="1"/>
  <c r="T85" i="1"/>
  <c r="S85" i="1"/>
  <c r="R85" i="1"/>
  <c r="R86" i="1" s="1"/>
  <c r="Q85" i="1"/>
  <c r="Q86" i="1" s="1"/>
  <c r="P85" i="1"/>
  <c r="O85" i="1"/>
  <c r="N85" i="1"/>
  <c r="M85" i="1"/>
  <c r="M86" i="1" s="1"/>
  <c r="L85" i="1"/>
  <c r="L86" i="1" s="1"/>
  <c r="K85" i="1"/>
  <c r="K86" i="1" s="1"/>
  <c r="J85" i="1"/>
  <c r="J86" i="1" s="1"/>
  <c r="H85" i="1"/>
  <c r="G85" i="1"/>
  <c r="F85" i="1"/>
  <c r="E85" i="1"/>
  <c r="E86" i="1" s="1"/>
  <c r="D85" i="1"/>
  <c r="D86" i="1" s="1"/>
  <c r="C85" i="1"/>
  <c r="C86" i="1" s="1"/>
  <c r="AA84" i="1"/>
  <c r="AD84" i="1" s="1"/>
  <c r="T84" i="1"/>
  <c r="T86" i="1" s="1"/>
  <c r="S84" i="1"/>
  <c r="S86" i="1" s="1"/>
  <c r="AD83" i="1"/>
  <c r="AC82" i="1"/>
  <c r="AB82" i="1"/>
  <c r="Z82" i="1"/>
  <c r="Y82" i="1"/>
  <c r="X82" i="1"/>
  <c r="V82" i="1"/>
  <c r="Q82" i="1"/>
  <c r="O82" i="1"/>
  <c r="N82" i="1"/>
  <c r="L82" i="1"/>
  <c r="K82" i="1"/>
  <c r="J82" i="1"/>
  <c r="H82" i="1"/>
  <c r="G82" i="1"/>
  <c r="F82" i="1"/>
  <c r="D82" i="1"/>
  <c r="C82" i="1"/>
  <c r="B82" i="1"/>
  <c r="B81" i="1"/>
  <c r="AD81" i="1" s="1"/>
  <c r="AA80" i="1"/>
  <c r="W80" i="1"/>
  <c r="T80" i="1"/>
  <c r="S80" i="1"/>
  <c r="R80" i="1"/>
  <c r="AD80" i="1" s="1"/>
  <c r="AA79" i="1"/>
  <c r="Z79" i="1"/>
  <c r="W79" i="1"/>
  <c r="U79" i="1"/>
  <c r="T79" i="1"/>
  <c r="S79" i="1"/>
  <c r="S82" i="1" s="1"/>
  <c r="P79" i="1"/>
  <c r="P82" i="1" s="1"/>
  <c r="M79" i="1"/>
  <c r="I79" i="1"/>
  <c r="E79" i="1"/>
  <c r="D79" i="1"/>
  <c r="C79" i="1"/>
  <c r="B79" i="1"/>
  <c r="AD79" i="1" s="1"/>
  <c r="AA78" i="1"/>
  <c r="AA82" i="1" s="1"/>
  <c r="Z78" i="1"/>
  <c r="W78" i="1"/>
  <c r="U78" i="1"/>
  <c r="U82" i="1" s="1"/>
  <c r="T78" i="1"/>
  <c r="S78" i="1"/>
  <c r="M78" i="1"/>
  <c r="M82" i="1" s="1"/>
  <c r="J78" i="1"/>
  <c r="I78" i="1"/>
  <c r="I82" i="1" s="1"/>
  <c r="E78" i="1"/>
  <c r="E82" i="1" s="1"/>
  <c r="B78" i="1"/>
  <c r="AB77" i="1"/>
  <c r="AA77" i="1"/>
  <c r="Z77" i="1"/>
  <c r="W77" i="1"/>
  <c r="W82" i="1" s="1"/>
  <c r="T77" i="1"/>
  <c r="T82" i="1" s="1"/>
  <c r="S77" i="1"/>
  <c r="R77" i="1"/>
  <c r="L77" i="1"/>
  <c r="AD77" i="1" s="1"/>
  <c r="C77" i="1"/>
  <c r="AD76" i="1"/>
  <c r="AC75" i="1"/>
  <c r="AB75" i="1"/>
  <c r="X75" i="1"/>
  <c r="V75" i="1"/>
  <c r="T75" i="1"/>
  <c r="Q75" i="1"/>
  <c r="P75" i="1"/>
  <c r="O75" i="1"/>
  <c r="N75" i="1"/>
  <c r="M75" i="1"/>
  <c r="L75" i="1"/>
  <c r="K75" i="1"/>
  <c r="H75" i="1"/>
  <c r="E75" i="1"/>
  <c r="AA74" i="1"/>
  <c r="Z74" i="1"/>
  <c r="Y74" i="1"/>
  <c r="Y75" i="1" s="1"/>
  <c r="W74" i="1"/>
  <c r="U74" i="1"/>
  <c r="T74" i="1"/>
  <c r="S74" i="1"/>
  <c r="R74" i="1"/>
  <c r="M74" i="1"/>
  <c r="J74" i="1"/>
  <c r="I74" i="1"/>
  <c r="I75" i="1" s="1"/>
  <c r="G74" i="1"/>
  <c r="F74" i="1"/>
  <c r="F75" i="1" s="1"/>
  <c r="E74" i="1"/>
  <c r="D74" i="1"/>
  <c r="C74" i="1"/>
  <c r="B74" i="1"/>
  <c r="AD74" i="1" s="1"/>
  <c r="J73" i="1"/>
  <c r="J75" i="1" s="1"/>
  <c r="G73" i="1"/>
  <c r="G75" i="1" s="1"/>
  <c r="D73" i="1"/>
  <c r="D75" i="1" s="1"/>
  <c r="C73" i="1"/>
  <c r="B73" i="1"/>
  <c r="AD73" i="1" s="1"/>
  <c r="AA72" i="1"/>
  <c r="Z72" i="1"/>
  <c r="W72" i="1"/>
  <c r="U72" i="1"/>
  <c r="S72" i="1"/>
  <c r="D72" i="1"/>
  <c r="C72" i="1"/>
  <c r="B72" i="1"/>
  <c r="AD72" i="1" s="1"/>
  <c r="AA71" i="1"/>
  <c r="Z71" i="1"/>
  <c r="Z75" i="1" s="1"/>
  <c r="W71" i="1"/>
  <c r="U71" i="1"/>
  <c r="U75" i="1" s="1"/>
  <c r="T71" i="1"/>
  <c r="S71" i="1"/>
  <c r="R71" i="1"/>
  <c r="R75" i="1" s="1"/>
  <c r="M71" i="1"/>
  <c r="D71" i="1"/>
  <c r="C71" i="1"/>
  <c r="C75" i="1" s="1"/>
  <c r="B71" i="1"/>
  <c r="AD71" i="1" s="1"/>
  <c r="AD70" i="1"/>
  <c r="AA70" i="1"/>
  <c r="AA75" i="1" s="1"/>
  <c r="W70" i="1"/>
  <c r="W75" i="1" s="1"/>
  <c r="S70" i="1"/>
  <c r="M70" i="1"/>
  <c r="D70" i="1"/>
  <c r="B70" i="1"/>
  <c r="S69" i="1"/>
  <c r="S75" i="1" s="1"/>
  <c r="D69" i="1"/>
  <c r="B69" i="1"/>
  <c r="B75" i="1" s="1"/>
  <c r="AD68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D67" i="1" s="1"/>
  <c r="D66" i="1"/>
  <c r="B66" i="1"/>
  <c r="AD66" i="1" s="1"/>
  <c r="D65" i="1"/>
  <c r="B65" i="1"/>
  <c r="AD65" i="1" s="1"/>
  <c r="AD64" i="1"/>
  <c r="AC63" i="1"/>
  <c r="AB63" i="1"/>
  <c r="Y63" i="1"/>
  <c r="X63" i="1"/>
  <c r="W63" i="1"/>
  <c r="V63" i="1"/>
  <c r="Q63" i="1"/>
  <c r="P63" i="1"/>
  <c r="O63" i="1"/>
  <c r="N63" i="1"/>
  <c r="L63" i="1"/>
  <c r="K63" i="1"/>
  <c r="J63" i="1"/>
  <c r="I63" i="1"/>
  <c r="H63" i="1"/>
  <c r="G63" i="1"/>
  <c r="F63" i="1"/>
  <c r="E63" i="1"/>
  <c r="B62" i="1"/>
  <c r="AD62" i="1" s="1"/>
  <c r="AA61" i="1"/>
  <c r="AA63" i="1" s="1"/>
  <c r="Z61" i="1"/>
  <c r="Z63" i="1" s="1"/>
  <c r="X61" i="1"/>
  <c r="W61" i="1"/>
  <c r="U61" i="1"/>
  <c r="U63" i="1" s="1"/>
  <c r="T61" i="1"/>
  <c r="S61" i="1"/>
  <c r="S63" i="1" s="1"/>
  <c r="R61" i="1"/>
  <c r="R63" i="1" s="1"/>
  <c r="M61" i="1"/>
  <c r="M63" i="1" s="1"/>
  <c r="G61" i="1"/>
  <c r="D61" i="1"/>
  <c r="C61" i="1"/>
  <c r="C63" i="1" s="1"/>
  <c r="B61" i="1"/>
  <c r="D60" i="1"/>
  <c r="B60" i="1"/>
  <c r="AD60" i="1" s="1"/>
  <c r="AD59" i="1"/>
  <c r="T59" i="1"/>
  <c r="T63" i="1" s="1"/>
  <c r="D58" i="1"/>
  <c r="AD58" i="1" s="1"/>
  <c r="B58" i="1"/>
  <c r="D57" i="1"/>
  <c r="B57" i="1"/>
  <c r="AD57" i="1" s="1"/>
  <c r="AD56" i="1"/>
  <c r="D56" i="1"/>
  <c r="B56" i="1"/>
  <c r="AD55" i="1"/>
  <c r="D55" i="1"/>
  <c r="D63" i="1" s="1"/>
  <c r="B55" i="1"/>
  <c r="B63" i="1" s="1"/>
  <c r="AD54" i="1"/>
  <c r="AA53" i="1"/>
  <c r="Z53" i="1"/>
  <c r="W53" i="1"/>
  <c r="U53" i="1"/>
  <c r="M53" i="1"/>
  <c r="I53" i="1"/>
  <c r="F53" i="1"/>
  <c r="E53" i="1"/>
  <c r="D53" i="1"/>
  <c r="AD53" i="1" s="1"/>
  <c r="C53" i="1"/>
  <c r="B53" i="1"/>
  <c r="AC52" i="1"/>
  <c r="AB52" i="1"/>
  <c r="AA52" i="1"/>
  <c r="Z52" i="1"/>
  <c r="Y52" i="1"/>
  <c r="X52" i="1"/>
  <c r="V52" i="1"/>
  <c r="Q52" i="1"/>
  <c r="P52" i="1"/>
  <c r="O52" i="1"/>
  <c r="N52" i="1"/>
  <c r="K52" i="1"/>
  <c r="J52" i="1"/>
  <c r="I52" i="1"/>
  <c r="H52" i="1"/>
  <c r="E52" i="1"/>
  <c r="C52" i="1"/>
  <c r="B52" i="1"/>
  <c r="AD51" i="1"/>
  <c r="AA51" i="1"/>
  <c r="Z51" i="1"/>
  <c r="W51" i="1"/>
  <c r="U51" i="1"/>
  <c r="U52" i="1" s="1"/>
  <c r="T51" i="1"/>
  <c r="T52" i="1" s="1"/>
  <c r="S51" i="1"/>
  <c r="R51" i="1"/>
  <c r="M51" i="1"/>
  <c r="M52" i="1" s="1"/>
  <c r="K51" i="1"/>
  <c r="G51" i="1"/>
  <c r="G52" i="1" s="1"/>
  <c r="F51" i="1"/>
  <c r="D51" i="1"/>
  <c r="C51" i="1"/>
  <c r="B51" i="1"/>
  <c r="D50" i="1"/>
  <c r="AD50" i="1" s="1"/>
  <c r="B50" i="1"/>
  <c r="B49" i="1"/>
  <c r="AD49" i="1" s="1"/>
  <c r="Z48" i="1"/>
  <c r="W48" i="1"/>
  <c r="W52" i="1" s="1"/>
  <c r="S48" i="1"/>
  <c r="S52" i="1" s="1"/>
  <c r="R48" i="1"/>
  <c r="R52" i="1" s="1"/>
  <c r="N48" i="1"/>
  <c r="L48" i="1"/>
  <c r="L52" i="1" s="1"/>
  <c r="F48" i="1"/>
  <c r="F52" i="1" s="1"/>
  <c r="D48" i="1"/>
  <c r="AD48" i="1" s="1"/>
  <c r="B48" i="1"/>
  <c r="AD47" i="1"/>
  <c r="AC46" i="1"/>
  <c r="Y46" i="1"/>
  <c r="V46" i="1"/>
  <c r="M46" i="1"/>
  <c r="I46" i="1"/>
  <c r="AB45" i="1"/>
  <c r="AA45" i="1"/>
  <c r="Z45" i="1"/>
  <c r="X45" i="1"/>
  <c r="W45" i="1"/>
  <c r="U45" i="1"/>
  <c r="T45" i="1"/>
  <c r="S45" i="1"/>
  <c r="P45" i="1"/>
  <c r="N45" i="1"/>
  <c r="M45" i="1"/>
  <c r="J45" i="1"/>
  <c r="AD45" i="1" s="1"/>
  <c r="F45" i="1"/>
  <c r="E45" i="1"/>
  <c r="C45" i="1"/>
  <c r="AA44" i="1"/>
  <c r="Z44" i="1"/>
  <c r="W44" i="1"/>
  <c r="U44" i="1"/>
  <c r="P44" i="1"/>
  <c r="O44" i="1"/>
  <c r="M44" i="1"/>
  <c r="L44" i="1"/>
  <c r="K44" i="1"/>
  <c r="H44" i="1"/>
  <c r="G44" i="1"/>
  <c r="G46" i="1" s="1"/>
  <c r="E44" i="1"/>
  <c r="AD44" i="1" s="1"/>
  <c r="D44" i="1"/>
  <c r="C44" i="1"/>
  <c r="B43" i="1"/>
  <c r="AD43" i="1" s="1"/>
  <c r="AA42" i="1"/>
  <c r="S42" i="1"/>
  <c r="N42" i="1"/>
  <c r="N46" i="1" s="1"/>
  <c r="D42" i="1"/>
  <c r="B42" i="1"/>
  <c r="AD42" i="1" s="1"/>
  <c r="AB41" i="1"/>
  <c r="AA41" i="1"/>
  <c r="Z41" i="1"/>
  <c r="X41" i="1"/>
  <c r="W41" i="1"/>
  <c r="U41" i="1"/>
  <c r="T41" i="1"/>
  <c r="S41" i="1"/>
  <c r="P41" i="1"/>
  <c r="N41" i="1"/>
  <c r="M41" i="1"/>
  <c r="J41" i="1"/>
  <c r="F41" i="1"/>
  <c r="E41" i="1"/>
  <c r="C41" i="1"/>
  <c r="AD41" i="1" s="1"/>
  <c r="AA40" i="1"/>
  <c r="Z40" i="1"/>
  <c r="W40" i="1"/>
  <c r="T40" i="1"/>
  <c r="S40" i="1"/>
  <c r="O40" i="1"/>
  <c r="N40" i="1"/>
  <c r="M40" i="1"/>
  <c r="L40" i="1"/>
  <c r="H40" i="1"/>
  <c r="D40" i="1"/>
  <c r="C40" i="1"/>
  <c r="B40" i="1"/>
  <c r="AD40" i="1" s="1"/>
  <c r="AC39" i="1"/>
  <c r="AB39" i="1"/>
  <c r="AA39" i="1"/>
  <c r="Z39" i="1"/>
  <c r="X39" i="1"/>
  <c r="W39" i="1"/>
  <c r="U39" i="1"/>
  <c r="T39" i="1"/>
  <c r="S39" i="1"/>
  <c r="R39" i="1"/>
  <c r="Q39" i="1"/>
  <c r="P39" i="1"/>
  <c r="M39" i="1"/>
  <c r="L39" i="1"/>
  <c r="K39" i="1"/>
  <c r="J39" i="1"/>
  <c r="G39" i="1"/>
  <c r="F39" i="1"/>
  <c r="E39" i="1"/>
  <c r="D39" i="1"/>
  <c r="C39" i="1"/>
  <c r="B39" i="1"/>
  <c r="AD39" i="1" s="1"/>
  <c r="AC38" i="1"/>
  <c r="AB38" i="1"/>
  <c r="AA38" i="1"/>
  <c r="Z38" i="1"/>
  <c r="X38" i="1"/>
  <c r="W38" i="1"/>
  <c r="U38" i="1"/>
  <c r="T38" i="1"/>
  <c r="S38" i="1"/>
  <c r="R38" i="1"/>
  <c r="R46" i="1" s="1"/>
  <c r="Q38" i="1"/>
  <c r="Q46" i="1" s="1"/>
  <c r="P38" i="1"/>
  <c r="O38" i="1"/>
  <c r="N38" i="1"/>
  <c r="M38" i="1"/>
  <c r="L38" i="1"/>
  <c r="K38" i="1"/>
  <c r="K46" i="1" s="1"/>
  <c r="J38" i="1"/>
  <c r="H38" i="1"/>
  <c r="G38" i="1"/>
  <c r="F38" i="1"/>
  <c r="E38" i="1"/>
  <c r="D38" i="1"/>
  <c r="C38" i="1"/>
  <c r="AD38" i="1" s="1"/>
  <c r="B38" i="1"/>
  <c r="AA37" i="1"/>
  <c r="Z37" i="1"/>
  <c r="W37" i="1"/>
  <c r="T37" i="1"/>
  <c r="S37" i="1"/>
  <c r="O37" i="1"/>
  <c r="O46" i="1" s="1"/>
  <c r="N37" i="1"/>
  <c r="M37" i="1"/>
  <c r="L37" i="1"/>
  <c r="L46" i="1" s="1"/>
  <c r="H37" i="1"/>
  <c r="H46" i="1" s="1"/>
  <c r="D37" i="1"/>
  <c r="D46" i="1" s="1"/>
  <c r="C37" i="1"/>
  <c r="B37" i="1"/>
  <c r="AD37" i="1" s="1"/>
  <c r="AD36" i="1"/>
  <c r="B36" i="1"/>
  <c r="B46" i="1" s="1"/>
  <c r="AB35" i="1"/>
  <c r="AB46" i="1" s="1"/>
  <c r="AA35" i="1"/>
  <c r="AA46" i="1" s="1"/>
  <c r="Z35" i="1"/>
  <c r="Z46" i="1" s="1"/>
  <c r="X35" i="1"/>
  <c r="X46" i="1" s="1"/>
  <c r="W35" i="1"/>
  <c r="W46" i="1" s="1"/>
  <c r="U35" i="1"/>
  <c r="U46" i="1" s="1"/>
  <c r="T35" i="1"/>
  <c r="T46" i="1" s="1"/>
  <c r="S35" i="1"/>
  <c r="S46" i="1" s="1"/>
  <c r="P35" i="1"/>
  <c r="P46" i="1" s="1"/>
  <c r="N35" i="1"/>
  <c r="M35" i="1"/>
  <c r="J35" i="1"/>
  <c r="J46" i="1" s="1"/>
  <c r="F35" i="1"/>
  <c r="F46" i="1" s="1"/>
  <c r="E35" i="1"/>
  <c r="E46" i="1" s="1"/>
  <c r="C35" i="1"/>
  <c r="C46" i="1" s="1"/>
  <c r="AD34" i="1"/>
  <c r="AA33" i="1"/>
  <c r="Z33" i="1"/>
  <c r="Z87" i="1" s="1"/>
  <c r="Y33" i="1"/>
  <c r="Y87" i="1" s="1"/>
  <c r="V33" i="1"/>
  <c r="V87" i="1" s="1"/>
  <c r="Q33" i="1"/>
  <c r="Q87" i="1" s="1"/>
  <c r="K33" i="1"/>
  <c r="K87" i="1" s="1"/>
  <c r="J33" i="1"/>
  <c r="J87" i="1" s="1"/>
  <c r="I33" i="1"/>
  <c r="I87" i="1" s="1"/>
  <c r="C33" i="1"/>
  <c r="B33" i="1"/>
  <c r="AD32" i="1"/>
  <c r="AA32" i="1"/>
  <c r="Z32" i="1"/>
  <c r="W32" i="1"/>
  <c r="T32" i="1"/>
  <c r="S32" i="1"/>
  <c r="O32" i="1"/>
  <c r="O33" i="1" s="1"/>
  <c r="O87" i="1" s="1"/>
  <c r="N32" i="1"/>
  <c r="N33" i="1" s="1"/>
  <c r="N87" i="1" s="1"/>
  <c r="M32" i="1"/>
  <c r="L32" i="1"/>
  <c r="H32" i="1"/>
  <c r="H33" i="1" s="1"/>
  <c r="H87" i="1" s="1"/>
  <c r="D32" i="1"/>
  <c r="C32" i="1"/>
  <c r="B32" i="1"/>
  <c r="AC31" i="1"/>
  <c r="AC33" i="1" s="1"/>
  <c r="AC87" i="1" s="1"/>
  <c r="AB31" i="1"/>
  <c r="AB33" i="1" s="1"/>
  <c r="AB87" i="1" s="1"/>
  <c r="AA31" i="1"/>
  <c r="Z31" i="1"/>
  <c r="X31" i="1"/>
  <c r="X33" i="1" s="1"/>
  <c r="X87" i="1" s="1"/>
  <c r="W31" i="1"/>
  <c r="W33" i="1" s="1"/>
  <c r="W87" i="1" s="1"/>
  <c r="U31" i="1"/>
  <c r="U33" i="1" s="1"/>
  <c r="T31" i="1"/>
  <c r="T33" i="1" s="1"/>
  <c r="S31" i="1"/>
  <c r="S33" i="1" s="1"/>
  <c r="S87" i="1" s="1"/>
  <c r="R31" i="1"/>
  <c r="R33" i="1" s="1"/>
  <c r="Q31" i="1"/>
  <c r="P31" i="1"/>
  <c r="P33" i="1" s="1"/>
  <c r="P87" i="1" s="1"/>
  <c r="M31" i="1"/>
  <c r="M33" i="1" s="1"/>
  <c r="M87" i="1" s="1"/>
  <c r="L31" i="1"/>
  <c r="L33" i="1" s="1"/>
  <c r="L87" i="1" s="1"/>
  <c r="K31" i="1"/>
  <c r="J31" i="1"/>
  <c r="G31" i="1"/>
  <c r="G33" i="1" s="1"/>
  <c r="G87" i="1" s="1"/>
  <c r="F31" i="1"/>
  <c r="AD31" i="1" s="1"/>
  <c r="E31" i="1"/>
  <c r="E33" i="1" s="1"/>
  <c r="D31" i="1"/>
  <c r="D33" i="1" s="1"/>
  <c r="C31" i="1"/>
  <c r="B31" i="1"/>
  <c r="AD30" i="1"/>
  <c r="AC26" i="1"/>
  <c r="AB26" i="1"/>
  <c r="X26" i="1"/>
  <c r="W26" i="1"/>
  <c r="V26" i="1"/>
  <c r="O26" i="1"/>
  <c r="N26" i="1"/>
  <c r="K26" i="1"/>
  <c r="J26" i="1"/>
  <c r="I26" i="1"/>
  <c r="H26" i="1"/>
  <c r="G26" i="1"/>
  <c r="F26" i="1"/>
  <c r="D26" i="1"/>
  <c r="B26" i="1"/>
  <c r="AA25" i="1"/>
  <c r="AA26" i="1" s="1"/>
  <c r="Z25" i="1"/>
  <c r="Z26" i="1" s="1"/>
  <c r="Y25" i="1"/>
  <c r="Y26" i="1" s="1"/>
  <c r="Y27" i="1" s="1"/>
  <c r="Y28" i="1" s="1"/>
  <c r="Y88" i="1" s="1"/>
  <c r="Y89" i="1" s="1"/>
  <c r="X25" i="1"/>
  <c r="W25" i="1"/>
  <c r="U25" i="1"/>
  <c r="U26" i="1" s="1"/>
  <c r="T25" i="1"/>
  <c r="T26" i="1" s="1"/>
  <c r="S25" i="1"/>
  <c r="S26" i="1" s="1"/>
  <c r="R25" i="1"/>
  <c r="R26" i="1" s="1"/>
  <c r="P25" i="1"/>
  <c r="P26" i="1" s="1"/>
  <c r="M25" i="1"/>
  <c r="M26" i="1" s="1"/>
  <c r="F25" i="1"/>
  <c r="E25" i="1"/>
  <c r="E26" i="1" s="1"/>
  <c r="C25" i="1"/>
  <c r="C26" i="1" s="1"/>
  <c r="Q24" i="1"/>
  <c r="Q26" i="1" s="1"/>
  <c r="Q27" i="1" s="1"/>
  <c r="Q28" i="1" s="1"/>
  <c r="Q88" i="1" s="1"/>
  <c r="Q89" i="1" s="1"/>
  <c r="O24" i="1"/>
  <c r="N24" i="1"/>
  <c r="L24" i="1"/>
  <c r="L26" i="1" s="1"/>
  <c r="AD23" i="1"/>
  <c r="B22" i="1"/>
  <c r="AD22" i="1" s="1"/>
  <c r="AC21" i="1"/>
  <c r="AB21" i="1"/>
  <c r="AA21" i="1"/>
  <c r="AA27" i="1" s="1"/>
  <c r="AA28" i="1" s="1"/>
  <c r="Z21" i="1"/>
  <c r="Z27" i="1" s="1"/>
  <c r="Z28" i="1" s="1"/>
  <c r="Z88" i="1" s="1"/>
  <c r="Z89" i="1" s="1"/>
  <c r="Y21" i="1"/>
  <c r="X21" i="1"/>
  <c r="W21" i="1"/>
  <c r="V21" i="1"/>
  <c r="U21" i="1"/>
  <c r="T21" i="1"/>
  <c r="S21" i="1"/>
  <c r="R21" i="1"/>
  <c r="R27" i="1" s="1"/>
  <c r="R28" i="1" s="1"/>
  <c r="Q21" i="1"/>
  <c r="P21" i="1"/>
  <c r="O21" i="1"/>
  <c r="N21" i="1"/>
  <c r="M21" i="1"/>
  <c r="L21" i="1"/>
  <c r="K21" i="1"/>
  <c r="K27" i="1" s="1"/>
  <c r="K28" i="1" s="1"/>
  <c r="J21" i="1"/>
  <c r="I21" i="1"/>
  <c r="H21" i="1"/>
  <c r="F21" i="1"/>
  <c r="E21" i="1"/>
  <c r="C21" i="1"/>
  <c r="B21" i="1"/>
  <c r="AD20" i="1"/>
  <c r="D20" i="1"/>
  <c r="K19" i="1"/>
  <c r="G19" i="1"/>
  <c r="G21" i="1" s="1"/>
  <c r="D19" i="1"/>
  <c r="AD19" i="1" s="1"/>
  <c r="AC18" i="1"/>
  <c r="AC27" i="1" s="1"/>
  <c r="AC28" i="1" s="1"/>
  <c r="AC88" i="1" s="1"/>
  <c r="AC89" i="1" s="1"/>
  <c r="AB18" i="1"/>
  <c r="AB27" i="1" s="1"/>
  <c r="AB28" i="1" s="1"/>
  <c r="AA18" i="1"/>
  <c r="Z18" i="1"/>
  <c r="Y18" i="1"/>
  <c r="X18" i="1"/>
  <c r="X27" i="1" s="1"/>
  <c r="X28" i="1" s="1"/>
  <c r="X88" i="1" s="1"/>
  <c r="X89" i="1" s="1"/>
  <c r="W18" i="1"/>
  <c r="W27" i="1" s="1"/>
  <c r="W28" i="1" s="1"/>
  <c r="V18" i="1"/>
  <c r="V27" i="1" s="1"/>
  <c r="V28" i="1" s="1"/>
  <c r="V88" i="1" s="1"/>
  <c r="V89" i="1" s="1"/>
  <c r="U18" i="1"/>
  <c r="U27" i="1" s="1"/>
  <c r="U28" i="1" s="1"/>
  <c r="T18" i="1"/>
  <c r="S18" i="1"/>
  <c r="R18" i="1"/>
  <c r="Q18" i="1"/>
  <c r="P18" i="1"/>
  <c r="P27" i="1" s="1"/>
  <c r="P28" i="1" s="1"/>
  <c r="P88" i="1" s="1"/>
  <c r="P89" i="1" s="1"/>
  <c r="O18" i="1"/>
  <c r="O27" i="1" s="1"/>
  <c r="O28" i="1" s="1"/>
  <c r="O88" i="1" s="1"/>
  <c r="O89" i="1" s="1"/>
  <c r="N18" i="1"/>
  <c r="N27" i="1" s="1"/>
  <c r="N28" i="1" s="1"/>
  <c r="N88" i="1" s="1"/>
  <c r="N89" i="1" s="1"/>
  <c r="M18" i="1"/>
  <c r="M27" i="1" s="1"/>
  <c r="M28" i="1" s="1"/>
  <c r="M88" i="1" s="1"/>
  <c r="M89" i="1" s="1"/>
  <c r="L18" i="1"/>
  <c r="K18" i="1"/>
  <c r="G18" i="1"/>
  <c r="G27" i="1" s="1"/>
  <c r="G28" i="1" s="1"/>
  <c r="G88" i="1" s="1"/>
  <c r="G89" i="1" s="1"/>
  <c r="F18" i="1"/>
  <c r="F27" i="1" s="1"/>
  <c r="F28" i="1" s="1"/>
  <c r="E18" i="1"/>
  <c r="E27" i="1" s="1"/>
  <c r="E28" i="1" s="1"/>
  <c r="C18" i="1"/>
  <c r="D17" i="1"/>
  <c r="AD17" i="1" s="1"/>
  <c r="B16" i="1"/>
  <c r="AD16" i="1" s="1"/>
  <c r="AD15" i="1"/>
  <c r="B15" i="1"/>
  <c r="AD14" i="1"/>
  <c r="B14" i="1"/>
  <c r="AD13" i="1"/>
  <c r="B13" i="1"/>
  <c r="I12" i="1"/>
  <c r="D12" i="1"/>
  <c r="D18" i="1" s="1"/>
  <c r="H11" i="1"/>
  <c r="AD11" i="1" s="1"/>
  <c r="J10" i="1"/>
  <c r="J18" i="1" s="1"/>
  <c r="J27" i="1" s="1"/>
  <c r="J28" i="1" s="1"/>
  <c r="J88" i="1" s="1"/>
  <c r="J89" i="1" s="1"/>
  <c r="I10" i="1"/>
  <c r="I18" i="1" s="1"/>
  <c r="I27" i="1" s="1"/>
  <c r="I28" i="1" s="1"/>
  <c r="I88" i="1" s="1"/>
  <c r="I89" i="1" s="1"/>
  <c r="B9" i="1"/>
  <c r="AD9" i="1" s="1"/>
  <c r="AD8" i="1"/>
  <c r="B8" i="1"/>
  <c r="B18" i="1" s="1"/>
  <c r="AD7" i="1"/>
  <c r="B27" i="1" l="1"/>
  <c r="W88" i="1"/>
  <c r="W89" i="1" s="1"/>
  <c r="T87" i="1"/>
  <c r="AD46" i="1"/>
  <c r="U87" i="1"/>
  <c r="U88" i="1" s="1"/>
  <c r="U89" i="1" s="1"/>
  <c r="K88" i="1"/>
  <c r="K89" i="1" s="1"/>
  <c r="S27" i="1"/>
  <c r="S28" i="1" s="1"/>
  <c r="S88" i="1" s="1"/>
  <c r="S89" i="1" s="1"/>
  <c r="AD26" i="1"/>
  <c r="D87" i="1"/>
  <c r="AD63" i="1"/>
  <c r="AD75" i="1"/>
  <c r="L27" i="1"/>
  <c r="L28" i="1" s="1"/>
  <c r="L88" i="1" s="1"/>
  <c r="L89" i="1" s="1"/>
  <c r="T27" i="1"/>
  <c r="T28" i="1" s="1"/>
  <c r="T88" i="1" s="1"/>
  <c r="T89" i="1" s="1"/>
  <c r="AB88" i="1"/>
  <c r="AB89" i="1" s="1"/>
  <c r="C27" i="1"/>
  <c r="C28" i="1" s="1"/>
  <c r="E87" i="1"/>
  <c r="E88" i="1" s="1"/>
  <c r="E89" i="1" s="1"/>
  <c r="AD52" i="1"/>
  <c r="C87" i="1"/>
  <c r="AA87" i="1"/>
  <c r="AA88" i="1" s="1"/>
  <c r="AA89" i="1" s="1"/>
  <c r="R82" i="1"/>
  <c r="AD82" i="1" s="1"/>
  <c r="H18" i="1"/>
  <c r="H27" i="1" s="1"/>
  <c r="H28" i="1" s="1"/>
  <c r="H88" i="1" s="1"/>
  <c r="H89" i="1" s="1"/>
  <c r="AD25" i="1"/>
  <c r="D52" i="1"/>
  <c r="AD85" i="1"/>
  <c r="AD78" i="1"/>
  <c r="B87" i="1"/>
  <c r="D21" i="1"/>
  <c r="D27" i="1" s="1"/>
  <c r="D28" i="1" s="1"/>
  <c r="D88" i="1" s="1"/>
  <c r="D89" i="1" s="1"/>
  <c r="AD24" i="1"/>
  <c r="AD10" i="1"/>
  <c r="F33" i="1"/>
  <c r="F87" i="1" s="1"/>
  <c r="F88" i="1" s="1"/>
  <c r="F89" i="1" s="1"/>
  <c r="AA86" i="1"/>
  <c r="AD86" i="1" s="1"/>
  <c r="AD69" i="1"/>
  <c r="AD12" i="1"/>
  <c r="AD35" i="1"/>
  <c r="AD61" i="1"/>
  <c r="C88" i="1" l="1"/>
  <c r="C89" i="1" s="1"/>
  <c r="AD33" i="1"/>
  <c r="R87" i="1"/>
  <c r="R88" i="1" s="1"/>
  <c r="R89" i="1" s="1"/>
  <c r="AD18" i="1"/>
  <c r="AD87" i="1"/>
  <c r="B28" i="1"/>
  <c r="AD27" i="1"/>
  <c r="AD21" i="1"/>
  <c r="B88" i="1" l="1"/>
  <c r="AD28" i="1"/>
  <c r="AD88" i="1" l="1"/>
  <c r="B89" i="1"/>
  <c r="AD89" i="1" s="1"/>
</calcChain>
</file>

<file path=xl/sharedStrings.xml><?xml version="1.0" encoding="utf-8"?>
<sst xmlns="http://schemas.openxmlformats.org/spreadsheetml/2006/main" count="116" uniqueCount="116">
  <si>
    <t>0010 - Operations</t>
  </si>
  <si>
    <t>0065 - CRRSA</t>
  </si>
  <si>
    <t>1100 - RSP</t>
  </si>
  <si>
    <t>1135 - DEI Grant</t>
  </si>
  <si>
    <t>1260- Positive Action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</si>
  <si>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</si>
  <si>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</si>
  <si>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</si>
  <si>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</si>
  <si>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</si>
  <si>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</si>
  <si>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2800 - Arts in Education</t>
  </si>
  <si>
    <t>2910 - DAIL</t>
  </si>
  <si>
    <t>2943 - DCBS</t>
  </si>
  <si>
    <t>3010 - FRYSC - Fed</t>
  </si>
  <si>
    <t>3220 - PERS Effectiveness Coach</t>
  </si>
  <si>
    <t>3299 - ARP</t>
  </si>
  <si>
    <t>336K - IDEA B 23-24</t>
  </si>
  <si>
    <t>336L - IDEA B 24-25</t>
  </si>
  <si>
    <t>3416- SPF</t>
  </si>
  <si>
    <t>3420 - Interact for Health</t>
  </si>
  <si>
    <t>3425 - Deeper Learning</t>
  </si>
  <si>
    <t>345K - Title III EL 23-24</t>
  </si>
  <si>
    <t>3601 - School Based Interventions</t>
  </si>
  <si>
    <t>3800 - Trauma Informed</t>
  </si>
  <si>
    <t>3925 - Mental Health</t>
  </si>
  <si>
    <t>3931 - RSP SBMH Counselor</t>
  </si>
  <si>
    <t>Not Specified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</si>
  <si>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</si>
  <si>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</si>
  <si>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</si>
  <si>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</si>
  <si>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</si>
  <si>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</si>
  <si>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</si>
  <si>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</si>
  <si>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</si>
  <si>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</si>
  <si>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31997 RENT</t>
  </si>
  <si>
    <t xml:space="preserve">      31999 MISC. REVENUES</t>
  </si>
  <si>
    <t xml:space="preserve">      33111 SEEK FUNDS/ADA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</si>
  <si>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</si>
  <si>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</si>
  <si>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</si>
  <si>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</si>
  <si>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</si>
  <si>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</si>
  <si>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</si>
  <si>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</si>
  <si>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</si>
  <si>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</si>
  <si>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</si>
  <si>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</si>
  <si>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</si>
  <si>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</si>
  <si>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</si>
  <si>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</si>
  <si>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</si>
  <si>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</si>
  <si>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</si>
  <si>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</si>
  <si>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</si>
  <si>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</si>
  <si>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</si>
  <si>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</si>
  <si>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</si>
  <si>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</si>
  <si>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</si>
  <si>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</si>
  <si>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</si>
  <si>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</si>
  <si>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</si>
  <si>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</si>
  <si>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</si>
  <si>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</si>
  <si>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</si>
  <si>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</si>
  <si>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</si>
  <si>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</si>
  <si>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</si>
  <si>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</si>
  <si>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</si>
  <si>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</si>
  <si>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</si>
  <si>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</si>
  <si>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</si>
  <si>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</si>
  <si>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</si>
  <si>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</si>
  <si>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</si>
  <si>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</si>
  <si>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</si>
  <si>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</si>
  <si>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</si>
  <si>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</si>
  <si>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40550 PRINTING</t>
  </si>
  <si>
    <t xml:space="preserve">      40605 FOOD</t>
  </si>
  <si>
    <t xml:space="preserve">      40610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</si>
  <si>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</si>
  <si>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</si>
  <si>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</si>
  <si>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</si>
  <si>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</si>
  <si>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</si>
  <si>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</si>
  <si>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</si>
  <si>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</si>
  <si>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</si>
  <si>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</si>
  <si>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</si>
  <si>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</si>
  <si>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</si>
  <si>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</si>
  <si>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</si>
  <si>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</si>
  <si>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- September,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</si>
</sst>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3"/>
  <sheetViews>
    <sheetView tabSelected="1" workbookViewId="0">
      <selection activeCell="AB8" sqref="AB8"/>
    </sheetView>
  </sheetViews>
  <sheetFormatPr defaultRowHeight="15" x14ac:dyDescent="0.25"/>
  <cols>
    <col min="1" max="1" width="37.85546875" customWidth="1"/>
    <col min="2" max="2" width="10.28515625" customWidth="1"/>
    <col min="3" max="3" width="9.42578125" customWidth="1"/>
    <col min="4" max="4" width="12" customWidth="1"/>
    <col min="5" max="5" width="10.28515625" customWidth="1"/>
    <col min="6" max="6" width="11.140625" customWidth="1"/>
    <col min="7" max="8" width="9.42578125" customWidth="1"/>
    <col min="9" max="9" width="11.140625" customWidth="1"/>
    <col min="10" max="11" width="9.42578125" customWidth="1"/>
    <col min="12" max="16" width="10.28515625" customWidth="1"/>
    <col min="17" max="18" width="9.42578125" customWidth="1"/>
    <col min="19" max="21" width="10.28515625" customWidth="1"/>
    <col min="22" max="22" width="7.7109375" customWidth="1"/>
    <col min="23" max="23" width="12" customWidth="1"/>
    <col min="24" max="25" width="8.5703125" customWidth="1"/>
    <col min="26" max="27" width="10.28515625" customWidth="1"/>
    <col min="28" max="28" width="11.140625" customWidth="1"/>
    <col min="29" max="29" width="7.7109375" hidden="1" customWidth="1"/>
    <col min="30" max="30" width="12" customWidth="1"/>
  </cols>
  <sheetData>
    <row r="1" spans="1:30" ht="18" x14ac:dyDescent="0.25">
      <c r="A1" s="10" t="s">
        <v>113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8" x14ac:dyDescent="0.25">
      <c r="A2" s="10" t="s">
        <v>114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0" x14ac:dyDescent="0.25">
      <c r="A3" s="11" t="s">
        <v>115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5" spans="1:30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  <c r="AC5" s="2" t="s">
        <v>27</v>
      </c>
      <c r="AD5" s="2" t="s">
        <v>28</v>
      </c>
    </row>
    <row r="6" spans="1:30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5">
      <c r="A7" s="3" t="s">
        <v>30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5">
        <f t="shared" ref="AD7:AD28" si="0">(((((((((((((((((((((((((((B7)+(C7))+(D7))+(E7))+(F7))+(G7))+(H7))+(I7))+(J7))+(K7))+(L7))+(M7))+(N7))+(O7))+(P7))+(Q7))+(R7))+(S7))+(T7))+(U7))+(V7))+(W7))+(X7))+(Y7))+(Z7))+(AA7))+(AB7))+(AC7)</f>
        <v>0</v>
      </c>
    </row>
    <row r="8" spans="1:30" x14ac:dyDescent="0.25">
      <c r="A8" s="3" t="s">
        <v>31</v>
      </c>
      <c r="B8" s="5">
        <f>283131.02</f>
        <v>283131.02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5">
        <f t="shared" si="0"/>
        <v>283131.02</v>
      </c>
    </row>
    <row r="9" spans="1:30" x14ac:dyDescent="0.25">
      <c r="A9" s="3" t="s">
        <v>32</v>
      </c>
      <c r="B9" s="5">
        <f>40627.53</f>
        <v>40627.53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5">
        <f t="shared" si="0"/>
        <v>40627.53</v>
      </c>
    </row>
    <row r="10" spans="1:30" x14ac:dyDescent="0.25">
      <c r="A10" s="3" t="s">
        <v>33</v>
      </c>
      <c r="B10" s="4"/>
      <c r="C10" s="4"/>
      <c r="D10" s="4"/>
      <c r="E10" s="4"/>
      <c r="F10" s="4"/>
      <c r="G10" s="4"/>
      <c r="H10" s="4"/>
      <c r="I10" s="5">
        <f>35233.26</f>
        <v>35233.26</v>
      </c>
      <c r="J10" s="5">
        <f>32806.67</f>
        <v>32806.67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5">
        <f t="shared" si="0"/>
        <v>68039.929999999993</v>
      </c>
    </row>
    <row r="11" spans="1:30" x14ac:dyDescent="0.25">
      <c r="A11" s="3" t="s">
        <v>34</v>
      </c>
      <c r="B11" s="4"/>
      <c r="C11" s="4"/>
      <c r="D11" s="4"/>
      <c r="E11" s="4"/>
      <c r="F11" s="4"/>
      <c r="G11" s="4"/>
      <c r="H11" s="5">
        <f>31754.12</f>
        <v>31754.12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5">
        <f t="shared" si="0"/>
        <v>31754.12</v>
      </c>
    </row>
    <row r="12" spans="1:30" x14ac:dyDescent="0.25">
      <c r="A12" s="3" t="s">
        <v>35</v>
      </c>
      <c r="B12" s="4"/>
      <c r="C12" s="4"/>
      <c r="D12" s="5">
        <f>190.48</f>
        <v>190.48</v>
      </c>
      <c r="E12" s="4"/>
      <c r="F12" s="4"/>
      <c r="G12" s="4"/>
      <c r="H12" s="4"/>
      <c r="I12" s="5">
        <f>1295.99</f>
        <v>1295.99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5">
        <f t="shared" si="0"/>
        <v>1486.47</v>
      </c>
    </row>
    <row r="13" spans="1:30" x14ac:dyDescent="0.25">
      <c r="A13" s="3" t="s">
        <v>36</v>
      </c>
      <c r="B13" s="5">
        <f>49917.36</f>
        <v>49917.36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5">
        <f t="shared" si="0"/>
        <v>49917.36</v>
      </c>
    </row>
    <row r="14" spans="1:30" x14ac:dyDescent="0.25">
      <c r="A14" s="3" t="s">
        <v>37</v>
      </c>
      <c r="B14" s="5">
        <f>352743.93</f>
        <v>352743.93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5">
        <f t="shared" si="0"/>
        <v>352743.93</v>
      </c>
    </row>
    <row r="15" spans="1:30" x14ac:dyDescent="0.25">
      <c r="A15" s="3" t="s">
        <v>38</v>
      </c>
      <c r="B15" s="5">
        <f>40000</f>
        <v>40000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5">
        <f t="shared" si="0"/>
        <v>40000</v>
      </c>
    </row>
    <row r="16" spans="1:30" x14ac:dyDescent="0.25">
      <c r="A16" s="3" t="s">
        <v>39</v>
      </c>
      <c r="B16" s="5">
        <f>0</f>
        <v>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5">
        <f t="shared" si="0"/>
        <v>0</v>
      </c>
    </row>
    <row r="17" spans="1:30" x14ac:dyDescent="0.25">
      <c r="A17" s="3" t="s">
        <v>40</v>
      </c>
      <c r="B17" s="4"/>
      <c r="C17" s="4"/>
      <c r="D17" s="5">
        <f>59552</f>
        <v>59552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5">
        <f t="shared" si="0"/>
        <v>59552</v>
      </c>
    </row>
    <row r="18" spans="1:30" x14ac:dyDescent="0.25">
      <c r="A18" s="3" t="s">
        <v>41</v>
      </c>
      <c r="B18" s="6">
        <f t="shared" ref="B18:AC18" si="1">((((((((((B7)+(B8))+(B9))+(B10))+(B11))+(B12))+(B13))+(B14))+(B15))+(B16))+(B17)</f>
        <v>766419.84000000008</v>
      </c>
      <c r="C18" s="6">
        <f t="shared" si="1"/>
        <v>0</v>
      </c>
      <c r="D18" s="6">
        <f t="shared" si="1"/>
        <v>59742.48</v>
      </c>
      <c r="E18" s="6">
        <f t="shared" si="1"/>
        <v>0</v>
      </c>
      <c r="F18" s="6">
        <f t="shared" si="1"/>
        <v>0</v>
      </c>
      <c r="G18" s="6">
        <f t="shared" si="1"/>
        <v>0</v>
      </c>
      <c r="H18" s="6">
        <f t="shared" si="1"/>
        <v>31754.12</v>
      </c>
      <c r="I18" s="6">
        <f t="shared" si="1"/>
        <v>36529.25</v>
      </c>
      <c r="J18" s="6">
        <f t="shared" si="1"/>
        <v>32806.67</v>
      </c>
      <c r="K18" s="6">
        <f t="shared" si="1"/>
        <v>0</v>
      </c>
      <c r="L18" s="6">
        <f t="shared" si="1"/>
        <v>0</v>
      </c>
      <c r="M18" s="6">
        <f t="shared" si="1"/>
        <v>0</v>
      </c>
      <c r="N18" s="6">
        <f t="shared" si="1"/>
        <v>0</v>
      </c>
      <c r="O18" s="6">
        <f t="shared" si="1"/>
        <v>0</v>
      </c>
      <c r="P18" s="6">
        <f t="shared" si="1"/>
        <v>0</v>
      </c>
      <c r="Q18" s="6">
        <f t="shared" si="1"/>
        <v>0</v>
      </c>
      <c r="R18" s="6">
        <f t="shared" si="1"/>
        <v>0</v>
      </c>
      <c r="S18" s="6">
        <f t="shared" si="1"/>
        <v>0</v>
      </c>
      <c r="T18" s="6">
        <f t="shared" si="1"/>
        <v>0</v>
      </c>
      <c r="U18" s="6">
        <f t="shared" si="1"/>
        <v>0</v>
      </c>
      <c r="V18" s="6">
        <f t="shared" si="1"/>
        <v>0</v>
      </c>
      <c r="W18" s="6">
        <f t="shared" si="1"/>
        <v>0</v>
      </c>
      <c r="X18" s="6">
        <f t="shared" si="1"/>
        <v>0</v>
      </c>
      <c r="Y18" s="6">
        <f t="shared" si="1"/>
        <v>0</v>
      </c>
      <c r="Z18" s="6">
        <f t="shared" si="1"/>
        <v>0</v>
      </c>
      <c r="AA18" s="6">
        <f t="shared" si="1"/>
        <v>0</v>
      </c>
      <c r="AB18" s="6">
        <f t="shared" si="1"/>
        <v>0</v>
      </c>
      <c r="AC18" s="6">
        <f t="shared" si="1"/>
        <v>0</v>
      </c>
      <c r="AD18" s="6">
        <f t="shared" si="0"/>
        <v>927252.3600000001</v>
      </c>
    </row>
    <row r="19" spans="1:30" x14ac:dyDescent="0.25">
      <c r="A19" s="3" t="s">
        <v>42</v>
      </c>
      <c r="B19" s="4"/>
      <c r="C19" s="4"/>
      <c r="D19" s="5">
        <f>1083030.3</f>
        <v>1083030.3</v>
      </c>
      <c r="E19" s="4"/>
      <c r="F19" s="4"/>
      <c r="G19" s="5">
        <f>16029.54</f>
        <v>16029.54</v>
      </c>
      <c r="H19" s="4"/>
      <c r="I19" s="4"/>
      <c r="J19" s="4"/>
      <c r="K19" s="5">
        <f>69089.96</f>
        <v>69089.960000000006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5">
        <f t="shared" si="0"/>
        <v>1168149.8</v>
      </c>
    </row>
    <row r="20" spans="1:30" x14ac:dyDescent="0.25">
      <c r="A20" s="3" t="s">
        <v>43</v>
      </c>
      <c r="B20" s="4"/>
      <c r="C20" s="4"/>
      <c r="D20" s="5">
        <f>24064.2</f>
        <v>24064.2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5">
        <f t="shared" si="0"/>
        <v>24064.2</v>
      </c>
    </row>
    <row r="21" spans="1:30" x14ac:dyDescent="0.25">
      <c r="A21" s="3" t="s">
        <v>44</v>
      </c>
      <c r="B21" s="6">
        <f t="shared" ref="B21:AC21" si="2">(B19)+(B20)</f>
        <v>0</v>
      </c>
      <c r="C21" s="6">
        <f t="shared" si="2"/>
        <v>0</v>
      </c>
      <c r="D21" s="6">
        <f t="shared" si="2"/>
        <v>1107094.5</v>
      </c>
      <c r="E21" s="6">
        <f t="shared" si="2"/>
        <v>0</v>
      </c>
      <c r="F21" s="6">
        <f t="shared" si="2"/>
        <v>0</v>
      </c>
      <c r="G21" s="6">
        <f t="shared" si="2"/>
        <v>16029.54</v>
      </c>
      <c r="H21" s="6">
        <f t="shared" si="2"/>
        <v>0</v>
      </c>
      <c r="I21" s="6">
        <f t="shared" si="2"/>
        <v>0</v>
      </c>
      <c r="J21" s="6">
        <f t="shared" si="2"/>
        <v>0</v>
      </c>
      <c r="K21" s="6">
        <f t="shared" si="2"/>
        <v>69089.960000000006</v>
      </c>
      <c r="L21" s="6">
        <f t="shared" si="2"/>
        <v>0</v>
      </c>
      <c r="M21" s="6">
        <f t="shared" si="2"/>
        <v>0</v>
      </c>
      <c r="N21" s="6">
        <f t="shared" si="2"/>
        <v>0</v>
      </c>
      <c r="O21" s="6">
        <f t="shared" si="2"/>
        <v>0</v>
      </c>
      <c r="P21" s="6">
        <f t="shared" si="2"/>
        <v>0</v>
      </c>
      <c r="Q21" s="6">
        <f t="shared" si="2"/>
        <v>0</v>
      </c>
      <c r="R21" s="6">
        <f t="shared" si="2"/>
        <v>0</v>
      </c>
      <c r="S21" s="6">
        <f t="shared" si="2"/>
        <v>0</v>
      </c>
      <c r="T21" s="6">
        <f t="shared" si="2"/>
        <v>0</v>
      </c>
      <c r="U21" s="6">
        <f t="shared" si="2"/>
        <v>0</v>
      </c>
      <c r="V21" s="6">
        <f t="shared" si="2"/>
        <v>0</v>
      </c>
      <c r="W21" s="6">
        <f t="shared" si="2"/>
        <v>0</v>
      </c>
      <c r="X21" s="6">
        <f t="shared" si="2"/>
        <v>0</v>
      </c>
      <c r="Y21" s="6">
        <f t="shared" si="2"/>
        <v>0</v>
      </c>
      <c r="Z21" s="6">
        <f t="shared" si="2"/>
        <v>0</v>
      </c>
      <c r="AA21" s="6">
        <f t="shared" si="2"/>
        <v>0</v>
      </c>
      <c r="AB21" s="6">
        <f t="shared" si="2"/>
        <v>0</v>
      </c>
      <c r="AC21" s="6">
        <f t="shared" si="2"/>
        <v>0</v>
      </c>
      <c r="AD21" s="6">
        <f t="shared" si="0"/>
        <v>1192214</v>
      </c>
    </row>
    <row r="22" spans="1:30" x14ac:dyDescent="0.25">
      <c r="A22" s="3" t="s">
        <v>45</v>
      </c>
      <c r="B22" s="5">
        <f>19466.14</f>
        <v>19466.14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5">
        <f t="shared" si="0"/>
        <v>19466.14</v>
      </c>
    </row>
    <row r="23" spans="1:30" x14ac:dyDescent="0.25">
      <c r="A23" s="3" t="s">
        <v>46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5">
        <f t="shared" si="0"/>
        <v>0</v>
      </c>
    </row>
    <row r="24" spans="1:30" x14ac:dyDescent="0.25">
      <c r="A24" s="3" t="s">
        <v>47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5">
        <f>282434.18</f>
        <v>282434.18</v>
      </c>
      <c r="M24" s="4"/>
      <c r="N24" s="5">
        <f>199031.8</f>
        <v>199031.8</v>
      </c>
      <c r="O24" s="5">
        <f>132231.67</f>
        <v>132231.67000000001</v>
      </c>
      <c r="P24" s="4"/>
      <c r="Q24" s="5">
        <f>28807</f>
        <v>28807</v>
      </c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5">
        <f t="shared" si="0"/>
        <v>642504.65</v>
      </c>
    </row>
    <row r="25" spans="1:30" x14ac:dyDescent="0.25">
      <c r="A25" s="3" t="s">
        <v>48</v>
      </c>
      <c r="B25" s="4"/>
      <c r="C25" s="5">
        <f>59999.77</f>
        <v>59999.77</v>
      </c>
      <c r="D25" s="4"/>
      <c r="E25" s="5">
        <f>43479.61</f>
        <v>43479.61</v>
      </c>
      <c r="F25" s="5">
        <f>18696.32</f>
        <v>18696.32</v>
      </c>
      <c r="G25" s="4"/>
      <c r="H25" s="4"/>
      <c r="I25" s="4"/>
      <c r="J25" s="4"/>
      <c r="K25" s="4"/>
      <c r="L25" s="4"/>
      <c r="M25" s="5">
        <f>162086.61</f>
        <v>162086.60999999999</v>
      </c>
      <c r="N25" s="4"/>
      <c r="O25" s="4"/>
      <c r="P25" s="5">
        <f>197720.68</f>
        <v>197720.68</v>
      </c>
      <c r="Q25" s="4"/>
      <c r="R25" s="5">
        <f>73458.75</f>
        <v>73458.75</v>
      </c>
      <c r="S25" s="5">
        <f>211660.85</f>
        <v>211660.85</v>
      </c>
      <c r="T25" s="5">
        <f>213068.02</f>
        <v>213068.02</v>
      </c>
      <c r="U25" s="5">
        <f>109343.97</f>
        <v>109343.97</v>
      </c>
      <c r="V25" s="4"/>
      <c r="W25" s="5">
        <f>-157210.23</f>
        <v>-157210.23000000001</v>
      </c>
      <c r="X25" s="5">
        <f>4341.18</f>
        <v>4341.18</v>
      </c>
      <c r="Y25" s="5">
        <f>4482.87</f>
        <v>4482.87</v>
      </c>
      <c r="Z25" s="5">
        <f>417519.14</f>
        <v>417519.14</v>
      </c>
      <c r="AA25" s="5">
        <f>298350.39</f>
        <v>298350.39</v>
      </c>
      <c r="AB25" s="4"/>
      <c r="AC25" s="4"/>
      <c r="AD25" s="5">
        <f t="shared" si="0"/>
        <v>1656997.9300000002</v>
      </c>
    </row>
    <row r="26" spans="1:30" x14ac:dyDescent="0.25">
      <c r="A26" s="3" t="s">
        <v>49</v>
      </c>
      <c r="B26" s="6">
        <f t="shared" ref="B26:AC26" si="3">((B23)+(B24))+(B25)</f>
        <v>0</v>
      </c>
      <c r="C26" s="6">
        <f t="shared" si="3"/>
        <v>59999.77</v>
      </c>
      <c r="D26" s="6">
        <f t="shared" si="3"/>
        <v>0</v>
      </c>
      <c r="E26" s="6">
        <f t="shared" si="3"/>
        <v>43479.61</v>
      </c>
      <c r="F26" s="6">
        <f t="shared" si="3"/>
        <v>18696.32</v>
      </c>
      <c r="G26" s="6">
        <f t="shared" si="3"/>
        <v>0</v>
      </c>
      <c r="H26" s="6">
        <f t="shared" si="3"/>
        <v>0</v>
      </c>
      <c r="I26" s="6">
        <f t="shared" si="3"/>
        <v>0</v>
      </c>
      <c r="J26" s="6">
        <f t="shared" si="3"/>
        <v>0</v>
      </c>
      <c r="K26" s="6">
        <f t="shared" si="3"/>
        <v>0</v>
      </c>
      <c r="L26" s="6">
        <f t="shared" si="3"/>
        <v>282434.18</v>
      </c>
      <c r="M26" s="6">
        <f t="shared" si="3"/>
        <v>162086.60999999999</v>
      </c>
      <c r="N26" s="6">
        <f t="shared" si="3"/>
        <v>199031.8</v>
      </c>
      <c r="O26" s="6">
        <f t="shared" si="3"/>
        <v>132231.67000000001</v>
      </c>
      <c r="P26" s="6">
        <f t="shared" si="3"/>
        <v>197720.68</v>
      </c>
      <c r="Q26" s="6">
        <f t="shared" si="3"/>
        <v>28807</v>
      </c>
      <c r="R26" s="6">
        <f t="shared" si="3"/>
        <v>73458.75</v>
      </c>
      <c r="S26" s="6">
        <f t="shared" si="3"/>
        <v>211660.85</v>
      </c>
      <c r="T26" s="6">
        <f t="shared" si="3"/>
        <v>213068.02</v>
      </c>
      <c r="U26" s="6">
        <f t="shared" si="3"/>
        <v>109343.97</v>
      </c>
      <c r="V26" s="6">
        <f t="shared" si="3"/>
        <v>0</v>
      </c>
      <c r="W26" s="6">
        <f t="shared" si="3"/>
        <v>-157210.23000000001</v>
      </c>
      <c r="X26" s="6">
        <f t="shared" si="3"/>
        <v>4341.18</v>
      </c>
      <c r="Y26" s="6">
        <f t="shared" si="3"/>
        <v>4482.87</v>
      </c>
      <c r="Z26" s="6">
        <f t="shared" si="3"/>
        <v>417519.14</v>
      </c>
      <c r="AA26" s="6">
        <f t="shared" si="3"/>
        <v>298350.39</v>
      </c>
      <c r="AB26" s="6">
        <f t="shared" si="3"/>
        <v>0</v>
      </c>
      <c r="AC26" s="6">
        <f t="shared" si="3"/>
        <v>0</v>
      </c>
      <c r="AD26" s="6">
        <f t="shared" si="0"/>
        <v>2299502.5800000005</v>
      </c>
    </row>
    <row r="27" spans="1:30" x14ac:dyDescent="0.25">
      <c r="A27" s="3" t="s">
        <v>50</v>
      </c>
      <c r="B27" s="6">
        <f t="shared" ref="B27:AC27" si="4">(((B18)+(B21))+(B22))+(B26)</f>
        <v>785885.9800000001</v>
      </c>
      <c r="C27" s="6">
        <f t="shared" si="4"/>
        <v>59999.77</v>
      </c>
      <c r="D27" s="6">
        <f t="shared" si="4"/>
        <v>1166836.98</v>
      </c>
      <c r="E27" s="6">
        <f t="shared" si="4"/>
        <v>43479.61</v>
      </c>
      <c r="F27" s="6">
        <f t="shared" si="4"/>
        <v>18696.32</v>
      </c>
      <c r="G27" s="6">
        <f t="shared" si="4"/>
        <v>16029.54</v>
      </c>
      <c r="H27" s="6">
        <f t="shared" si="4"/>
        <v>31754.12</v>
      </c>
      <c r="I27" s="6">
        <f t="shared" si="4"/>
        <v>36529.25</v>
      </c>
      <c r="J27" s="6">
        <f t="shared" si="4"/>
        <v>32806.67</v>
      </c>
      <c r="K27" s="6">
        <f t="shared" si="4"/>
        <v>69089.960000000006</v>
      </c>
      <c r="L27" s="6">
        <f t="shared" si="4"/>
        <v>282434.18</v>
      </c>
      <c r="M27" s="6">
        <f t="shared" si="4"/>
        <v>162086.60999999999</v>
      </c>
      <c r="N27" s="6">
        <f t="shared" si="4"/>
        <v>199031.8</v>
      </c>
      <c r="O27" s="6">
        <f t="shared" si="4"/>
        <v>132231.67000000001</v>
      </c>
      <c r="P27" s="6">
        <f t="shared" si="4"/>
        <v>197720.68</v>
      </c>
      <c r="Q27" s="6">
        <f t="shared" si="4"/>
        <v>28807</v>
      </c>
      <c r="R27" s="6">
        <f t="shared" si="4"/>
        <v>73458.75</v>
      </c>
      <c r="S27" s="6">
        <f t="shared" si="4"/>
        <v>211660.85</v>
      </c>
      <c r="T27" s="6">
        <f t="shared" si="4"/>
        <v>213068.02</v>
      </c>
      <c r="U27" s="6">
        <f t="shared" si="4"/>
        <v>109343.97</v>
      </c>
      <c r="V27" s="6">
        <f t="shared" si="4"/>
        <v>0</v>
      </c>
      <c r="W27" s="6">
        <f t="shared" si="4"/>
        <v>-157210.23000000001</v>
      </c>
      <c r="X27" s="6">
        <f t="shared" si="4"/>
        <v>4341.18</v>
      </c>
      <c r="Y27" s="6">
        <f t="shared" si="4"/>
        <v>4482.87</v>
      </c>
      <c r="Z27" s="6">
        <f t="shared" si="4"/>
        <v>417519.14</v>
      </c>
      <c r="AA27" s="6">
        <f t="shared" si="4"/>
        <v>298350.39</v>
      </c>
      <c r="AB27" s="6">
        <f t="shared" si="4"/>
        <v>0</v>
      </c>
      <c r="AC27" s="6">
        <f t="shared" si="4"/>
        <v>0</v>
      </c>
      <c r="AD27" s="6">
        <f t="shared" si="0"/>
        <v>4438435.080000001</v>
      </c>
    </row>
    <row r="28" spans="1:30" x14ac:dyDescent="0.25">
      <c r="A28" s="3" t="s">
        <v>51</v>
      </c>
      <c r="B28" s="6">
        <f t="shared" ref="B28:AC28" si="5">(B27)-(0)</f>
        <v>785885.9800000001</v>
      </c>
      <c r="C28" s="6">
        <f t="shared" si="5"/>
        <v>59999.77</v>
      </c>
      <c r="D28" s="6">
        <f t="shared" si="5"/>
        <v>1166836.98</v>
      </c>
      <c r="E28" s="6">
        <f t="shared" si="5"/>
        <v>43479.61</v>
      </c>
      <c r="F28" s="6">
        <f t="shared" si="5"/>
        <v>18696.32</v>
      </c>
      <c r="G28" s="6">
        <f t="shared" si="5"/>
        <v>16029.54</v>
      </c>
      <c r="H28" s="6">
        <f t="shared" si="5"/>
        <v>31754.12</v>
      </c>
      <c r="I28" s="6">
        <f t="shared" si="5"/>
        <v>36529.25</v>
      </c>
      <c r="J28" s="6">
        <f t="shared" si="5"/>
        <v>32806.67</v>
      </c>
      <c r="K28" s="6">
        <f t="shared" si="5"/>
        <v>69089.960000000006</v>
      </c>
      <c r="L28" s="6">
        <f t="shared" si="5"/>
        <v>282434.18</v>
      </c>
      <c r="M28" s="6">
        <f t="shared" si="5"/>
        <v>162086.60999999999</v>
      </c>
      <c r="N28" s="6">
        <f t="shared" si="5"/>
        <v>199031.8</v>
      </c>
      <c r="O28" s="6">
        <f t="shared" si="5"/>
        <v>132231.67000000001</v>
      </c>
      <c r="P28" s="6">
        <f t="shared" si="5"/>
        <v>197720.68</v>
      </c>
      <c r="Q28" s="6">
        <f t="shared" si="5"/>
        <v>28807</v>
      </c>
      <c r="R28" s="6">
        <f t="shared" si="5"/>
        <v>73458.75</v>
      </c>
      <c r="S28" s="6">
        <f t="shared" si="5"/>
        <v>211660.85</v>
      </c>
      <c r="T28" s="6">
        <f t="shared" si="5"/>
        <v>213068.02</v>
      </c>
      <c r="U28" s="6">
        <f t="shared" si="5"/>
        <v>109343.97</v>
      </c>
      <c r="V28" s="6">
        <f t="shared" si="5"/>
        <v>0</v>
      </c>
      <c r="W28" s="6">
        <f t="shared" si="5"/>
        <v>-157210.23000000001</v>
      </c>
      <c r="X28" s="6">
        <f t="shared" si="5"/>
        <v>4341.18</v>
      </c>
      <c r="Y28" s="6">
        <f t="shared" si="5"/>
        <v>4482.87</v>
      </c>
      <c r="Z28" s="6">
        <f t="shared" si="5"/>
        <v>417519.14</v>
      </c>
      <c r="AA28" s="6">
        <f t="shared" si="5"/>
        <v>298350.39</v>
      </c>
      <c r="AB28" s="6">
        <f t="shared" si="5"/>
        <v>0</v>
      </c>
      <c r="AC28" s="6">
        <f t="shared" si="5"/>
        <v>0</v>
      </c>
      <c r="AD28" s="6">
        <f t="shared" si="0"/>
        <v>4438435.080000001</v>
      </c>
    </row>
    <row r="29" spans="1:30" x14ac:dyDescent="0.25">
      <c r="A29" s="3" t="s">
        <v>52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x14ac:dyDescent="0.25">
      <c r="A30" s="3" t="s">
        <v>53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5">
        <f t="shared" ref="AD30:AD61" si="6">(((((((((((((((((((((((((((B30)+(C30))+(D30))+(E30))+(F30))+(G30))+(H30))+(I30))+(J30))+(K30))+(L30))+(M30))+(N30))+(O30))+(P30))+(Q30))+(R30))+(S30))+(T30))+(U30))+(V30))+(W30))+(X30))+(Y30))+(Z30))+(AA30))+(AB30))+(AC30)</f>
        <v>0</v>
      </c>
    </row>
    <row r="31" spans="1:30" x14ac:dyDescent="0.25">
      <c r="A31" s="3" t="s">
        <v>54</v>
      </c>
      <c r="B31" s="5">
        <f>31037.13</f>
        <v>31037.13</v>
      </c>
      <c r="C31" s="5">
        <f>22785.59</f>
        <v>22785.59</v>
      </c>
      <c r="D31" s="5">
        <f>215274.32</f>
        <v>215274.32</v>
      </c>
      <c r="E31" s="5">
        <f>17996.36</f>
        <v>17996.36</v>
      </c>
      <c r="F31" s="5">
        <f>31463.37</f>
        <v>31463.37</v>
      </c>
      <c r="G31" s="5">
        <f>13106.94</f>
        <v>13106.94</v>
      </c>
      <c r="H31" s="4"/>
      <c r="I31" s="4"/>
      <c r="J31" s="5">
        <f>-1971.79</f>
        <v>-1971.79</v>
      </c>
      <c r="K31" s="5">
        <f>15577.5</f>
        <v>15577.5</v>
      </c>
      <c r="L31" s="5">
        <f>223061.46</f>
        <v>223061.46</v>
      </c>
      <c r="M31" s="5">
        <f>22977.18</f>
        <v>22977.18</v>
      </c>
      <c r="N31" s="4"/>
      <c r="O31" s="4"/>
      <c r="P31" s="5">
        <f>25749.96</f>
        <v>25749.96</v>
      </c>
      <c r="Q31" s="5">
        <f>25547.22</f>
        <v>25547.22</v>
      </c>
      <c r="R31" s="5">
        <f>11656.86</f>
        <v>11656.86</v>
      </c>
      <c r="S31" s="5">
        <f>75370.92</f>
        <v>75370.92</v>
      </c>
      <c r="T31" s="5">
        <f>40713.37</f>
        <v>40713.370000000003</v>
      </c>
      <c r="U31" s="5">
        <f>43786.01</f>
        <v>43786.01</v>
      </c>
      <c r="V31" s="4"/>
      <c r="W31" s="5">
        <f>128141.2</f>
        <v>128141.2</v>
      </c>
      <c r="X31" s="5">
        <f>1456.32</f>
        <v>1456.32</v>
      </c>
      <c r="Y31" s="4"/>
      <c r="Z31" s="5">
        <f>78617.88</f>
        <v>78617.88</v>
      </c>
      <c r="AA31" s="5">
        <f>107971.51</f>
        <v>107971.51</v>
      </c>
      <c r="AB31" s="5">
        <f>14680.2</f>
        <v>14680.2</v>
      </c>
      <c r="AC31" s="5">
        <f>0</f>
        <v>0</v>
      </c>
      <c r="AD31" s="5">
        <f t="shared" si="6"/>
        <v>1144999.5099999998</v>
      </c>
    </row>
    <row r="32" spans="1:30" x14ac:dyDescent="0.25">
      <c r="A32" s="3" t="s">
        <v>55</v>
      </c>
      <c r="B32" s="5">
        <f>79931.2</f>
        <v>79931.199999999997</v>
      </c>
      <c r="C32" s="5">
        <f>9737.84</f>
        <v>9737.84</v>
      </c>
      <c r="D32" s="5">
        <f>64128.74</f>
        <v>64128.74</v>
      </c>
      <c r="E32" s="4"/>
      <c r="F32" s="4"/>
      <c r="G32" s="4"/>
      <c r="H32" s="5">
        <f>22783.08</f>
        <v>22783.08</v>
      </c>
      <c r="I32" s="4"/>
      <c r="J32" s="4"/>
      <c r="K32" s="4"/>
      <c r="L32" s="5">
        <f>11587.5</f>
        <v>11587.5</v>
      </c>
      <c r="M32" s="5">
        <f>14562.48</f>
        <v>14562.48</v>
      </c>
      <c r="N32" s="5">
        <f>131039.48</f>
        <v>131039.48</v>
      </c>
      <c r="O32" s="5">
        <f>91566.36</f>
        <v>91566.36</v>
      </c>
      <c r="P32" s="4"/>
      <c r="Q32" s="4"/>
      <c r="R32" s="4"/>
      <c r="S32" s="5">
        <f>11186.24</f>
        <v>11186.24</v>
      </c>
      <c r="T32" s="5">
        <f>5593.12</f>
        <v>5593.12</v>
      </c>
      <c r="U32" s="4"/>
      <c r="V32" s="4"/>
      <c r="W32" s="5">
        <f>11298.75</f>
        <v>11298.75</v>
      </c>
      <c r="X32" s="4"/>
      <c r="Y32" s="4"/>
      <c r="Z32" s="5">
        <f>4868.92</f>
        <v>4868.92</v>
      </c>
      <c r="AA32" s="5">
        <f>9806.57</f>
        <v>9806.57</v>
      </c>
      <c r="AB32" s="4"/>
      <c r="AC32" s="4"/>
      <c r="AD32" s="5">
        <f t="shared" si="6"/>
        <v>468090.27999999997</v>
      </c>
    </row>
    <row r="33" spans="1:30" x14ac:dyDescent="0.25">
      <c r="A33" s="3" t="s">
        <v>56</v>
      </c>
      <c r="B33" s="6">
        <f t="shared" ref="B33:AC33" si="7">((B30)+(B31))+(B32)</f>
        <v>110968.33</v>
      </c>
      <c r="C33" s="6">
        <f t="shared" si="7"/>
        <v>32523.43</v>
      </c>
      <c r="D33" s="6">
        <f t="shared" si="7"/>
        <v>279403.06</v>
      </c>
      <c r="E33" s="6">
        <f t="shared" si="7"/>
        <v>17996.36</v>
      </c>
      <c r="F33" s="6">
        <f t="shared" si="7"/>
        <v>31463.37</v>
      </c>
      <c r="G33" s="6">
        <f t="shared" si="7"/>
        <v>13106.94</v>
      </c>
      <c r="H33" s="6">
        <f t="shared" si="7"/>
        <v>22783.08</v>
      </c>
      <c r="I33" s="6">
        <f t="shared" si="7"/>
        <v>0</v>
      </c>
      <c r="J33" s="6">
        <f t="shared" si="7"/>
        <v>-1971.79</v>
      </c>
      <c r="K33" s="6">
        <f t="shared" si="7"/>
        <v>15577.5</v>
      </c>
      <c r="L33" s="6">
        <f t="shared" si="7"/>
        <v>234648.95999999999</v>
      </c>
      <c r="M33" s="6">
        <f t="shared" si="7"/>
        <v>37539.660000000003</v>
      </c>
      <c r="N33" s="6">
        <f t="shared" si="7"/>
        <v>131039.48</v>
      </c>
      <c r="O33" s="6">
        <f t="shared" si="7"/>
        <v>91566.36</v>
      </c>
      <c r="P33" s="6">
        <f t="shared" si="7"/>
        <v>25749.96</v>
      </c>
      <c r="Q33" s="6">
        <f t="shared" si="7"/>
        <v>25547.22</v>
      </c>
      <c r="R33" s="6">
        <f t="shared" si="7"/>
        <v>11656.86</v>
      </c>
      <c r="S33" s="6">
        <f t="shared" si="7"/>
        <v>86557.16</v>
      </c>
      <c r="T33" s="6">
        <f t="shared" si="7"/>
        <v>46306.490000000005</v>
      </c>
      <c r="U33" s="6">
        <f t="shared" si="7"/>
        <v>43786.01</v>
      </c>
      <c r="V33" s="6">
        <f t="shared" si="7"/>
        <v>0</v>
      </c>
      <c r="W33" s="6">
        <f t="shared" si="7"/>
        <v>139439.95000000001</v>
      </c>
      <c r="X33" s="6">
        <f t="shared" si="7"/>
        <v>1456.32</v>
      </c>
      <c r="Y33" s="6">
        <f t="shared" si="7"/>
        <v>0</v>
      </c>
      <c r="Z33" s="6">
        <f t="shared" si="7"/>
        <v>83486.8</v>
      </c>
      <c r="AA33" s="6">
        <f t="shared" si="7"/>
        <v>117778.07999999999</v>
      </c>
      <c r="AB33" s="6">
        <f t="shared" si="7"/>
        <v>14680.2</v>
      </c>
      <c r="AC33" s="6">
        <f t="shared" si="7"/>
        <v>0</v>
      </c>
      <c r="AD33" s="6">
        <f t="shared" si="6"/>
        <v>1613089.79</v>
      </c>
    </row>
    <row r="34" spans="1:30" x14ac:dyDescent="0.25">
      <c r="A34" s="3" t="s">
        <v>57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5">
        <f t="shared" si="6"/>
        <v>0</v>
      </c>
    </row>
    <row r="35" spans="1:30" x14ac:dyDescent="0.25">
      <c r="A35" s="3" t="s">
        <v>58</v>
      </c>
      <c r="B35" s="4"/>
      <c r="C35" s="5">
        <f>4.95</f>
        <v>4.95</v>
      </c>
      <c r="D35" s="4"/>
      <c r="E35" s="5">
        <f>2.09</f>
        <v>2.09</v>
      </c>
      <c r="F35" s="5">
        <f>3.84</f>
        <v>3.84</v>
      </c>
      <c r="G35" s="4"/>
      <c r="H35" s="4"/>
      <c r="I35" s="4"/>
      <c r="J35" s="5">
        <f>-0.27</f>
        <v>-0.27</v>
      </c>
      <c r="K35" s="4"/>
      <c r="L35" s="4"/>
      <c r="M35" s="5">
        <f>6.24</f>
        <v>6.24</v>
      </c>
      <c r="N35" s="5">
        <f>12.48</f>
        <v>12.48</v>
      </c>
      <c r="O35" s="4"/>
      <c r="P35" s="5">
        <f>3.75</f>
        <v>3.75</v>
      </c>
      <c r="Q35" s="4"/>
      <c r="R35" s="4"/>
      <c r="S35" s="5">
        <f>11.32</f>
        <v>11.32</v>
      </c>
      <c r="T35" s="5">
        <f>6.42</f>
        <v>6.42</v>
      </c>
      <c r="U35" s="5">
        <f>5.59</f>
        <v>5.59</v>
      </c>
      <c r="V35" s="4"/>
      <c r="W35" s="5">
        <f>14.13</f>
        <v>14.13</v>
      </c>
      <c r="X35" s="5">
        <f>0.3</f>
        <v>0.3</v>
      </c>
      <c r="Y35" s="4"/>
      <c r="Z35" s="5">
        <f>11.24</f>
        <v>11.24</v>
      </c>
      <c r="AA35" s="5">
        <f>18.52</f>
        <v>18.52</v>
      </c>
      <c r="AB35" s="5">
        <f>1</f>
        <v>1</v>
      </c>
      <c r="AC35" s="4"/>
      <c r="AD35" s="5">
        <f t="shared" si="6"/>
        <v>101.59999999999998</v>
      </c>
    </row>
    <row r="36" spans="1:30" x14ac:dyDescent="0.25">
      <c r="A36" s="3" t="s">
        <v>59</v>
      </c>
      <c r="B36" s="5">
        <f>820</f>
        <v>820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5">
        <f t="shared" si="6"/>
        <v>820</v>
      </c>
    </row>
    <row r="37" spans="1:30" x14ac:dyDescent="0.25">
      <c r="A37" s="3" t="s">
        <v>60</v>
      </c>
      <c r="B37" s="5">
        <f>4752.39</f>
        <v>4752.3900000000003</v>
      </c>
      <c r="C37" s="5">
        <f>515.13</f>
        <v>515.13</v>
      </c>
      <c r="D37" s="5">
        <f>3806.94</f>
        <v>3806.94</v>
      </c>
      <c r="E37" s="4"/>
      <c r="F37" s="4"/>
      <c r="G37" s="4"/>
      <c r="H37" s="5">
        <f>1355.64</f>
        <v>1355.64</v>
      </c>
      <c r="I37" s="4"/>
      <c r="J37" s="4"/>
      <c r="K37" s="4"/>
      <c r="L37" s="5">
        <f>686.64</f>
        <v>686.64</v>
      </c>
      <c r="M37" s="5">
        <f>871.25</f>
        <v>871.25</v>
      </c>
      <c r="N37" s="5">
        <f>7930.01</f>
        <v>7930.01</v>
      </c>
      <c r="O37" s="5">
        <f>5364.11</f>
        <v>5364.11</v>
      </c>
      <c r="P37" s="4"/>
      <c r="Q37" s="4"/>
      <c r="R37" s="4"/>
      <c r="S37" s="5">
        <f>679.25</f>
        <v>679.25</v>
      </c>
      <c r="T37" s="5">
        <f>339.63</f>
        <v>339.63</v>
      </c>
      <c r="U37" s="4"/>
      <c r="V37" s="4"/>
      <c r="W37" s="5">
        <f>657.55</f>
        <v>657.55</v>
      </c>
      <c r="X37" s="4"/>
      <c r="Y37" s="4"/>
      <c r="Z37" s="5">
        <f>257.57</f>
        <v>257.57</v>
      </c>
      <c r="AA37" s="5">
        <f>596.22</f>
        <v>596.22</v>
      </c>
      <c r="AB37" s="4"/>
      <c r="AC37" s="4"/>
      <c r="AD37" s="5">
        <f t="shared" si="6"/>
        <v>27812.33</v>
      </c>
    </row>
    <row r="38" spans="1:30" x14ac:dyDescent="0.25">
      <c r="A38" s="3" t="s">
        <v>61</v>
      </c>
      <c r="B38" s="5">
        <f>1547.92</f>
        <v>1547.92</v>
      </c>
      <c r="C38" s="5">
        <f>435.26</f>
        <v>435.26</v>
      </c>
      <c r="D38" s="5">
        <f>3875.8</f>
        <v>3875.8</v>
      </c>
      <c r="E38" s="5">
        <f>260.05</f>
        <v>260.05</v>
      </c>
      <c r="F38" s="5">
        <f>364.5</f>
        <v>364.5</v>
      </c>
      <c r="G38" s="5">
        <f>168.86</f>
        <v>168.86</v>
      </c>
      <c r="H38" s="5">
        <f>317.04</f>
        <v>317.04000000000002</v>
      </c>
      <c r="I38" s="4"/>
      <c r="J38" s="5">
        <f>-26.87</f>
        <v>-26.87</v>
      </c>
      <c r="K38" s="5">
        <f>222.36</f>
        <v>222.36</v>
      </c>
      <c r="L38" s="5">
        <f>3268.92</f>
        <v>3268.92</v>
      </c>
      <c r="M38" s="5">
        <f>513.54</f>
        <v>513.54</v>
      </c>
      <c r="N38" s="5">
        <f>1854.63</f>
        <v>1854.63</v>
      </c>
      <c r="O38" s="5">
        <f>1254.52</f>
        <v>1254.52</v>
      </c>
      <c r="P38" s="5">
        <f>362.1</f>
        <v>362.1</v>
      </c>
      <c r="Q38" s="5">
        <f>358.98</f>
        <v>358.98</v>
      </c>
      <c r="R38" s="5">
        <f>169.02</f>
        <v>169.02</v>
      </c>
      <c r="S38" s="5">
        <f>1205.38</f>
        <v>1205.3800000000001</v>
      </c>
      <c r="T38" s="5">
        <f>643.59</f>
        <v>643.59</v>
      </c>
      <c r="U38" s="5">
        <f>605.35</f>
        <v>605.35</v>
      </c>
      <c r="V38" s="4"/>
      <c r="W38" s="5">
        <f>1961.83</f>
        <v>1961.83</v>
      </c>
      <c r="X38" s="5">
        <f>18.76</f>
        <v>18.760000000000002</v>
      </c>
      <c r="Y38" s="4"/>
      <c r="Z38" s="5">
        <f>1151.41</f>
        <v>1151.4100000000001</v>
      </c>
      <c r="AA38" s="5">
        <f>1654.48</f>
        <v>1654.48</v>
      </c>
      <c r="AB38" s="5">
        <f>211.38</f>
        <v>211.38</v>
      </c>
      <c r="AC38" s="5">
        <f>0</f>
        <v>0</v>
      </c>
      <c r="AD38" s="5">
        <f t="shared" si="6"/>
        <v>22398.809999999998</v>
      </c>
    </row>
    <row r="39" spans="1:30" x14ac:dyDescent="0.25">
      <c r="A39" s="3" t="s">
        <v>62</v>
      </c>
      <c r="B39" s="5">
        <f>1794.68</f>
        <v>1794.68</v>
      </c>
      <c r="C39" s="5">
        <f>3705.93</f>
        <v>3705.93</v>
      </c>
      <c r="D39" s="5">
        <f>6833.04</f>
        <v>6833.04</v>
      </c>
      <c r="E39" s="5">
        <f>3033.26</f>
        <v>3033.26</v>
      </c>
      <c r="F39" s="5">
        <f>4247.94</f>
        <v>4247.9399999999996</v>
      </c>
      <c r="G39" s="5">
        <f>567.8</f>
        <v>567.79999999999995</v>
      </c>
      <c r="H39" s="4"/>
      <c r="I39" s="4"/>
      <c r="J39" s="5">
        <f>-317.56</f>
        <v>-317.56</v>
      </c>
      <c r="K39" s="5">
        <f>467.34</f>
        <v>467.34</v>
      </c>
      <c r="L39" s="5">
        <f>6859.49</f>
        <v>6859.49</v>
      </c>
      <c r="M39" s="5">
        <f>3633.84</f>
        <v>3633.84</v>
      </c>
      <c r="N39" s="4"/>
      <c r="O39" s="4"/>
      <c r="P39" s="5">
        <f>3472.14</f>
        <v>3472.14</v>
      </c>
      <c r="Q39" s="5">
        <f>766.44</f>
        <v>766.44</v>
      </c>
      <c r="R39" s="5">
        <f>1602.84</f>
        <v>1602.84</v>
      </c>
      <c r="S39" s="5">
        <f>12138.48</f>
        <v>12138.48</v>
      </c>
      <c r="T39" s="5">
        <f>6556.89</f>
        <v>6556.89</v>
      </c>
      <c r="U39" s="5">
        <f>6855.37</f>
        <v>6855.37</v>
      </c>
      <c r="V39" s="4"/>
      <c r="W39" s="5">
        <f>20598.04</f>
        <v>20598.04</v>
      </c>
      <c r="X39" s="5">
        <f>74.52</f>
        <v>74.52</v>
      </c>
      <c r="Y39" s="4"/>
      <c r="Z39" s="5">
        <f>12821.85</f>
        <v>12821.85</v>
      </c>
      <c r="AA39" s="5">
        <f>17698.83</f>
        <v>17698.830000000002</v>
      </c>
      <c r="AB39" s="5">
        <f>2018.52</f>
        <v>2018.52</v>
      </c>
      <c r="AC39" s="5">
        <f>0</f>
        <v>0</v>
      </c>
      <c r="AD39" s="5">
        <f t="shared" si="6"/>
        <v>115429.68000000002</v>
      </c>
    </row>
    <row r="40" spans="1:30" x14ac:dyDescent="0.25">
      <c r="A40" s="3" t="s">
        <v>63</v>
      </c>
      <c r="B40" s="5">
        <f>15755.51</f>
        <v>15755.51</v>
      </c>
      <c r="C40" s="5">
        <f>1919.32</f>
        <v>1919.32</v>
      </c>
      <c r="D40" s="5">
        <f>12639.81</f>
        <v>12639.81</v>
      </c>
      <c r="E40" s="4"/>
      <c r="F40" s="4"/>
      <c r="G40" s="4"/>
      <c r="H40" s="5">
        <f>4490.53</f>
        <v>4490.53</v>
      </c>
      <c r="I40" s="4"/>
      <c r="J40" s="4"/>
      <c r="K40" s="4"/>
      <c r="L40" s="5">
        <f>2283.9</f>
        <v>2283.9</v>
      </c>
      <c r="M40" s="5">
        <f>2870.27</f>
        <v>2870.27</v>
      </c>
      <c r="N40" s="5">
        <f>24067.45</f>
        <v>24067.45</v>
      </c>
      <c r="O40" s="5">
        <f>18047.68</f>
        <v>18047.68</v>
      </c>
      <c r="P40" s="4"/>
      <c r="Q40" s="4"/>
      <c r="R40" s="4"/>
      <c r="S40" s="5">
        <f>1443.72</f>
        <v>1443.72</v>
      </c>
      <c r="T40" s="5">
        <f>721.86</f>
        <v>721.86</v>
      </c>
      <c r="U40" s="4"/>
      <c r="V40" s="4"/>
      <c r="W40" s="5">
        <f>2226.99</f>
        <v>2226.9899999999998</v>
      </c>
      <c r="X40" s="4"/>
      <c r="Y40" s="4"/>
      <c r="Z40" s="5">
        <f>959.66</f>
        <v>959.66</v>
      </c>
      <c r="AA40" s="5">
        <f>1931.85</f>
        <v>1931.85</v>
      </c>
      <c r="AB40" s="4"/>
      <c r="AC40" s="4"/>
      <c r="AD40" s="5">
        <f t="shared" si="6"/>
        <v>89358.550000000017</v>
      </c>
    </row>
    <row r="41" spans="1:30" x14ac:dyDescent="0.25">
      <c r="A41" s="3" t="s">
        <v>64</v>
      </c>
      <c r="B41" s="4"/>
      <c r="C41" s="5">
        <f>6181.33</f>
        <v>6181.33</v>
      </c>
      <c r="D41" s="4"/>
      <c r="E41" s="5">
        <f>1650.03</f>
        <v>1650.03</v>
      </c>
      <c r="F41" s="5">
        <f>1349.7</f>
        <v>1349.7</v>
      </c>
      <c r="G41" s="4"/>
      <c r="H41" s="4"/>
      <c r="I41" s="4"/>
      <c r="J41" s="5">
        <f>-302.37</f>
        <v>-302.37</v>
      </c>
      <c r="K41" s="4"/>
      <c r="L41" s="4"/>
      <c r="M41" s="5">
        <f>7659.18</f>
        <v>7659.18</v>
      </c>
      <c r="N41" s="5">
        <f>12597.24</f>
        <v>12597.24</v>
      </c>
      <c r="O41" s="4"/>
      <c r="P41" s="5">
        <f>4399.44</f>
        <v>4399.4399999999996</v>
      </c>
      <c r="Q41" s="4"/>
      <c r="R41" s="4"/>
      <c r="S41" s="5">
        <f>12805.22</f>
        <v>12805.22</v>
      </c>
      <c r="T41" s="5">
        <f>7223.98</f>
        <v>7223.98</v>
      </c>
      <c r="U41" s="5">
        <f>4674.19</f>
        <v>4674.1899999999996</v>
      </c>
      <c r="V41" s="4"/>
      <c r="W41" s="5">
        <f>13002.82</f>
        <v>13002.82</v>
      </c>
      <c r="X41" s="5">
        <f>503.76</f>
        <v>503.76</v>
      </c>
      <c r="Y41" s="4"/>
      <c r="Z41" s="5">
        <f>12188.99</f>
        <v>12188.99</v>
      </c>
      <c r="AA41" s="5">
        <f>12513.03</f>
        <v>12513.03</v>
      </c>
      <c r="AB41" s="5">
        <f>877.3</f>
        <v>877.3</v>
      </c>
      <c r="AC41" s="4"/>
      <c r="AD41" s="5">
        <f t="shared" si="6"/>
        <v>97323.840000000011</v>
      </c>
    </row>
    <row r="42" spans="1:30" x14ac:dyDescent="0.25">
      <c r="A42" s="3" t="s">
        <v>65</v>
      </c>
      <c r="B42" s="5">
        <f>-4004.48</f>
        <v>-4004.48</v>
      </c>
      <c r="C42" s="4"/>
      <c r="D42" s="5">
        <f>214.29</f>
        <v>214.29</v>
      </c>
      <c r="E42" s="4"/>
      <c r="F42" s="4"/>
      <c r="G42" s="4"/>
      <c r="H42" s="4"/>
      <c r="I42" s="4"/>
      <c r="J42" s="4"/>
      <c r="K42" s="4"/>
      <c r="L42" s="4"/>
      <c r="M42" s="4"/>
      <c r="N42" s="5">
        <f>115.83</f>
        <v>115.83</v>
      </c>
      <c r="O42" s="4"/>
      <c r="P42" s="4"/>
      <c r="Q42" s="4"/>
      <c r="R42" s="4"/>
      <c r="S42" s="5">
        <f>4.39</f>
        <v>4.3899999999999997</v>
      </c>
      <c r="T42" s="4"/>
      <c r="U42" s="4"/>
      <c r="V42" s="4"/>
      <c r="W42" s="4"/>
      <c r="X42" s="4"/>
      <c r="Y42" s="4"/>
      <c r="Z42" s="4"/>
      <c r="AA42" s="5">
        <f>9.07</f>
        <v>9.07</v>
      </c>
      <c r="AB42" s="4"/>
      <c r="AC42" s="4"/>
      <c r="AD42" s="5">
        <f t="shared" si="6"/>
        <v>-3660.9</v>
      </c>
    </row>
    <row r="43" spans="1:30" x14ac:dyDescent="0.25">
      <c r="A43" s="3" t="s">
        <v>66</v>
      </c>
      <c r="B43" s="5">
        <f>50806.29</f>
        <v>50806.29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5">
        <f t="shared" si="6"/>
        <v>50806.29</v>
      </c>
    </row>
    <row r="44" spans="1:30" x14ac:dyDescent="0.25">
      <c r="A44" s="3" t="s">
        <v>67</v>
      </c>
      <c r="B44" s="4"/>
      <c r="C44" s="5">
        <f>650.47</f>
        <v>650.47</v>
      </c>
      <c r="D44" s="5">
        <f>2794.03</f>
        <v>2794.03</v>
      </c>
      <c r="E44" s="5">
        <f>359.92</f>
        <v>359.92</v>
      </c>
      <c r="F44" s="4"/>
      <c r="G44" s="5">
        <f>262.15</f>
        <v>262.14999999999998</v>
      </c>
      <c r="H44" s="5">
        <f>455.67</f>
        <v>455.67</v>
      </c>
      <c r="I44" s="4"/>
      <c r="J44" s="4"/>
      <c r="K44" s="5">
        <f>155.79</f>
        <v>155.79</v>
      </c>
      <c r="L44" s="5">
        <f>4692.99</f>
        <v>4692.99</v>
      </c>
      <c r="M44" s="5">
        <f>750.78</f>
        <v>750.78</v>
      </c>
      <c r="N44" s="4"/>
      <c r="O44" s="5">
        <f>1831.32</f>
        <v>1831.32</v>
      </c>
      <c r="P44" s="5">
        <f>515.01</f>
        <v>515.01</v>
      </c>
      <c r="Q44" s="4"/>
      <c r="R44" s="4"/>
      <c r="S44" s="4"/>
      <c r="T44" s="4"/>
      <c r="U44" s="5">
        <f>875.71</f>
        <v>875.71</v>
      </c>
      <c r="V44" s="4"/>
      <c r="W44" s="5">
        <f>2097.01</f>
        <v>2097.0100000000002</v>
      </c>
      <c r="X44" s="4"/>
      <c r="Y44" s="4"/>
      <c r="Z44" s="5">
        <f>1669.73</f>
        <v>1669.73</v>
      </c>
      <c r="AA44" s="5">
        <f>2355.56</f>
        <v>2355.56</v>
      </c>
      <c r="AB44" s="4"/>
      <c r="AC44" s="4"/>
      <c r="AD44" s="5">
        <f t="shared" si="6"/>
        <v>19466.140000000003</v>
      </c>
    </row>
    <row r="45" spans="1:30" x14ac:dyDescent="0.25">
      <c r="A45" s="3" t="s">
        <v>68</v>
      </c>
      <c r="B45" s="4"/>
      <c r="C45" s="5">
        <f>39.6</f>
        <v>39.6</v>
      </c>
      <c r="D45" s="4"/>
      <c r="E45" s="5">
        <f>16.72</f>
        <v>16.72</v>
      </c>
      <c r="F45" s="5">
        <f>30.72</f>
        <v>30.72</v>
      </c>
      <c r="G45" s="4"/>
      <c r="H45" s="4"/>
      <c r="I45" s="4"/>
      <c r="J45" s="5">
        <f>-2.16</f>
        <v>-2.16</v>
      </c>
      <c r="K45" s="4"/>
      <c r="L45" s="4"/>
      <c r="M45" s="5">
        <f>49.92</f>
        <v>49.92</v>
      </c>
      <c r="N45" s="5">
        <f>99.84</f>
        <v>99.84</v>
      </c>
      <c r="O45" s="4"/>
      <c r="P45" s="5">
        <f>30</f>
        <v>30</v>
      </c>
      <c r="Q45" s="4"/>
      <c r="R45" s="4"/>
      <c r="S45" s="5">
        <f>90.56</f>
        <v>90.56</v>
      </c>
      <c r="T45" s="5">
        <f>51.36</f>
        <v>51.36</v>
      </c>
      <c r="U45" s="5">
        <f>44.72</f>
        <v>44.72</v>
      </c>
      <c r="V45" s="4"/>
      <c r="W45" s="5">
        <f>113.04</f>
        <v>113.04</v>
      </c>
      <c r="X45" s="5">
        <f>2.4</f>
        <v>2.4</v>
      </c>
      <c r="Y45" s="4"/>
      <c r="Z45" s="5">
        <f>89.88</f>
        <v>89.88</v>
      </c>
      <c r="AA45" s="5">
        <f>148.12</f>
        <v>148.12</v>
      </c>
      <c r="AB45" s="5">
        <f>8</f>
        <v>8</v>
      </c>
      <c r="AC45" s="4"/>
      <c r="AD45" s="5">
        <f t="shared" si="6"/>
        <v>812.71999999999991</v>
      </c>
    </row>
    <row r="46" spans="1:30" x14ac:dyDescent="0.25">
      <c r="A46" s="3" t="s">
        <v>69</v>
      </c>
      <c r="B46" s="6">
        <f t="shared" ref="B46:AC46" si="8">(((((((((((B34)+(B35))+(B36))+(B37))+(B38))+(B39))+(B40))+(B41))+(B42))+(B43))+(B44))+(B45)</f>
        <v>71472.31</v>
      </c>
      <c r="C46" s="6">
        <f t="shared" si="8"/>
        <v>13451.989999999998</v>
      </c>
      <c r="D46" s="6">
        <f t="shared" si="8"/>
        <v>30163.909999999996</v>
      </c>
      <c r="E46" s="6">
        <f t="shared" si="8"/>
        <v>5322.0700000000006</v>
      </c>
      <c r="F46" s="6">
        <f t="shared" si="8"/>
        <v>5996.7</v>
      </c>
      <c r="G46" s="6">
        <f t="shared" si="8"/>
        <v>998.81</v>
      </c>
      <c r="H46" s="6">
        <f t="shared" si="8"/>
        <v>6618.88</v>
      </c>
      <c r="I46" s="6">
        <f t="shared" si="8"/>
        <v>0</v>
      </c>
      <c r="J46" s="6">
        <f t="shared" si="8"/>
        <v>-649.2299999999999</v>
      </c>
      <c r="K46" s="6">
        <f t="shared" si="8"/>
        <v>845.49</v>
      </c>
      <c r="L46" s="6">
        <f t="shared" si="8"/>
        <v>17791.939999999999</v>
      </c>
      <c r="M46" s="6">
        <f t="shared" si="8"/>
        <v>16355.02</v>
      </c>
      <c r="N46" s="6">
        <f t="shared" si="8"/>
        <v>46677.479999999996</v>
      </c>
      <c r="O46" s="6">
        <f t="shared" si="8"/>
        <v>26497.629999999997</v>
      </c>
      <c r="P46" s="6">
        <f t="shared" si="8"/>
        <v>8782.44</v>
      </c>
      <c r="Q46" s="6">
        <f t="shared" si="8"/>
        <v>1125.42</v>
      </c>
      <c r="R46" s="6">
        <f t="shared" si="8"/>
        <v>1771.86</v>
      </c>
      <c r="S46" s="6">
        <f t="shared" si="8"/>
        <v>28378.32</v>
      </c>
      <c r="T46" s="6">
        <f t="shared" si="8"/>
        <v>15543.730000000001</v>
      </c>
      <c r="U46" s="6">
        <f t="shared" si="8"/>
        <v>13060.929999999998</v>
      </c>
      <c r="V46" s="6">
        <f t="shared" si="8"/>
        <v>0</v>
      </c>
      <c r="W46" s="6">
        <f t="shared" si="8"/>
        <v>40671.410000000003</v>
      </c>
      <c r="X46" s="6">
        <f t="shared" si="8"/>
        <v>599.74</v>
      </c>
      <c r="Y46" s="6">
        <f t="shared" si="8"/>
        <v>0</v>
      </c>
      <c r="Z46" s="6">
        <f t="shared" si="8"/>
        <v>29150.33</v>
      </c>
      <c r="AA46" s="6">
        <f t="shared" si="8"/>
        <v>36925.68</v>
      </c>
      <c r="AB46" s="6">
        <f t="shared" si="8"/>
        <v>3116.2</v>
      </c>
      <c r="AC46" s="6">
        <f t="shared" si="8"/>
        <v>0</v>
      </c>
      <c r="AD46" s="6">
        <f t="shared" si="6"/>
        <v>420669.05999999988</v>
      </c>
    </row>
    <row r="47" spans="1:30" x14ac:dyDescent="0.25">
      <c r="A47" s="3" t="s">
        <v>70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5">
        <f t="shared" si="6"/>
        <v>0</v>
      </c>
    </row>
    <row r="48" spans="1:30" x14ac:dyDescent="0.25">
      <c r="A48" s="3" t="s">
        <v>71</v>
      </c>
      <c r="B48" s="5">
        <f>12398.34</f>
        <v>12398.34</v>
      </c>
      <c r="C48" s="4"/>
      <c r="D48" s="5">
        <f>789.77</f>
        <v>789.77</v>
      </c>
      <c r="E48" s="4"/>
      <c r="F48" s="5">
        <f>3297.84</f>
        <v>3297.84</v>
      </c>
      <c r="G48" s="4"/>
      <c r="H48" s="4"/>
      <c r="I48" s="4"/>
      <c r="J48" s="4"/>
      <c r="K48" s="4"/>
      <c r="L48" s="5">
        <f>73.25</f>
        <v>73.25</v>
      </c>
      <c r="M48" s="4"/>
      <c r="N48" s="5">
        <f>-10</f>
        <v>-10</v>
      </c>
      <c r="O48" s="4"/>
      <c r="P48" s="4"/>
      <c r="Q48" s="4"/>
      <c r="R48" s="5">
        <f>800</f>
        <v>800</v>
      </c>
      <c r="S48" s="5">
        <f>712.2</f>
        <v>712.2</v>
      </c>
      <c r="T48" s="4"/>
      <c r="U48" s="4"/>
      <c r="V48" s="4"/>
      <c r="W48" s="5">
        <f>0</f>
        <v>0</v>
      </c>
      <c r="X48" s="4"/>
      <c r="Y48" s="4"/>
      <c r="Z48" s="5">
        <f>0</f>
        <v>0</v>
      </c>
      <c r="AA48" s="4"/>
      <c r="AB48" s="4"/>
      <c r="AC48" s="4"/>
      <c r="AD48" s="5">
        <f t="shared" si="6"/>
        <v>18061.400000000001</v>
      </c>
    </row>
    <row r="49" spans="1:30" x14ac:dyDescent="0.25">
      <c r="A49" s="3" t="s">
        <v>72</v>
      </c>
      <c r="B49" s="5">
        <f>23000</f>
        <v>23000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5">
        <f t="shared" si="6"/>
        <v>23000</v>
      </c>
    </row>
    <row r="50" spans="1:30" x14ac:dyDescent="0.25">
      <c r="A50" s="3" t="s">
        <v>73</v>
      </c>
      <c r="B50" s="5">
        <f>2658.28</f>
        <v>2658.28</v>
      </c>
      <c r="C50" s="4"/>
      <c r="D50" s="5">
        <f>2088.65</f>
        <v>2088.65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5">
        <f t="shared" si="6"/>
        <v>4746.93</v>
      </c>
    </row>
    <row r="51" spans="1:30" x14ac:dyDescent="0.25">
      <c r="A51" s="3" t="s">
        <v>74</v>
      </c>
      <c r="B51" s="5">
        <f>8084.45</f>
        <v>8084.45</v>
      </c>
      <c r="C51" s="5">
        <f>78.28</f>
        <v>78.28</v>
      </c>
      <c r="D51" s="5">
        <f>3182.85</f>
        <v>3182.85</v>
      </c>
      <c r="E51" s="4"/>
      <c r="F51" s="5">
        <f>57.87</f>
        <v>57.87</v>
      </c>
      <c r="G51" s="5">
        <f>57.87</f>
        <v>57.87</v>
      </c>
      <c r="H51" s="4"/>
      <c r="I51" s="4"/>
      <c r="J51" s="4"/>
      <c r="K51" s="5">
        <f>57.87</f>
        <v>57.87</v>
      </c>
      <c r="L51" s="4"/>
      <c r="M51" s="5">
        <f>115.74</f>
        <v>115.74</v>
      </c>
      <c r="N51" s="4"/>
      <c r="O51" s="4"/>
      <c r="P51" s="4"/>
      <c r="Q51" s="4"/>
      <c r="R51" s="5">
        <f>38.3</f>
        <v>38.299999999999997</v>
      </c>
      <c r="S51" s="5">
        <f>1519.56</f>
        <v>1519.56</v>
      </c>
      <c r="T51" s="5">
        <f>771.05</f>
        <v>771.05</v>
      </c>
      <c r="U51" s="5">
        <f>115.74</f>
        <v>115.74</v>
      </c>
      <c r="V51" s="4"/>
      <c r="W51" s="5">
        <f>211.91</f>
        <v>211.91</v>
      </c>
      <c r="X51" s="4"/>
      <c r="Y51" s="4"/>
      <c r="Z51" s="5">
        <f>192.34</f>
        <v>192.34</v>
      </c>
      <c r="AA51" s="5">
        <f>308.08</f>
        <v>308.08</v>
      </c>
      <c r="AB51" s="4"/>
      <c r="AC51" s="4"/>
      <c r="AD51" s="5">
        <f t="shared" si="6"/>
        <v>14791.91</v>
      </c>
    </row>
    <row r="52" spans="1:30" x14ac:dyDescent="0.25">
      <c r="A52" s="3" t="s">
        <v>75</v>
      </c>
      <c r="B52" s="6">
        <f t="shared" ref="B52:AC52" si="9">((((B47)+(B48))+(B49))+(B50))+(B51)</f>
        <v>46141.069999999992</v>
      </c>
      <c r="C52" s="6">
        <f t="shared" si="9"/>
        <v>78.28</v>
      </c>
      <c r="D52" s="6">
        <f t="shared" si="9"/>
        <v>6061.27</v>
      </c>
      <c r="E52" s="6">
        <f t="shared" si="9"/>
        <v>0</v>
      </c>
      <c r="F52" s="6">
        <f t="shared" si="9"/>
        <v>3355.71</v>
      </c>
      <c r="G52" s="6">
        <f t="shared" si="9"/>
        <v>57.87</v>
      </c>
      <c r="H52" s="6">
        <f t="shared" si="9"/>
        <v>0</v>
      </c>
      <c r="I52" s="6">
        <f t="shared" si="9"/>
        <v>0</v>
      </c>
      <c r="J52" s="6">
        <f t="shared" si="9"/>
        <v>0</v>
      </c>
      <c r="K52" s="6">
        <f t="shared" si="9"/>
        <v>57.87</v>
      </c>
      <c r="L52" s="6">
        <f t="shared" si="9"/>
        <v>73.25</v>
      </c>
      <c r="M52" s="6">
        <f t="shared" si="9"/>
        <v>115.74</v>
      </c>
      <c r="N52" s="6">
        <f t="shared" si="9"/>
        <v>-10</v>
      </c>
      <c r="O52" s="6">
        <f t="shared" si="9"/>
        <v>0</v>
      </c>
      <c r="P52" s="6">
        <f t="shared" si="9"/>
        <v>0</v>
      </c>
      <c r="Q52" s="6">
        <f t="shared" si="9"/>
        <v>0</v>
      </c>
      <c r="R52" s="6">
        <f t="shared" si="9"/>
        <v>838.3</v>
      </c>
      <c r="S52" s="6">
        <f t="shared" si="9"/>
        <v>2231.7600000000002</v>
      </c>
      <c r="T52" s="6">
        <f t="shared" si="9"/>
        <v>771.05</v>
      </c>
      <c r="U52" s="6">
        <f t="shared" si="9"/>
        <v>115.74</v>
      </c>
      <c r="V52" s="6">
        <f t="shared" si="9"/>
        <v>0</v>
      </c>
      <c r="W52" s="6">
        <f t="shared" si="9"/>
        <v>211.91</v>
      </c>
      <c r="X52" s="6">
        <f t="shared" si="9"/>
        <v>0</v>
      </c>
      <c r="Y52" s="6">
        <f t="shared" si="9"/>
        <v>0</v>
      </c>
      <c r="Z52" s="6">
        <f t="shared" si="9"/>
        <v>192.34</v>
      </c>
      <c r="AA52" s="6">
        <f t="shared" si="9"/>
        <v>308.08</v>
      </c>
      <c r="AB52" s="6">
        <f t="shared" si="9"/>
        <v>0</v>
      </c>
      <c r="AC52" s="6">
        <f t="shared" si="9"/>
        <v>0</v>
      </c>
      <c r="AD52" s="6">
        <f t="shared" si="6"/>
        <v>60600.240000000005</v>
      </c>
    </row>
    <row r="53" spans="1:30" x14ac:dyDescent="0.25">
      <c r="A53" s="3" t="s">
        <v>76</v>
      </c>
      <c r="B53" s="5">
        <f>36900.34</f>
        <v>36900.339999999997</v>
      </c>
      <c r="C53" s="5">
        <f>4700</f>
        <v>4700</v>
      </c>
      <c r="D53" s="5">
        <f>436.25</f>
        <v>436.25</v>
      </c>
      <c r="E53" s="5">
        <f>1800</f>
        <v>1800</v>
      </c>
      <c r="F53" s="5">
        <f>22834.87</f>
        <v>22834.87</v>
      </c>
      <c r="G53" s="4"/>
      <c r="H53" s="4"/>
      <c r="I53" s="5">
        <f>57381</f>
        <v>57381</v>
      </c>
      <c r="J53" s="4"/>
      <c r="K53" s="4"/>
      <c r="L53" s="4"/>
      <c r="M53" s="5">
        <f>46393.92</f>
        <v>46393.919999999998</v>
      </c>
      <c r="N53" s="4"/>
      <c r="O53" s="4"/>
      <c r="P53" s="4"/>
      <c r="Q53" s="4"/>
      <c r="R53" s="4"/>
      <c r="S53" s="4"/>
      <c r="T53" s="4"/>
      <c r="U53" s="5">
        <f>500</f>
        <v>500</v>
      </c>
      <c r="V53" s="4"/>
      <c r="W53" s="5">
        <f>216235.21</f>
        <v>216235.21</v>
      </c>
      <c r="X53" s="4"/>
      <c r="Y53" s="4"/>
      <c r="Z53" s="5">
        <f>4460</f>
        <v>4460</v>
      </c>
      <c r="AA53" s="5">
        <f>36701</f>
        <v>36701</v>
      </c>
      <c r="AB53" s="4"/>
      <c r="AC53" s="4"/>
      <c r="AD53" s="5">
        <f t="shared" si="6"/>
        <v>428342.58999999997</v>
      </c>
    </row>
    <row r="54" spans="1:30" x14ac:dyDescent="0.25">
      <c r="A54" s="3" t="s">
        <v>77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5">
        <f t="shared" si="6"/>
        <v>0</v>
      </c>
    </row>
    <row r="55" spans="1:30" x14ac:dyDescent="0.25">
      <c r="A55" s="3" t="s">
        <v>78</v>
      </c>
      <c r="B55" s="5">
        <f>96.37</f>
        <v>96.37</v>
      </c>
      <c r="C55" s="4"/>
      <c r="D55" s="5">
        <f>195.64</f>
        <v>195.64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5">
        <f t="shared" si="6"/>
        <v>292.01</v>
      </c>
    </row>
    <row r="56" spans="1:30" x14ac:dyDescent="0.25">
      <c r="A56" s="3" t="s">
        <v>79</v>
      </c>
      <c r="B56" s="5">
        <f>569.25</f>
        <v>569.25</v>
      </c>
      <c r="C56" s="4"/>
      <c r="D56" s="5">
        <f>1155.75</f>
        <v>1155.75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5">
        <f t="shared" si="6"/>
        <v>1725</v>
      </c>
    </row>
    <row r="57" spans="1:30" x14ac:dyDescent="0.25">
      <c r="A57" s="3" t="s">
        <v>80</v>
      </c>
      <c r="B57" s="5">
        <f>504.47</f>
        <v>504.47</v>
      </c>
      <c r="C57" s="4"/>
      <c r="D57" s="5">
        <f>851.67</f>
        <v>851.67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5">
        <f t="shared" si="6"/>
        <v>1356.1399999999999</v>
      </c>
    </row>
    <row r="58" spans="1:30" x14ac:dyDescent="0.25">
      <c r="A58" s="3" t="s">
        <v>81</v>
      </c>
      <c r="B58" s="5">
        <f>15335.65</f>
        <v>15335.65</v>
      </c>
      <c r="C58" s="4"/>
      <c r="D58" s="5">
        <f>16981.87</f>
        <v>16981.87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5">
        <f t="shared" si="6"/>
        <v>32317.519999999997</v>
      </c>
    </row>
    <row r="59" spans="1:30" x14ac:dyDescent="0.25">
      <c r="A59" s="3" t="s">
        <v>82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5">
        <f>40000</f>
        <v>40000</v>
      </c>
      <c r="U59" s="4"/>
      <c r="V59" s="4"/>
      <c r="W59" s="4"/>
      <c r="X59" s="4"/>
      <c r="Y59" s="4"/>
      <c r="Z59" s="4"/>
      <c r="AA59" s="4"/>
      <c r="AB59" s="4"/>
      <c r="AC59" s="4"/>
      <c r="AD59" s="5">
        <f t="shared" si="6"/>
        <v>40000</v>
      </c>
    </row>
    <row r="60" spans="1:30" x14ac:dyDescent="0.25">
      <c r="A60" s="3" t="s">
        <v>83</v>
      </c>
      <c r="B60" s="5">
        <f>2371.83</f>
        <v>2371.83</v>
      </c>
      <c r="C60" s="4"/>
      <c r="D60" s="5">
        <f>4815.54</f>
        <v>4815.54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5">
        <f t="shared" si="6"/>
        <v>7187.37</v>
      </c>
    </row>
    <row r="61" spans="1:30" x14ac:dyDescent="0.25">
      <c r="A61" s="3" t="s">
        <v>84</v>
      </c>
      <c r="B61" s="5">
        <f>868.26</f>
        <v>868.26</v>
      </c>
      <c r="C61" s="5">
        <f>55.44</f>
        <v>55.44</v>
      </c>
      <c r="D61" s="5">
        <f>55.44</f>
        <v>55.44</v>
      </c>
      <c r="E61" s="4"/>
      <c r="F61" s="4"/>
      <c r="G61" s="5">
        <f>73.92</f>
        <v>73.92</v>
      </c>
      <c r="H61" s="4"/>
      <c r="I61" s="4"/>
      <c r="J61" s="4"/>
      <c r="K61" s="4"/>
      <c r="L61" s="4"/>
      <c r="M61" s="5">
        <f>110.88</f>
        <v>110.88</v>
      </c>
      <c r="N61" s="4"/>
      <c r="O61" s="4"/>
      <c r="P61" s="4"/>
      <c r="Q61" s="4"/>
      <c r="R61" s="5">
        <f>55.44</f>
        <v>55.44</v>
      </c>
      <c r="S61" s="5">
        <f>314.16</f>
        <v>314.16000000000003</v>
      </c>
      <c r="T61" s="5">
        <f>147.84</f>
        <v>147.84</v>
      </c>
      <c r="U61" s="5">
        <f>110.88</f>
        <v>110.88</v>
      </c>
      <c r="V61" s="4"/>
      <c r="W61" s="5">
        <f>221.76</f>
        <v>221.76</v>
      </c>
      <c r="X61" s="5">
        <f>2200</f>
        <v>2200</v>
      </c>
      <c r="Y61" s="4"/>
      <c r="Z61" s="5">
        <f>184.8</f>
        <v>184.8</v>
      </c>
      <c r="AA61" s="5">
        <f>283.8</f>
        <v>283.8</v>
      </c>
      <c r="AB61" s="4"/>
      <c r="AC61" s="4"/>
      <c r="AD61" s="5">
        <f t="shared" si="6"/>
        <v>4682.6200000000008</v>
      </c>
    </row>
    <row r="62" spans="1:30" x14ac:dyDescent="0.25">
      <c r="A62" s="3" t="s">
        <v>85</v>
      </c>
      <c r="B62" s="5">
        <f>0</f>
        <v>0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5">
        <f t="shared" ref="AD62:AD93" si="10">(((((((((((((((((((((((((((B62)+(C62))+(D62))+(E62))+(F62))+(G62))+(H62))+(I62))+(J62))+(K62))+(L62))+(M62))+(N62))+(O62))+(P62))+(Q62))+(R62))+(S62))+(T62))+(U62))+(V62))+(W62))+(X62))+(Y62))+(Z62))+(AA62))+(AB62))+(AC62)</f>
        <v>0</v>
      </c>
    </row>
    <row r="63" spans="1:30" x14ac:dyDescent="0.25">
      <c r="A63" s="3" t="s">
        <v>86</v>
      </c>
      <c r="B63" s="6">
        <f t="shared" ref="B63:AC63" si="11">((((((((B54)+(B55))+(B56))+(B57))+(B58))+(B59))+(B60))+(B61))+(B62)</f>
        <v>19745.829999999998</v>
      </c>
      <c r="C63" s="6">
        <f t="shared" si="11"/>
        <v>55.44</v>
      </c>
      <c r="D63" s="6">
        <f t="shared" si="11"/>
        <v>24055.91</v>
      </c>
      <c r="E63" s="6">
        <f t="shared" si="11"/>
        <v>0</v>
      </c>
      <c r="F63" s="6">
        <f t="shared" si="11"/>
        <v>0</v>
      </c>
      <c r="G63" s="6">
        <f t="shared" si="11"/>
        <v>73.92</v>
      </c>
      <c r="H63" s="6">
        <f t="shared" si="11"/>
        <v>0</v>
      </c>
      <c r="I63" s="6">
        <f t="shared" si="11"/>
        <v>0</v>
      </c>
      <c r="J63" s="6">
        <f t="shared" si="11"/>
        <v>0</v>
      </c>
      <c r="K63" s="6">
        <f t="shared" si="11"/>
        <v>0</v>
      </c>
      <c r="L63" s="6">
        <f t="shared" si="11"/>
        <v>0</v>
      </c>
      <c r="M63" s="6">
        <f t="shared" si="11"/>
        <v>110.88</v>
      </c>
      <c r="N63" s="6">
        <f t="shared" si="11"/>
        <v>0</v>
      </c>
      <c r="O63" s="6">
        <f t="shared" si="11"/>
        <v>0</v>
      </c>
      <c r="P63" s="6">
        <f t="shared" si="11"/>
        <v>0</v>
      </c>
      <c r="Q63" s="6">
        <f t="shared" si="11"/>
        <v>0</v>
      </c>
      <c r="R63" s="6">
        <f t="shared" si="11"/>
        <v>55.44</v>
      </c>
      <c r="S63" s="6">
        <f t="shared" si="11"/>
        <v>314.16000000000003</v>
      </c>
      <c r="T63" s="6">
        <f t="shared" si="11"/>
        <v>40147.839999999997</v>
      </c>
      <c r="U63" s="6">
        <f t="shared" si="11"/>
        <v>110.88</v>
      </c>
      <c r="V63" s="6">
        <f t="shared" si="11"/>
        <v>0</v>
      </c>
      <c r="W63" s="6">
        <f t="shared" si="11"/>
        <v>221.76</v>
      </c>
      <c r="X63" s="6">
        <f t="shared" si="11"/>
        <v>2200</v>
      </c>
      <c r="Y63" s="6">
        <f t="shared" si="11"/>
        <v>0</v>
      </c>
      <c r="Z63" s="6">
        <f t="shared" si="11"/>
        <v>184.8</v>
      </c>
      <c r="AA63" s="6">
        <f t="shared" si="11"/>
        <v>283.8</v>
      </c>
      <c r="AB63" s="6">
        <f t="shared" si="11"/>
        <v>0</v>
      </c>
      <c r="AC63" s="6">
        <f t="shared" si="11"/>
        <v>0</v>
      </c>
      <c r="AD63" s="6">
        <f t="shared" si="10"/>
        <v>87560.659999999989</v>
      </c>
    </row>
    <row r="64" spans="1:30" x14ac:dyDescent="0.25">
      <c r="A64" s="3" t="s">
        <v>87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5">
        <f t="shared" si="10"/>
        <v>0</v>
      </c>
    </row>
    <row r="65" spans="1:30" x14ac:dyDescent="0.25">
      <c r="A65" s="3" t="s">
        <v>88</v>
      </c>
      <c r="B65" s="5">
        <f>39123.58</f>
        <v>39123.58</v>
      </c>
      <c r="C65" s="4"/>
      <c r="D65" s="5">
        <f>32702</f>
        <v>32702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5">
        <f t="shared" si="10"/>
        <v>71825.58</v>
      </c>
    </row>
    <row r="66" spans="1:30" x14ac:dyDescent="0.25">
      <c r="A66" s="3" t="s">
        <v>89</v>
      </c>
      <c r="B66" s="5">
        <f>24124.5</f>
        <v>24124.5</v>
      </c>
      <c r="C66" s="4"/>
      <c r="D66" s="5">
        <f>18374.5</f>
        <v>18374.5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5">
        <f t="shared" si="10"/>
        <v>42499</v>
      </c>
    </row>
    <row r="67" spans="1:30" x14ac:dyDescent="0.25">
      <c r="A67" s="3" t="s">
        <v>90</v>
      </c>
      <c r="B67" s="6">
        <f t="shared" ref="B67:AC67" si="12">((B64)+(B65))+(B66)</f>
        <v>63248.08</v>
      </c>
      <c r="C67" s="6">
        <f t="shared" si="12"/>
        <v>0</v>
      </c>
      <c r="D67" s="6">
        <f t="shared" si="12"/>
        <v>51076.5</v>
      </c>
      <c r="E67" s="6">
        <f t="shared" si="12"/>
        <v>0</v>
      </c>
      <c r="F67" s="6">
        <f t="shared" si="12"/>
        <v>0</v>
      </c>
      <c r="G67" s="6">
        <f t="shared" si="12"/>
        <v>0</v>
      </c>
      <c r="H67" s="6">
        <f t="shared" si="12"/>
        <v>0</v>
      </c>
      <c r="I67" s="6">
        <f t="shared" si="12"/>
        <v>0</v>
      </c>
      <c r="J67" s="6">
        <f t="shared" si="12"/>
        <v>0</v>
      </c>
      <c r="K67" s="6">
        <f t="shared" si="12"/>
        <v>0</v>
      </c>
      <c r="L67" s="6">
        <f t="shared" si="12"/>
        <v>0</v>
      </c>
      <c r="M67" s="6">
        <f t="shared" si="12"/>
        <v>0</v>
      </c>
      <c r="N67" s="6">
        <f t="shared" si="12"/>
        <v>0</v>
      </c>
      <c r="O67" s="6">
        <f t="shared" si="12"/>
        <v>0</v>
      </c>
      <c r="P67" s="6">
        <f t="shared" si="12"/>
        <v>0</v>
      </c>
      <c r="Q67" s="6">
        <f t="shared" si="12"/>
        <v>0</v>
      </c>
      <c r="R67" s="6">
        <f t="shared" si="12"/>
        <v>0</v>
      </c>
      <c r="S67" s="6">
        <f t="shared" si="12"/>
        <v>0</v>
      </c>
      <c r="T67" s="6">
        <f t="shared" si="12"/>
        <v>0</v>
      </c>
      <c r="U67" s="6">
        <f t="shared" si="12"/>
        <v>0</v>
      </c>
      <c r="V67" s="6">
        <f t="shared" si="12"/>
        <v>0</v>
      </c>
      <c r="W67" s="6">
        <f t="shared" si="12"/>
        <v>0</v>
      </c>
      <c r="X67" s="6">
        <f t="shared" si="12"/>
        <v>0</v>
      </c>
      <c r="Y67" s="6">
        <f t="shared" si="12"/>
        <v>0</v>
      </c>
      <c r="Z67" s="6">
        <f t="shared" si="12"/>
        <v>0</v>
      </c>
      <c r="AA67" s="6">
        <f t="shared" si="12"/>
        <v>0</v>
      </c>
      <c r="AB67" s="6">
        <f t="shared" si="12"/>
        <v>0</v>
      </c>
      <c r="AC67" s="6">
        <f t="shared" si="12"/>
        <v>0</v>
      </c>
      <c r="AD67" s="6">
        <f t="shared" si="10"/>
        <v>114324.58</v>
      </c>
    </row>
    <row r="68" spans="1:30" x14ac:dyDescent="0.25">
      <c r="A68" s="3" t="s">
        <v>91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5">
        <f t="shared" si="10"/>
        <v>0</v>
      </c>
    </row>
    <row r="69" spans="1:30" x14ac:dyDescent="0.25">
      <c r="A69" s="3" t="s">
        <v>92</v>
      </c>
      <c r="B69" s="5">
        <f>158.61</f>
        <v>158.61000000000001</v>
      </c>
      <c r="C69" s="4"/>
      <c r="D69" s="5">
        <f>111.02</f>
        <v>111.02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5">
        <f>47.58</f>
        <v>47.58</v>
      </c>
      <c r="T69" s="4"/>
      <c r="U69" s="4"/>
      <c r="V69" s="4"/>
      <c r="W69" s="4"/>
      <c r="X69" s="4"/>
      <c r="Y69" s="4"/>
      <c r="Z69" s="4"/>
      <c r="AA69" s="4"/>
      <c r="AB69" s="4"/>
      <c r="AC69" s="4"/>
      <c r="AD69" s="5">
        <f t="shared" si="10"/>
        <v>317.20999999999998</v>
      </c>
    </row>
    <row r="70" spans="1:30" x14ac:dyDescent="0.25">
      <c r="A70" s="3" t="s">
        <v>93</v>
      </c>
      <c r="B70" s="5">
        <f>350</f>
        <v>350</v>
      </c>
      <c r="C70" s="4"/>
      <c r="D70" s="5">
        <f>90</f>
        <v>90</v>
      </c>
      <c r="E70" s="4"/>
      <c r="F70" s="4"/>
      <c r="G70" s="4"/>
      <c r="H70" s="4"/>
      <c r="I70" s="4"/>
      <c r="J70" s="4"/>
      <c r="K70" s="4"/>
      <c r="L70" s="4"/>
      <c r="M70" s="5">
        <f>83.15</f>
        <v>83.15</v>
      </c>
      <c r="N70" s="4"/>
      <c r="O70" s="4"/>
      <c r="P70" s="4"/>
      <c r="Q70" s="4"/>
      <c r="R70" s="4"/>
      <c r="S70" s="5">
        <f>60</f>
        <v>60</v>
      </c>
      <c r="T70" s="4"/>
      <c r="U70" s="4"/>
      <c r="V70" s="4"/>
      <c r="W70" s="5">
        <f>71</f>
        <v>71</v>
      </c>
      <c r="X70" s="4"/>
      <c r="Y70" s="4"/>
      <c r="Z70" s="4"/>
      <c r="AA70" s="5">
        <f>16.7</f>
        <v>16.7</v>
      </c>
      <c r="AB70" s="4"/>
      <c r="AC70" s="4"/>
      <c r="AD70" s="5">
        <f t="shared" si="10"/>
        <v>670.85</v>
      </c>
    </row>
    <row r="71" spans="1:30" x14ac:dyDescent="0.25">
      <c r="A71" s="3" t="s">
        <v>94</v>
      </c>
      <c r="B71" s="5">
        <f>1231.2</f>
        <v>1231.2</v>
      </c>
      <c r="C71" s="5">
        <f>4.74</f>
        <v>4.74</v>
      </c>
      <c r="D71" s="5">
        <f>1070.67</f>
        <v>1070.67</v>
      </c>
      <c r="E71" s="4"/>
      <c r="F71" s="4"/>
      <c r="G71" s="4"/>
      <c r="H71" s="4"/>
      <c r="I71" s="4"/>
      <c r="J71" s="4"/>
      <c r="K71" s="4"/>
      <c r="L71" s="4"/>
      <c r="M71" s="5">
        <f>70.62</f>
        <v>70.62</v>
      </c>
      <c r="N71" s="4"/>
      <c r="O71" s="4"/>
      <c r="P71" s="4"/>
      <c r="Q71" s="4"/>
      <c r="R71" s="5">
        <f>32.88</f>
        <v>32.880000000000003</v>
      </c>
      <c r="S71" s="5">
        <f>658.71</f>
        <v>658.71</v>
      </c>
      <c r="T71" s="5">
        <f>492.08</f>
        <v>492.08</v>
      </c>
      <c r="U71" s="5">
        <f>244.26</f>
        <v>244.26</v>
      </c>
      <c r="V71" s="4"/>
      <c r="W71" s="5">
        <f>594.03</f>
        <v>594.03</v>
      </c>
      <c r="X71" s="4"/>
      <c r="Y71" s="4"/>
      <c r="Z71" s="5">
        <f>354.86</f>
        <v>354.86</v>
      </c>
      <c r="AA71" s="5">
        <f>349.04</f>
        <v>349.04</v>
      </c>
      <c r="AB71" s="4"/>
      <c r="AC71" s="4"/>
      <c r="AD71" s="5">
        <f t="shared" si="10"/>
        <v>5103.0899999999992</v>
      </c>
    </row>
    <row r="72" spans="1:30" x14ac:dyDescent="0.25">
      <c r="A72" s="3" t="s">
        <v>95</v>
      </c>
      <c r="B72" s="5">
        <f>0</f>
        <v>0</v>
      </c>
      <c r="C72" s="5">
        <f>0</f>
        <v>0</v>
      </c>
      <c r="D72" s="5">
        <f>0</f>
        <v>0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5">
        <f>13794.8</f>
        <v>13794.8</v>
      </c>
      <c r="T72" s="4"/>
      <c r="U72" s="5">
        <f>1055</f>
        <v>1055</v>
      </c>
      <c r="V72" s="4"/>
      <c r="W72" s="5">
        <f>0</f>
        <v>0</v>
      </c>
      <c r="X72" s="4"/>
      <c r="Y72" s="4"/>
      <c r="Z72" s="5">
        <f>0</f>
        <v>0</v>
      </c>
      <c r="AA72" s="5">
        <f>0</f>
        <v>0</v>
      </c>
      <c r="AB72" s="4"/>
      <c r="AC72" s="4"/>
      <c r="AD72" s="5">
        <f t="shared" si="10"/>
        <v>14849.8</v>
      </c>
    </row>
    <row r="73" spans="1:30" x14ac:dyDescent="0.25">
      <c r="A73" s="3" t="s">
        <v>96</v>
      </c>
      <c r="B73" s="5">
        <f>8817.32</f>
        <v>8817.32</v>
      </c>
      <c r="C73" s="5">
        <f>0</f>
        <v>0</v>
      </c>
      <c r="D73" s="5">
        <f>202.75</f>
        <v>202.75</v>
      </c>
      <c r="E73" s="4"/>
      <c r="F73" s="4"/>
      <c r="G73" s="5">
        <f>44.44</f>
        <v>44.44</v>
      </c>
      <c r="H73" s="4"/>
      <c r="I73" s="4"/>
      <c r="J73" s="5">
        <f>2179.28</f>
        <v>2179.2800000000002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5">
        <f t="shared" si="10"/>
        <v>11243.79</v>
      </c>
    </row>
    <row r="74" spans="1:30" x14ac:dyDescent="0.25">
      <c r="A74" s="3" t="s">
        <v>97</v>
      </c>
      <c r="B74" s="5">
        <f>16873.48</f>
        <v>16873.48</v>
      </c>
      <c r="C74" s="5">
        <f>0</f>
        <v>0</v>
      </c>
      <c r="D74" s="5">
        <f>2712.35</f>
        <v>2712.35</v>
      </c>
      <c r="E74" s="5">
        <f>390.8</f>
        <v>390.8</v>
      </c>
      <c r="F74" s="5">
        <f>14059.51</f>
        <v>14059.51</v>
      </c>
      <c r="G74" s="5">
        <f>112.25</f>
        <v>112.25</v>
      </c>
      <c r="H74" s="4"/>
      <c r="I74" s="5">
        <f>-390.8</f>
        <v>-390.8</v>
      </c>
      <c r="J74" s="5">
        <f>303.07</f>
        <v>303.07</v>
      </c>
      <c r="K74" s="4"/>
      <c r="L74" s="4"/>
      <c r="M74" s="5">
        <f>37085.03</f>
        <v>37085.03</v>
      </c>
      <c r="N74" s="4"/>
      <c r="O74" s="4"/>
      <c r="P74" s="4"/>
      <c r="Q74" s="4"/>
      <c r="R74" s="5">
        <f>1399.85</f>
        <v>1399.85</v>
      </c>
      <c r="S74" s="5">
        <f>8713.65</f>
        <v>8713.65</v>
      </c>
      <c r="T74" s="5">
        <f>15178.49</f>
        <v>15178.49</v>
      </c>
      <c r="U74" s="5">
        <f>25344.91</f>
        <v>25344.91</v>
      </c>
      <c r="V74" s="4"/>
      <c r="W74" s="5">
        <f>621.48</f>
        <v>621.48</v>
      </c>
      <c r="X74" s="4"/>
      <c r="Y74" s="5">
        <f>4075.34</f>
        <v>4075.34</v>
      </c>
      <c r="Z74" s="5">
        <f>115193.1</f>
        <v>115193.1</v>
      </c>
      <c r="AA74" s="5">
        <f>46958.9</f>
        <v>46958.9</v>
      </c>
      <c r="AB74" s="4"/>
      <c r="AC74" s="4"/>
      <c r="AD74" s="5">
        <f t="shared" si="10"/>
        <v>288631.41000000003</v>
      </c>
    </row>
    <row r="75" spans="1:30" x14ac:dyDescent="0.25">
      <c r="A75" s="3" t="s">
        <v>98</v>
      </c>
      <c r="B75" s="6">
        <f t="shared" ref="B75:AC75" si="13">((((((B68)+(B69))+(B70))+(B71))+(B72))+(B73))+(B74)</f>
        <v>27430.61</v>
      </c>
      <c r="C75" s="6">
        <f t="shared" si="13"/>
        <v>4.74</v>
      </c>
      <c r="D75" s="6">
        <f t="shared" si="13"/>
        <v>4186.79</v>
      </c>
      <c r="E75" s="6">
        <f t="shared" si="13"/>
        <v>390.8</v>
      </c>
      <c r="F75" s="6">
        <f t="shared" si="13"/>
        <v>14059.51</v>
      </c>
      <c r="G75" s="6">
        <f t="shared" si="13"/>
        <v>156.69</v>
      </c>
      <c r="H75" s="6">
        <f t="shared" si="13"/>
        <v>0</v>
      </c>
      <c r="I75" s="6">
        <f t="shared" si="13"/>
        <v>-390.8</v>
      </c>
      <c r="J75" s="6">
        <f t="shared" si="13"/>
        <v>2482.3500000000004</v>
      </c>
      <c r="K75" s="6">
        <f t="shared" si="13"/>
        <v>0</v>
      </c>
      <c r="L75" s="6">
        <f t="shared" si="13"/>
        <v>0</v>
      </c>
      <c r="M75" s="6">
        <f t="shared" si="13"/>
        <v>37238.799999999996</v>
      </c>
      <c r="N75" s="6">
        <f t="shared" si="13"/>
        <v>0</v>
      </c>
      <c r="O75" s="6">
        <f t="shared" si="13"/>
        <v>0</v>
      </c>
      <c r="P75" s="6">
        <f t="shared" si="13"/>
        <v>0</v>
      </c>
      <c r="Q75" s="6">
        <f t="shared" si="13"/>
        <v>0</v>
      </c>
      <c r="R75" s="6">
        <f t="shared" si="13"/>
        <v>1432.73</v>
      </c>
      <c r="S75" s="6">
        <f t="shared" si="13"/>
        <v>23274.739999999998</v>
      </c>
      <c r="T75" s="6">
        <f t="shared" si="13"/>
        <v>15670.57</v>
      </c>
      <c r="U75" s="6">
        <f t="shared" si="13"/>
        <v>26644.17</v>
      </c>
      <c r="V75" s="6">
        <f t="shared" si="13"/>
        <v>0</v>
      </c>
      <c r="W75" s="6">
        <f t="shared" si="13"/>
        <v>1286.51</v>
      </c>
      <c r="X75" s="6">
        <f t="shared" si="13"/>
        <v>0</v>
      </c>
      <c r="Y75" s="6">
        <f t="shared" si="13"/>
        <v>4075.34</v>
      </c>
      <c r="Z75" s="6">
        <f t="shared" si="13"/>
        <v>115547.96</v>
      </c>
      <c r="AA75" s="6">
        <f t="shared" si="13"/>
        <v>47324.639999999999</v>
      </c>
      <c r="AB75" s="6">
        <f t="shared" si="13"/>
        <v>0</v>
      </c>
      <c r="AC75" s="6">
        <f t="shared" si="13"/>
        <v>0</v>
      </c>
      <c r="AD75" s="6">
        <f t="shared" si="10"/>
        <v>320816.15000000002</v>
      </c>
    </row>
    <row r="76" spans="1:30" x14ac:dyDescent="0.25">
      <c r="A76" s="3" t="s">
        <v>99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5">
        <f t="shared" si="10"/>
        <v>0</v>
      </c>
    </row>
    <row r="77" spans="1:30" x14ac:dyDescent="0.25">
      <c r="A77" s="3" t="s">
        <v>100</v>
      </c>
      <c r="B77" s="4"/>
      <c r="C77" s="5">
        <f>2494.44</f>
        <v>2494.44</v>
      </c>
      <c r="D77" s="4"/>
      <c r="E77" s="4"/>
      <c r="F77" s="4"/>
      <c r="G77" s="4"/>
      <c r="H77" s="4"/>
      <c r="I77" s="4"/>
      <c r="J77" s="4"/>
      <c r="K77" s="4"/>
      <c r="L77" s="5">
        <f>4244.19</f>
        <v>4244.1899999999996</v>
      </c>
      <c r="M77" s="4"/>
      <c r="N77" s="4"/>
      <c r="O77" s="4"/>
      <c r="P77" s="4"/>
      <c r="Q77" s="4"/>
      <c r="R77" s="5">
        <f>46618</f>
        <v>46618</v>
      </c>
      <c r="S77" s="5">
        <f>18024.14</f>
        <v>18024.14</v>
      </c>
      <c r="T77" s="5">
        <f>48203.18</f>
        <v>48203.18</v>
      </c>
      <c r="U77" s="4"/>
      <c r="V77" s="4"/>
      <c r="W77" s="5">
        <f>4988.88</f>
        <v>4988.88</v>
      </c>
      <c r="X77" s="4"/>
      <c r="Y77" s="4"/>
      <c r="Z77" s="5">
        <f>120764.28</f>
        <v>120764.28</v>
      </c>
      <c r="AA77" s="5">
        <f>0</f>
        <v>0</v>
      </c>
      <c r="AB77" s="5">
        <f>5388</f>
        <v>5388</v>
      </c>
      <c r="AC77" s="4"/>
      <c r="AD77" s="5">
        <f t="shared" si="10"/>
        <v>250725.11</v>
      </c>
    </row>
    <row r="78" spans="1:30" x14ac:dyDescent="0.25">
      <c r="A78" s="3" t="s">
        <v>101</v>
      </c>
      <c r="B78" s="5">
        <f>4024.81</f>
        <v>4024.81</v>
      </c>
      <c r="C78" s="4"/>
      <c r="D78" s="4"/>
      <c r="E78" s="5">
        <f>12689</f>
        <v>12689</v>
      </c>
      <c r="F78" s="4"/>
      <c r="G78" s="4"/>
      <c r="H78" s="4"/>
      <c r="I78" s="5">
        <f>20</f>
        <v>20</v>
      </c>
      <c r="J78" s="5">
        <f>-248.75</f>
        <v>-248.75</v>
      </c>
      <c r="K78" s="4"/>
      <c r="L78" s="4"/>
      <c r="M78" s="5">
        <f>3545</f>
        <v>3545</v>
      </c>
      <c r="N78" s="4"/>
      <c r="O78" s="4"/>
      <c r="P78" s="4"/>
      <c r="Q78" s="4"/>
      <c r="R78" s="4"/>
      <c r="S78" s="5">
        <f>2728</f>
        <v>2728</v>
      </c>
      <c r="T78" s="5">
        <f>3375</f>
        <v>3375</v>
      </c>
      <c r="U78" s="5">
        <f>6311</f>
        <v>6311</v>
      </c>
      <c r="V78" s="4"/>
      <c r="W78" s="5">
        <f>1368</f>
        <v>1368</v>
      </c>
      <c r="X78" s="4"/>
      <c r="Y78" s="4"/>
      <c r="Z78" s="5">
        <f>2650</f>
        <v>2650</v>
      </c>
      <c r="AA78" s="5">
        <f>2856</f>
        <v>2856</v>
      </c>
      <c r="AB78" s="4"/>
      <c r="AC78" s="4"/>
      <c r="AD78" s="5">
        <f t="shared" si="10"/>
        <v>39318.06</v>
      </c>
    </row>
    <row r="79" spans="1:30" x14ac:dyDescent="0.25">
      <c r="A79" s="3" t="s">
        <v>102</v>
      </c>
      <c r="B79" s="5">
        <f>9554.05</f>
        <v>9554.0499999999993</v>
      </c>
      <c r="C79" s="5">
        <f>2193.68</f>
        <v>2193.6799999999998</v>
      </c>
      <c r="D79" s="5">
        <f>1893.46</f>
        <v>1893.46</v>
      </c>
      <c r="E79" s="5">
        <f>7959.44</f>
        <v>7959.44</v>
      </c>
      <c r="F79" s="4"/>
      <c r="G79" s="4"/>
      <c r="H79" s="4"/>
      <c r="I79" s="5">
        <f>39306.18</f>
        <v>39306.18</v>
      </c>
      <c r="J79" s="4"/>
      <c r="K79" s="4"/>
      <c r="L79" s="4"/>
      <c r="M79" s="5">
        <f>2013.63</f>
        <v>2013.63</v>
      </c>
      <c r="N79" s="4"/>
      <c r="O79" s="4"/>
      <c r="P79" s="5">
        <f>145272.76</f>
        <v>145272.76</v>
      </c>
      <c r="Q79" s="4"/>
      <c r="R79" s="4"/>
      <c r="S79" s="5">
        <f>4612.15</f>
        <v>4612.1499999999996</v>
      </c>
      <c r="T79" s="5">
        <f>2158.58</f>
        <v>2158.58</v>
      </c>
      <c r="U79" s="5">
        <f>5825.63</f>
        <v>5825.63</v>
      </c>
      <c r="V79" s="4"/>
      <c r="W79" s="5">
        <f>80557.44</f>
        <v>80557.440000000002</v>
      </c>
      <c r="X79" s="4"/>
      <c r="Y79" s="4"/>
      <c r="Z79" s="5">
        <f>6244.19</f>
        <v>6244.19</v>
      </c>
      <c r="AA79" s="5">
        <f>18468.61</f>
        <v>18468.61</v>
      </c>
      <c r="AB79" s="4"/>
      <c r="AC79" s="4"/>
      <c r="AD79" s="5">
        <f t="shared" si="10"/>
        <v>326059.8</v>
      </c>
    </row>
    <row r="80" spans="1:30" x14ac:dyDescent="0.25">
      <c r="A80" s="3" t="s">
        <v>103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5">
        <f>5651.84</f>
        <v>5651.84</v>
      </c>
      <c r="S80" s="5">
        <f>27059.54</f>
        <v>27059.54</v>
      </c>
      <c r="T80" s="5">
        <f>24958.76</f>
        <v>24958.76</v>
      </c>
      <c r="U80" s="4"/>
      <c r="V80" s="4"/>
      <c r="W80" s="5">
        <f>6651.78</f>
        <v>6651.78</v>
      </c>
      <c r="X80" s="4"/>
      <c r="Y80" s="4"/>
      <c r="Z80" s="4"/>
      <c r="AA80" s="5">
        <f>6318.85</f>
        <v>6318.85</v>
      </c>
      <c r="AB80" s="4"/>
      <c r="AC80" s="4"/>
      <c r="AD80" s="5">
        <f t="shared" si="10"/>
        <v>70640.77</v>
      </c>
    </row>
    <row r="81" spans="1:30" x14ac:dyDescent="0.25">
      <c r="A81" s="3" t="s">
        <v>104</v>
      </c>
      <c r="B81" s="5">
        <f>4221.22</f>
        <v>4221.22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5">
        <f t="shared" si="10"/>
        <v>4221.22</v>
      </c>
    </row>
    <row r="82" spans="1:30" x14ac:dyDescent="0.25">
      <c r="A82" s="3" t="s">
        <v>105</v>
      </c>
      <c r="B82" s="6">
        <f t="shared" ref="B82:AC82" si="14">(((((B76)+(B77))+(B78))+(B79))+(B80))+(B81)</f>
        <v>17800.079999999998</v>
      </c>
      <c r="C82" s="6">
        <f t="shared" si="14"/>
        <v>4688.12</v>
      </c>
      <c r="D82" s="6">
        <f t="shared" si="14"/>
        <v>1893.46</v>
      </c>
      <c r="E82" s="6">
        <f t="shared" si="14"/>
        <v>20648.439999999999</v>
      </c>
      <c r="F82" s="6">
        <f t="shared" si="14"/>
        <v>0</v>
      </c>
      <c r="G82" s="6">
        <f t="shared" si="14"/>
        <v>0</v>
      </c>
      <c r="H82" s="6">
        <f t="shared" si="14"/>
        <v>0</v>
      </c>
      <c r="I82" s="6">
        <f t="shared" si="14"/>
        <v>39326.18</v>
      </c>
      <c r="J82" s="6">
        <f t="shared" si="14"/>
        <v>-248.75</v>
      </c>
      <c r="K82" s="6">
        <f t="shared" si="14"/>
        <v>0</v>
      </c>
      <c r="L82" s="6">
        <f t="shared" si="14"/>
        <v>4244.1899999999996</v>
      </c>
      <c r="M82" s="6">
        <f t="shared" si="14"/>
        <v>5558.63</v>
      </c>
      <c r="N82" s="6">
        <f t="shared" si="14"/>
        <v>0</v>
      </c>
      <c r="O82" s="6">
        <f t="shared" si="14"/>
        <v>0</v>
      </c>
      <c r="P82" s="6">
        <f t="shared" si="14"/>
        <v>145272.76</v>
      </c>
      <c r="Q82" s="6">
        <f t="shared" si="14"/>
        <v>0</v>
      </c>
      <c r="R82" s="6">
        <f t="shared" si="14"/>
        <v>52269.84</v>
      </c>
      <c r="S82" s="6">
        <f t="shared" si="14"/>
        <v>52423.83</v>
      </c>
      <c r="T82" s="6">
        <f t="shared" si="14"/>
        <v>78695.520000000004</v>
      </c>
      <c r="U82" s="6">
        <f t="shared" si="14"/>
        <v>12136.630000000001</v>
      </c>
      <c r="V82" s="6">
        <f t="shared" si="14"/>
        <v>0</v>
      </c>
      <c r="W82" s="6">
        <f t="shared" si="14"/>
        <v>93566.1</v>
      </c>
      <c r="X82" s="6">
        <f t="shared" si="14"/>
        <v>0</v>
      </c>
      <c r="Y82" s="6">
        <f t="shared" si="14"/>
        <v>0</v>
      </c>
      <c r="Z82" s="6">
        <f t="shared" si="14"/>
        <v>129658.47</v>
      </c>
      <c r="AA82" s="6">
        <f t="shared" si="14"/>
        <v>27643.46</v>
      </c>
      <c r="AB82" s="6">
        <f t="shared" si="14"/>
        <v>5388</v>
      </c>
      <c r="AC82" s="6">
        <f t="shared" si="14"/>
        <v>0</v>
      </c>
      <c r="AD82" s="6">
        <f t="shared" si="10"/>
        <v>690964.96</v>
      </c>
    </row>
    <row r="83" spans="1:30" x14ac:dyDescent="0.25">
      <c r="A83" s="3" t="s">
        <v>106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5">
        <f t="shared" si="10"/>
        <v>0</v>
      </c>
    </row>
    <row r="84" spans="1:30" x14ac:dyDescent="0.25">
      <c r="A84" s="3" t="s">
        <v>107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5">
        <f>2751.08</f>
        <v>2751.08</v>
      </c>
      <c r="T84" s="5">
        <f>150</f>
        <v>150</v>
      </c>
      <c r="U84" s="4"/>
      <c r="V84" s="4"/>
      <c r="W84" s="4"/>
      <c r="X84" s="4"/>
      <c r="Y84" s="4"/>
      <c r="Z84" s="4"/>
      <c r="AA84" s="5">
        <f>720</f>
        <v>720</v>
      </c>
      <c r="AB84" s="4"/>
      <c r="AC84" s="4"/>
      <c r="AD84" s="5">
        <f t="shared" si="10"/>
        <v>3621.08</v>
      </c>
    </row>
    <row r="85" spans="1:30" x14ac:dyDescent="0.25">
      <c r="A85" s="3" t="s">
        <v>108</v>
      </c>
      <c r="B85" s="4"/>
      <c r="C85" s="5">
        <f>4497.91</f>
        <v>4497.91</v>
      </c>
      <c r="D85" s="5">
        <f>39727.72</f>
        <v>39727.72</v>
      </c>
      <c r="E85" s="5">
        <f>4572.94</f>
        <v>4572.9399999999996</v>
      </c>
      <c r="F85" s="5">
        <f>7773.69</f>
        <v>7773.69</v>
      </c>
      <c r="G85" s="5">
        <f>1439.43</f>
        <v>1439.43</v>
      </c>
      <c r="H85" s="5">
        <f>2352.16</f>
        <v>2352.16</v>
      </c>
      <c r="I85" s="4"/>
      <c r="J85" s="5">
        <f>125.35</f>
        <v>125.35</v>
      </c>
      <c r="K85" s="5">
        <f>1648.09</f>
        <v>1648.09</v>
      </c>
      <c r="L85" s="5">
        <f>25675.84</f>
        <v>25675.84</v>
      </c>
      <c r="M85" s="5">
        <f>18773.96</f>
        <v>18773.96</v>
      </c>
      <c r="N85" s="5">
        <f>21324.84</f>
        <v>21324.84</v>
      </c>
      <c r="O85" s="5">
        <f>14167.68</f>
        <v>14167.68</v>
      </c>
      <c r="P85" s="5">
        <f>17915.52</f>
        <v>17915.52</v>
      </c>
      <c r="Q85" s="5">
        <f>2133.81</f>
        <v>2133.81</v>
      </c>
      <c r="R85" s="5">
        <f>5433.71</f>
        <v>5433.71</v>
      </c>
      <c r="S85" s="5">
        <f>15729.8</f>
        <v>15729.8</v>
      </c>
      <c r="T85" s="5">
        <f>15782.82</f>
        <v>15782.82</v>
      </c>
      <c r="U85" s="5">
        <f>13489.61</f>
        <v>13489.61</v>
      </c>
      <c r="V85" s="5">
        <f>0</f>
        <v>0</v>
      </c>
      <c r="W85" s="5">
        <f>49181.52</f>
        <v>49181.52</v>
      </c>
      <c r="X85" s="5">
        <f>85.12</f>
        <v>85.12</v>
      </c>
      <c r="Y85" s="5">
        <f>407.53</f>
        <v>407.53</v>
      </c>
      <c r="Z85" s="5">
        <f>51274.29</f>
        <v>51274.29</v>
      </c>
      <c r="AA85" s="5">
        <f>37475.87</f>
        <v>37475.870000000003</v>
      </c>
      <c r="AB85" s="5">
        <f>1754.72</f>
        <v>1754.72</v>
      </c>
      <c r="AC85" s="4"/>
      <c r="AD85" s="5">
        <f t="shared" si="10"/>
        <v>352743.92999999988</v>
      </c>
    </row>
    <row r="86" spans="1:30" x14ac:dyDescent="0.25">
      <c r="A86" s="3" t="s">
        <v>109</v>
      </c>
      <c r="B86" s="6">
        <f t="shared" ref="B86:AC86" si="15">((B83)+(B84))+(B85)</f>
        <v>0</v>
      </c>
      <c r="C86" s="6">
        <f t="shared" si="15"/>
        <v>4497.91</v>
      </c>
      <c r="D86" s="6">
        <f t="shared" si="15"/>
        <v>39727.72</v>
      </c>
      <c r="E86" s="6">
        <f t="shared" si="15"/>
        <v>4572.9399999999996</v>
      </c>
      <c r="F86" s="6">
        <f t="shared" si="15"/>
        <v>7773.69</v>
      </c>
      <c r="G86" s="6">
        <f t="shared" si="15"/>
        <v>1439.43</v>
      </c>
      <c r="H86" s="6">
        <f t="shared" si="15"/>
        <v>2352.16</v>
      </c>
      <c r="I86" s="6">
        <f t="shared" si="15"/>
        <v>0</v>
      </c>
      <c r="J86" s="6">
        <f t="shared" si="15"/>
        <v>125.35</v>
      </c>
      <c r="K86" s="6">
        <f t="shared" si="15"/>
        <v>1648.09</v>
      </c>
      <c r="L86" s="6">
        <f t="shared" si="15"/>
        <v>25675.84</v>
      </c>
      <c r="M86" s="6">
        <f t="shared" si="15"/>
        <v>18773.96</v>
      </c>
      <c r="N86" s="6">
        <f t="shared" si="15"/>
        <v>21324.84</v>
      </c>
      <c r="O86" s="6">
        <f t="shared" si="15"/>
        <v>14167.68</v>
      </c>
      <c r="P86" s="6">
        <f t="shared" si="15"/>
        <v>17915.52</v>
      </c>
      <c r="Q86" s="6">
        <f t="shared" si="15"/>
        <v>2133.81</v>
      </c>
      <c r="R86" s="6">
        <f t="shared" si="15"/>
        <v>5433.71</v>
      </c>
      <c r="S86" s="6">
        <f t="shared" si="15"/>
        <v>18480.879999999997</v>
      </c>
      <c r="T86" s="6">
        <f t="shared" si="15"/>
        <v>15932.82</v>
      </c>
      <c r="U86" s="6">
        <f t="shared" si="15"/>
        <v>13489.61</v>
      </c>
      <c r="V86" s="6">
        <f t="shared" si="15"/>
        <v>0</v>
      </c>
      <c r="W86" s="6">
        <f t="shared" si="15"/>
        <v>49181.52</v>
      </c>
      <c r="X86" s="6">
        <f t="shared" si="15"/>
        <v>85.12</v>
      </c>
      <c r="Y86" s="6">
        <f t="shared" si="15"/>
        <v>407.53</v>
      </c>
      <c r="Z86" s="6">
        <f t="shared" si="15"/>
        <v>51274.29</v>
      </c>
      <c r="AA86" s="6">
        <f t="shared" si="15"/>
        <v>38195.870000000003</v>
      </c>
      <c r="AB86" s="6">
        <f t="shared" si="15"/>
        <v>1754.72</v>
      </c>
      <c r="AC86" s="6">
        <f t="shared" si="15"/>
        <v>0</v>
      </c>
      <c r="AD86" s="6">
        <f t="shared" si="10"/>
        <v>356365.00999999995</v>
      </c>
    </row>
    <row r="87" spans="1:30" x14ac:dyDescent="0.25">
      <c r="A87" s="3" t="s">
        <v>110</v>
      </c>
      <c r="B87" s="6">
        <f t="shared" ref="B87:AC87" si="16">((((((((B33)+(B46))+(B52))+(B53))+(B63))+(B67))+(B75))+(B82))+(B86)</f>
        <v>393706.65000000008</v>
      </c>
      <c r="C87" s="6">
        <f t="shared" si="16"/>
        <v>59999.91</v>
      </c>
      <c r="D87" s="6">
        <f t="shared" si="16"/>
        <v>437004.87</v>
      </c>
      <c r="E87" s="6">
        <f t="shared" si="16"/>
        <v>50730.61</v>
      </c>
      <c r="F87" s="6">
        <f t="shared" si="16"/>
        <v>85483.849999999991</v>
      </c>
      <c r="G87" s="6">
        <f t="shared" si="16"/>
        <v>15833.660000000002</v>
      </c>
      <c r="H87" s="6">
        <f t="shared" si="16"/>
        <v>31754.120000000003</v>
      </c>
      <c r="I87" s="6">
        <f t="shared" si="16"/>
        <v>96316.38</v>
      </c>
      <c r="J87" s="6">
        <f t="shared" si="16"/>
        <v>-262.0699999999996</v>
      </c>
      <c r="K87" s="6">
        <f t="shared" si="16"/>
        <v>18128.95</v>
      </c>
      <c r="L87" s="6">
        <f t="shared" si="16"/>
        <v>282434.18</v>
      </c>
      <c r="M87" s="6">
        <f t="shared" si="16"/>
        <v>162086.60999999999</v>
      </c>
      <c r="N87" s="6">
        <f t="shared" si="16"/>
        <v>199031.8</v>
      </c>
      <c r="O87" s="6">
        <f t="shared" si="16"/>
        <v>132231.66999999998</v>
      </c>
      <c r="P87" s="6">
        <f t="shared" si="16"/>
        <v>197720.68</v>
      </c>
      <c r="Q87" s="6">
        <f t="shared" si="16"/>
        <v>28806.45</v>
      </c>
      <c r="R87" s="6">
        <f t="shared" si="16"/>
        <v>73458.740000000005</v>
      </c>
      <c r="S87" s="6">
        <f t="shared" si="16"/>
        <v>211660.85000000003</v>
      </c>
      <c r="T87" s="6">
        <f t="shared" si="16"/>
        <v>213068.02000000002</v>
      </c>
      <c r="U87" s="6">
        <f t="shared" si="16"/>
        <v>109843.97</v>
      </c>
      <c r="V87" s="6">
        <f t="shared" si="16"/>
        <v>0</v>
      </c>
      <c r="W87" s="6">
        <f t="shared" si="16"/>
        <v>540814.37</v>
      </c>
      <c r="X87" s="6">
        <f t="shared" si="16"/>
        <v>4341.1799999999994</v>
      </c>
      <c r="Y87" s="6">
        <f t="shared" si="16"/>
        <v>4482.87</v>
      </c>
      <c r="Z87" s="6">
        <f t="shared" si="16"/>
        <v>413954.99</v>
      </c>
      <c r="AA87" s="6">
        <f t="shared" si="16"/>
        <v>305160.61</v>
      </c>
      <c r="AB87" s="6">
        <f t="shared" si="16"/>
        <v>24939.120000000003</v>
      </c>
      <c r="AC87" s="6">
        <f t="shared" si="16"/>
        <v>0</v>
      </c>
      <c r="AD87" s="6">
        <f t="shared" si="10"/>
        <v>4092733.0400000014</v>
      </c>
    </row>
    <row r="88" spans="1:30" x14ac:dyDescent="0.25">
      <c r="A88" s="3" t="s">
        <v>111</v>
      </c>
      <c r="B88" s="6">
        <f t="shared" ref="B88:AC88" si="17">(B28)-(B87)</f>
        <v>392179.33</v>
      </c>
      <c r="C88" s="6">
        <f t="shared" si="17"/>
        <v>-0.14000000000669388</v>
      </c>
      <c r="D88" s="6">
        <f t="shared" si="17"/>
        <v>729832.11</v>
      </c>
      <c r="E88" s="6">
        <f t="shared" si="17"/>
        <v>-7251</v>
      </c>
      <c r="F88" s="6">
        <f t="shared" si="17"/>
        <v>-66787.53</v>
      </c>
      <c r="G88" s="6">
        <f t="shared" si="17"/>
        <v>195.8799999999992</v>
      </c>
      <c r="H88" s="6">
        <f t="shared" si="17"/>
        <v>0</v>
      </c>
      <c r="I88" s="6">
        <f t="shared" si="17"/>
        <v>-59787.130000000005</v>
      </c>
      <c r="J88" s="6">
        <f t="shared" si="17"/>
        <v>33068.74</v>
      </c>
      <c r="K88" s="6">
        <f t="shared" si="17"/>
        <v>50961.010000000009</v>
      </c>
      <c r="L88" s="6">
        <f t="shared" si="17"/>
        <v>0</v>
      </c>
      <c r="M88" s="6">
        <f t="shared" si="17"/>
        <v>0</v>
      </c>
      <c r="N88" s="6">
        <f t="shared" si="17"/>
        <v>0</v>
      </c>
      <c r="O88" s="6">
        <f t="shared" si="17"/>
        <v>0</v>
      </c>
      <c r="P88" s="6">
        <f t="shared" si="17"/>
        <v>0</v>
      </c>
      <c r="Q88" s="6">
        <f t="shared" si="17"/>
        <v>0.5499999999992724</v>
      </c>
      <c r="R88" s="6">
        <f t="shared" si="17"/>
        <v>9.9999999947613105E-3</v>
      </c>
      <c r="S88" s="6">
        <f t="shared" si="17"/>
        <v>0</v>
      </c>
      <c r="T88" s="6">
        <f t="shared" si="17"/>
        <v>0</v>
      </c>
      <c r="U88" s="6">
        <f t="shared" si="17"/>
        <v>-500</v>
      </c>
      <c r="V88" s="6">
        <f t="shared" si="17"/>
        <v>0</v>
      </c>
      <c r="W88" s="6">
        <f t="shared" si="17"/>
        <v>-698024.6</v>
      </c>
      <c r="X88" s="6">
        <f t="shared" si="17"/>
        <v>0</v>
      </c>
      <c r="Y88" s="6">
        <f t="shared" si="17"/>
        <v>0</v>
      </c>
      <c r="Z88" s="6">
        <f t="shared" si="17"/>
        <v>3564.1500000000233</v>
      </c>
      <c r="AA88" s="6">
        <f t="shared" si="17"/>
        <v>-6810.2199999999721</v>
      </c>
      <c r="AB88" s="6">
        <f t="shared" si="17"/>
        <v>-24939.120000000003</v>
      </c>
      <c r="AC88" s="6">
        <f t="shared" si="17"/>
        <v>0</v>
      </c>
      <c r="AD88" s="6">
        <f t="shared" si="10"/>
        <v>345702.04000000015</v>
      </c>
    </row>
    <row r="89" spans="1:30" x14ac:dyDescent="0.25">
      <c r="A89" s="3" t="s">
        <v>112</v>
      </c>
      <c r="B89" s="7">
        <f t="shared" ref="B89:AC89" si="18">(B88)+(0)</f>
        <v>392179.33</v>
      </c>
      <c r="C89" s="7">
        <f t="shared" si="18"/>
        <v>-0.14000000000669388</v>
      </c>
      <c r="D89" s="7">
        <f t="shared" si="18"/>
        <v>729832.11</v>
      </c>
      <c r="E89" s="7">
        <f t="shared" si="18"/>
        <v>-7251</v>
      </c>
      <c r="F89" s="7">
        <f t="shared" si="18"/>
        <v>-66787.53</v>
      </c>
      <c r="G89" s="7">
        <f t="shared" si="18"/>
        <v>195.8799999999992</v>
      </c>
      <c r="H89" s="7">
        <f t="shared" si="18"/>
        <v>0</v>
      </c>
      <c r="I89" s="7">
        <f t="shared" si="18"/>
        <v>-59787.130000000005</v>
      </c>
      <c r="J89" s="7">
        <f t="shared" si="18"/>
        <v>33068.74</v>
      </c>
      <c r="K89" s="7">
        <f t="shared" si="18"/>
        <v>50961.010000000009</v>
      </c>
      <c r="L89" s="7">
        <f t="shared" si="18"/>
        <v>0</v>
      </c>
      <c r="M89" s="7">
        <f t="shared" si="18"/>
        <v>0</v>
      </c>
      <c r="N89" s="7">
        <f t="shared" si="18"/>
        <v>0</v>
      </c>
      <c r="O89" s="7">
        <f t="shared" si="18"/>
        <v>0</v>
      </c>
      <c r="P89" s="7">
        <f t="shared" si="18"/>
        <v>0</v>
      </c>
      <c r="Q89" s="7">
        <f t="shared" si="18"/>
        <v>0.5499999999992724</v>
      </c>
      <c r="R89" s="7">
        <f t="shared" si="18"/>
        <v>9.9999999947613105E-3</v>
      </c>
      <c r="S89" s="7">
        <f t="shared" si="18"/>
        <v>0</v>
      </c>
      <c r="T89" s="7">
        <f t="shared" si="18"/>
        <v>0</v>
      </c>
      <c r="U89" s="7">
        <f t="shared" si="18"/>
        <v>-500</v>
      </c>
      <c r="V89" s="7">
        <f t="shared" si="18"/>
        <v>0</v>
      </c>
      <c r="W89" s="7">
        <f t="shared" si="18"/>
        <v>-698024.6</v>
      </c>
      <c r="X89" s="7">
        <f t="shared" si="18"/>
        <v>0</v>
      </c>
      <c r="Y89" s="7">
        <f t="shared" si="18"/>
        <v>0</v>
      </c>
      <c r="Z89" s="7">
        <f t="shared" si="18"/>
        <v>3564.1500000000233</v>
      </c>
      <c r="AA89" s="7">
        <f t="shared" si="18"/>
        <v>-6810.2199999999721</v>
      </c>
      <c r="AB89" s="7">
        <f t="shared" si="18"/>
        <v>-24939.120000000003</v>
      </c>
      <c r="AC89" s="7">
        <f t="shared" si="18"/>
        <v>0</v>
      </c>
      <c r="AD89" s="7">
        <f t="shared" si="10"/>
        <v>345702.04000000015</v>
      </c>
    </row>
    <row r="90" spans="1:30" x14ac:dyDescent="0.25">
      <c r="A90" s="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3" spans="1:30" x14ac:dyDescent="0.25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</row>
  </sheetData>
  <sheetProtection algorithmName="SHA-512" hashValue="mIEzWFcSNOBKnocuhUwBSDAXW5sPgcsB2poyXaI5bfXKYkNiH2oWTY24D5w0TVHyssmDs288w8D4Q2X1kKAIVg==" saltValue="F+nuUNMl/7VR24maBC9Y0A==" spinCount="100000" sheet="1" objects="1" scenarios="1"/>
  <mergeCells count="4">
    <mergeCell ref="A93:AD93"/>
    <mergeCell ref="A1:AD1"/>
    <mergeCell ref="A2:AD2"/>
    <mergeCell ref="A3:AD3"/>
  </mergeCells>
  <pageMargins left="0.7" right="0.7" top="0.75" bottom="0.75" header="0.3" footer="0.3"/>
  <pageSetup paperSize="5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Angie Perkins</cp:lastModifiedBy>
  <cp:lastPrinted>2024-10-28T19:10:04Z</cp:lastPrinted>
  <dcterms:created xsi:type="dcterms:W3CDTF">2024-10-28T19:07:50Z</dcterms:created>
  <dcterms:modified xsi:type="dcterms:W3CDTF">2024-10-28T19:10:25Z</dcterms:modified>
</cp:coreProperties>
</file>