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0"/>
  <workbookPr defaultThemeVersion="166925"/>
  <mc:AlternateContent xmlns:mc="http://schemas.openxmlformats.org/markup-compatibility/2006">
    <mc:Choice Requires="x15">
      <x15ac:absPath xmlns:x15ac="http://schemas.microsoft.com/office/spreadsheetml/2010/11/ac" url="\\061FINANCE\Accounting\BOOKKEEPER\Board Reports\2024-25\October 2024\"/>
    </mc:Choice>
  </mc:AlternateContent>
  <xr:revisionPtr revIDLastSave="0" documentId="13_ncr:1_{2E040ABD-8F09-4771-A8E3-E6BF9EC2B79C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Profit and Loss by Class" sheetId="1" r:id="rId1"/>
  </sheets>
  <calcPr calcId="191029"/>
</workbook>
</file>

<file path=xl/calcChain.xml><?xml version="1.0" encoding="utf-8"?>
<calcChain xmlns="http://schemas.openxmlformats.org/spreadsheetml/2006/main">
  <c r="AC82" i="1" l="1"/>
  <c r="AB82" i="1"/>
  <c r="Z82" i="1"/>
  <c r="X82" i="1"/>
  <c r="V82" i="1"/>
  <c r="R82" i="1"/>
  <c r="P82" i="1"/>
  <c r="N82" i="1"/>
  <c r="J82" i="1"/>
  <c r="I82" i="1"/>
  <c r="H82" i="1"/>
  <c r="F82" i="1"/>
  <c r="E82" i="1"/>
  <c r="B82" i="1"/>
  <c r="AA81" i="1"/>
  <c r="AA82" i="1" s="1"/>
  <c r="Z81" i="1"/>
  <c r="Y81" i="1"/>
  <c r="Y82" i="1" s="1"/>
  <c r="X81" i="1"/>
  <c r="W81" i="1"/>
  <c r="W82" i="1" s="1"/>
  <c r="V81" i="1"/>
  <c r="U81" i="1"/>
  <c r="U82" i="1" s="1"/>
  <c r="T81" i="1"/>
  <c r="T82" i="1" s="1"/>
  <c r="S81" i="1"/>
  <c r="R81" i="1"/>
  <c r="Q81" i="1"/>
  <c r="Q82" i="1" s="1"/>
  <c r="P81" i="1"/>
  <c r="O81" i="1"/>
  <c r="O82" i="1" s="1"/>
  <c r="N81" i="1"/>
  <c r="M81" i="1"/>
  <c r="M82" i="1" s="1"/>
  <c r="L81" i="1"/>
  <c r="L82" i="1" s="1"/>
  <c r="K81" i="1"/>
  <c r="K82" i="1" s="1"/>
  <c r="J81" i="1"/>
  <c r="H81" i="1"/>
  <c r="G81" i="1"/>
  <c r="G82" i="1" s="1"/>
  <c r="F81" i="1"/>
  <c r="E81" i="1"/>
  <c r="D81" i="1"/>
  <c r="D82" i="1" s="1"/>
  <c r="C81" i="1"/>
  <c r="C82" i="1" s="1"/>
  <c r="AD82" i="1" s="1"/>
  <c r="AD80" i="1"/>
  <c r="S80" i="1"/>
  <c r="S82" i="1" s="1"/>
  <c r="AD79" i="1"/>
  <c r="AC78" i="1"/>
  <c r="AB78" i="1"/>
  <c r="Z78" i="1"/>
  <c r="Y78" i="1"/>
  <c r="X78" i="1"/>
  <c r="V78" i="1"/>
  <c r="R78" i="1"/>
  <c r="Q78" i="1"/>
  <c r="O78" i="1"/>
  <c r="N78" i="1"/>
  <c r="K78" i="1"/>
  <c r="I78" i="1"/>
  <c r="H78" i="1"/>
  <c r="G78" i="1"/>
  <c r="F78" i="1"/>
  <c r="E78" i="1"/>
  <c r="AD77" i="1"/>
  <c r="B77" i="1"/>
  <c r="AD76" i="1"/>
  <c r="AA76" i="1"/>
  <c r="W76" i="1"/>
  <c r="T76" i="1"/>
  <c r="S76" i="1"/>
  <c r="AA75" i="1"/>
  <c r="AA78" i="1" s="1"/>
  <c r="Z75" i="1"/>
  <c r="W75" i="1"/>
  <c r="W78" i="1" s="1"/>
  <c r="U75" i="1"/>
  <c r="S75" i="1"/>
  <c r="P75" i="1"/>
  <c r="P78" i="1" s="1"/>
  <c r="M75" i="1"/>
  <c r="M78" i="1" s="1"/>
  <c r="D75" i="1"/>
  <c r="D78" i="1" s="1"/>
  <c r="C75" i="1"/>
  <c r="C78" i="1" s="1"/>
  <c r="B75" i="1"/>
  <c r="AA74" i="1"/>
  <c r="Z74" i="1"/>
  <c r="W74" i="1"/>
  <c r="U74" i="1"/>
  <c r="U78" i="1" s="1"/>
  <c r="S74" i="1"/>
  <c r="J74" i="1"/>
  <c r="J78" i="1" s="1"/>
  <c r="I74" i="1"/>
  <c r="B74" i="1"/>
  <c r="B78" i="1" s="1"/>
  <c r="AA73" i="1"/>
  <c r="Z73" i="1"/>
  <c r="W73" i="1"/>
  <c r="T73" i="1"/>
  <c r="T78" i="1" s="1"/>
  <c r="S73" i="1"/>
  <c r="S78" i="1" s="1"/>
  <c r="R73" i="1"/>
  <c r="L73" i="1"/>
  <c r="L78" i="1" s="1"/>
  <c r="C73" i="1"/>
  <c r="AD73" i="1" s="1"/>
  <c r="AD72" i="1"/>
  <c r="AC71" i="1"/>
  <c r="AB71" i="1"/>
  <c r="Y71" i="1"/>
  <c r="X71" i="1"/>
  <c r="V71" i="1"/>
  <c r="T71" i="1"/>
  <c r="Q71" i="1"/>
  <c r="P71" i="1"/>
  <c r="O71" i="1"/>
  <c r="N71" i="1"/>
  <c r="L71" i="1"/>
  <c r="K71" i="1"/>
  <c r="I71" i="1"/>
  <c r="H71" i="1"/>
  <c r="E71" i="1"/>
  <c r="AA70" i="1"/>
  <c r="Z70" i="1"/>
  <c r="Y70" i="1"/>
  <c r="W70" i="1"/>
  <c r="U70" i="1"/>
  <c r="S70" i="1"/>
  <c r="S71" i="1" s="1"/>
  <c r="M70" i="1"/>
  <c r="J70" i="1"/>
  <c r="AD70" i="1" s="1"/>
  <c r="G70" i="1"/>
  <c r="F70" i="1"/>
  <c r="F71" i="1" s="1"/>
  <c r="D70" i="1"/>
  <c r="C70" i="1"/>
  <c r="B70" i="1"/>
  <c r="J69" i="1"/>
  <c r="J71" i="1" s="1"/>
  <c r="G69" i="1"/>
  <c r="G71" i="1" s="1"/>
  <c r="D69" i="1"/>
  <c r="C69" i="1"/>
  <c r="B69" i="1"/>
  <c r="AA68" i="1"/>
  <c r="Z68" i="1"/>
  <c r="W68" i="1"/>
  <c r="U68" i="1"/>
  <c r="U71" i="1" s="1"/>
  <c r="S68" i="1"/>
  <c r="D68" i="1"/>
  <c r="C68" i="1"/>
  <c r="B68" i="1"/>
  <c r="AD68" i="1" s="1"/>
  <c r="AA67" i="1"/>
  <c r="AA71" i="1" s="1"/>
  <c r="Z67" i="1"/>
  <c r="Z71" i="1" s="1"/>
  <c r="W67" i="1"/>
  <c r="W71" i="1" s="1"/>
  <c r="U67" i="1"/>
  <c r="S67" i="1"/>
  <c r="R67" i="1"/>
  <c r="R71" i="1" s="1"/>
  <c r="M67" i="1"/>
  <c r="M71" i="1" s="1"/>
  <c r="D67" i="1"/>
  <c r="C67" i="1"/>
  <c r="C71" i="1" s="1"/>
  <c r="B67" i="1"/>
  <c r="AD66" i="1"/>
  <c r="S66" i="1"/>
  <c r="D66" i="1"/>
  <c r="B66" i="1"/>
  <c r="S65" i="1"/>
  <c r="D65" i="1"/>
  <c r="AD65" i="1" s="1"/>
  <c r="B65" i="1"/>
  <c r="B71" i="1" s="1"/>
  <c r="AD64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C63" i="1"/>
  <c r="D62" i="1"/>
  <c r="B62" i="1"/>
  <c r="AD62" i="1" s="1"/>
  <c r="AD61" i="1"/>
  <c r="D61" i="1"/>
  <c r="D63" i="1" s="1"/>
  <c r="B61" i="1"/>
  <c r="AD60" i="1"/>
  <c r="AC59" i="1"/>
  <c r="AB59" i="1"/>
  <c r="AA59" i="1"/>
  <c r="Y59" i="1"/>
  <c r="V59" i="1"/>
  <c r="U59" i="1"/>
  <c r="T59" i="1"/>
  <c r="S59" i="1"/>
  <c r="Q59" i="1"/>
  <c r="P59" i="1"/>
  <c r="O59" i="1"/>
  <c r="N59" i="1"/>
  <c r="M59" i="1"/>
  <c r="L59" i="1"/>
  <c r="K59" i="1"/>
  <c r="J59" i="1"/>
  <c r="I59" i="1"/>
  <c r="H59" i="1"/>
  <c r="F59" i="1"/>
  <c r="E59" i="1"/>
  <c r="C59" i="1"/>
  <c r="AD58" i="1"/>
  <c r="B58" i="1"/>
  <c r="AA57" i="1"/>
  <c r="Z57" i="1"/>
  <c r="Z59" i="1" s="1"/>
  <c r="X57" i="1"/>
  <c r="X59" i="1" s="1"/>
  <c r="W57" i="1"/>
  <c r="W59" i="1" s="1"/>
  <c r="U57" i="1"/>
  <c r="S57" i="1"/>
  <c r="R57" i="1"/>
  <c r="R59" i="1" s="1"/>
  <c r="M57" i="1"/>
  <c r="G57" i="1"/>
  <c r="G59" i="1" s="1"/>
  <c r="D57" i="1"/>
  <c r="C57" i="1"/>
  <c r="B57" i="1"/>
  <c r="AD57" i="1" s="1"/>
  <c r="D56" i="1"/>
  <c r="AD56" i="1" s="1"/>
  <c r="B56" i="1"/>
  <c r="D55" i="1"/>
  <c r="B55" i="1"/>
  <c r="AD55" i="1" s="1"/>
  <c r="D54" i="1"/>
  <c r="B54" i="1"/>
  <c r="AD54" i="1" s="1"/>
  <c r="D53" i="1"/>
  <c r="B53" i="1"/>
  <c r="AD53" i="1" s="1"/>
  <c r="D52" i="1"/>
  <c r="AD52" i="1" s="1"/>
  <c r="B52" i="1"/>
  <c r="B59" i="1" s="1"/>
  <c r="AD51" i="1"/>
  <c r="AA50" i="1"/>
  <c r="Z50" i="1"/>
  <c r="W50" i="1"/>
  <c r="U50" i="1"/>
  <c r="M50" i="1"/>
  <c r="I50" i="1"/>
  <c r="F50" i="1"/>
  <c r="E50" i="1"/>
  <c r="D50" i="1"/>
  <c r="C50" i="1"/>
  <c r="B50" i="1"/>
  <c r="AD50" i="1" s="1"/>
  <c r="AC49" i="1"/>
  <c r="AB49" i="1"/>
  <c r="AA49" i="1"/>
  <c r="Y49" i="1"/>
  <c r="X49" i="1"/>
  <c r="V49" i="1"/>
  <c r="T49" i="1"/>
  <c r="Q49" i="1"/>
  <c r="P49" i="1"/>
  <c r="O49" i="1"/>
  <c r="N49" i="1"/>
  <c r="M49" i="1"/>
  <c r="K49" i="1"/>
  <c r="J49" i="1"/>
  <c r="I49" i="1"/>
  <c r="H49" i="1"/>
  <c r="G49" i="1"/>
  <c r="F49" i="1"/>
  <c r="E49" i="1"/>
  <c r="C49" i="1"/>
  <c r="AA48" i="1"/>
  <c r="Z48" i="1"/>
  <c r="W48" i="1"/>
  <c r="U48" i="1"/>
  <c r="U49" i="1" s="1"/>
  <c r="S48" i="1"/>
  <c r="R48" i="1"/>
  <c r="R49" i="1" s="1"/>
  <c r="M48" i="1"/>
  <c r="K48" i="1"/>
  <c r="G48" i="1"/>
  <c r="F48" i="1"/>
  <c r="D48" i="1"/>
  <c r="C48" i="1"/>
  <c r="B48" i="1"/>
  <c r="AD48" i="1" s="1"/>
  <c r="AD47" i="1"/>
  <c r="D47" i="1"/>
  <c r="B47" i="1"/>
  <c r="B46" i="1"/>
  <c r="AD46" i="1" s="1"/>
  <c r="Z45" i="1"/>
  <c r="Z49" i="1" s="1"/>
  <c r="W45" i="1"/>
  <c r="W49" i="1" s="1"/>
  <c r="S45" i="1"/>
  <c r="S49" i="1" s="1"/>
  <c r="N45" i="1"/>
  <c r="L45" i="1"/>
  <c r="L49" i="1" s="1"/>
  <c r="F45" i="1"/>
  <c r="D45" i="1"/>
  <c r="D49" i="1" s="1"/>
  <c r="B45" i="1"/>
  <c r="B49" i="1" s="1"/>
  <c r="AD44" i="1"/>
  <c r="AC43" i="1"/>
  <c r="Y43" i="1"/>
  <c r="V43" i="1"/>
  <c r="T43" i="1"/>
  <c r="O43" i="1"/>
  <c r="M43" i="1"/>
  <c r="J43" i="1"/>
  <c r="I43" i="1"/>
  <c r="AA42" i="1"/>
  <c r="Z42" i="1"/>
  <c r="X42" i="1"/>
  <c r="W42" i="1"/>
  <c r="W43" i="1" s="1"/>
  <c r="U42" i="1"/>
  <c r="S42" i="1"/>
  <c r="P42" i="1"/>
  <c r="N42" i="1"/>
  <c r="M42" i="1"/>
  <c r="F42" i="1"/>
  <c r="E42" i="1"/>
  <c r="C42" i="1"/>
  <c r="AD42" i="1" s="1"/>
  <c r="AA41" i="1"/>
  <c r="Z41" i="1"/>
  <c r="W41" i="1"/>
  <c r="U41" i="1"/>
  <c r="P41" i="1"/>
  <c r="P43" i="1" s="1"/>
  <c r="O41" i="1"/>
  <c r="M41" i="1"/>
  <c r="L41" i="1"/>
  <c r="K41" i="1"/>
  <c r="H41" i="1"/>
  <c r="G41" i="1"/>
  <c r="E41" i="1"/>
  <c r="D41" i="1"/>
  <c r="C41" i="1"/>
  <c r="AD41" i="1" s="1"/>
  <c r="AD40" i="1"/>
  <c r="B40" i="1"/>
  <c r="AA39" i="1"/>
  <c r="S39" i="1"/>
  <c r="N39" i="1"/>
  <c r="D39" i="1"/>
  <c r="B39" i="1"/>
  <c r="AD39" i="1" s="1"/>
  <c r="AD38" i="1"/>
  <c r="AA38" i="1"/>
  <c r="Z38" i="1"/>
  <c r="X38" i="1"/>
  <c r="W38" i="1"/>
  <c r="U38" i="1"/>
  <c r="S38" i="1"/>
  <c r="P38" i="1"/>
  <c r="N38" i="1"/>
  <c r="M38" i="1"/>
  <c r="F38" i="1"/>
  <c r="E38" i="1"/>
  <c r="C38" i="1"/>
  <c r="AA37" i="1"/>
  <c r="W37" i="1"/>
  <c r="S37" i="1"/>
  <c r="O37" i="1"/>
  <c r="N37" i="1"/>
  <c r="M37" i="1"/>
  <c r="L37" i="1"/>
  <c r="H37" i="1"/>
  <c r="H43" i="1" s="1"/>
  <c r="D37" i="1"/>
  <c r="C37" i="1"/>
  <c r="B37" i="1"/>
  <c r="AD37" i="1" s="1"/>
  <c r="AC36" i="1"/>
  <c r="AB36" i="1"/>
  <c r="AA36" i="1"/>
  <c r="Z36" i="1"/>
  <c r="X36" i="1"/>
  <c r="W36" i="1"/>
  <c r="U36" i="1"/>
  <c r="U43" i="1" s="1"/>
  <c r="S36" i="1"/>
  <c r="R36" i="1"/>
  <c r="Q36" i="1"/>
  <c r="P36" i="1"/>
  <c r="M36" i="1"/>
  <c r="L36" i="1"/>
  <c r="K36" i="1"/>
  <c r="G36" i="1"/>
  <c r="F36" i="1"/>
  <c r="E36" i="1"/>
  <c r="D36" i="1"/>
  <c r="C36" i="1"/>
  <c r="B36" i="1"/>
  <c r="AD36" i="1" s="1"/>
  <c r="AC35" i="1"/>
  <c r="AB35" i="1"/>
  <c r="AB43" i="1" s="1"/>
  <c r="AA35" i="1"/>
  <c r="Z35" i="1"/>
  <c r="X35" i="1"/>
  <c r="W35" i="1"/>
  <c r="U35" i="1"/>
  <c r="S35" i="1"/>
  <c r="R35" i="1"/>
  <c r="R43" i="1" s="1"/>
  <c r="Q35" i="1"/>
  <c r="Q43" i="1" s="1"/>
  <c r="P35" i="1"/>
  <c r="O35" i="1"/>
  <c r="N35" i="1"/>
  <c r="M35" i="1"/>
  <c r="L35" i="1"/>
  <c r="K35" i="1"/>
  <c r="K43" i="1" s="1"/>
  <c r="H35" i="1"/>
  <c r="G35" i="1"/>
  <c r="AD35" i="1" s="1"/>
  <c r="F35" i="1"/>
  <c r="E35" i="1"/>
  <c r="D35" i="1"/>
  <c r="C35" i="1"/>
  <c r="B35" i="1"/>
  <c r="AA34" i="1"/>
  <c r="Z34" i="1"/>
  <c r="W34" i="1"/>
  <c r="S34" i="1"/>
  <c r="O34" i="1"/>
  <c r="N34" i="1"/>
  <c r="M34" i="1"/>
  <c r="L34" i="1"/>
  <c r="L43" i="1" s="1"/>
  <c r="H34" i="1"/>
  <c r="D34" i="1"/>
  <c r="D43" i="1" s="1"/>
  <c r="C34" i="1"/>
  <c r="B34" i="1"/>
  <c r="B33" i="1"/>
  <c r="B43" i="1" s="1"/>
  <c r="AA32" i="1"/>
  <c r="AA43" i="1" s="1"/>
  <c r="Z32" i="1"/>
  <c r="Z43" i="1" s="1"/>
  <c r="X32" i="1"/>
  <c r="X43" i="1" s="1"/>
  <c r="W32" i="1"/>
  <c r="U32" i="1"/>
  <c r="S32" i="1"/>
  <c r="S43" i="1" s="1"/>
  <c r="P32" i="1"/>
  <c r="N32" i="1"/>
  <c r="N43" i="1" s="1"/>
  <c r="M32" i="1"/>
  <c r="F32" i="1"/>
  <c r="F43" i="1" s="1"/>
  <c r="E32" i="1"/>
  <c r="AD32" i="1" s="1"/>
  <c r="C32" i="1"/>
  <c r="C43" i="1" s="1"/>
  <c r="AD31" i="1"/>
  <c r="AA30" i="1"/>
  <c r="AA83" i="1" s="1"/>
  <c r="Y30" i="1"/>
  <c r="Y83" i="1" s="1"/>
  <c r="V30" i="1"/>
  <c r="V83" i="1" s="1"/>
  <c r="T30" i="1"/>
  <c r="S30" i="1"/>
  <c r="Q30" i="1"/>
  <c r="Q83" i="1" s="1"/>
  <c r="O30" i="1"/>
  <c r="O83" i="1" s="1"/>
  <c r="L30" i="1"/>
  <c r="K30" i="1"/>
  <c r="K83" i="1" s="1"/>
  <c r="J30" i="1"/>
  <c r="J83" i="1" s="1"/>
  <c r="I30" i="1"/>
  <c r="I83" i="1" s="1"/>
  <c r="G30" i="1"/>
  <c r="C30" i="1"/>
  <c r="AD29" i="1"/>
  <c r="AA29" i="1"/>
  <c r="W29" i="1"/>
  <c r="S29" i="1"/>
  <c r="O29" i="1"/>
  <c r="N29" i="1"/>
  <c r="N30" i="1" s="1"/>
  <c r="M29" i="1"/>
  <c r="L29" i="1"/>
  <c r="H29" i="1"/>
  <c r="H30" i="1" s="1"/>
  <c r="H83" i="1" s="1"/>
  <c r="D29" i="1"/>
  <c r="C29" i="1"/>
  <c r="B29" i="1"/>
  <c r="AC28" i="1"/>
  <c r="AC30" i="1" s="1"/>
  <c r="AC83" i="1" s="1"/>
  <c r="AB28" i="1"/>
  <c r="AB30" i="1" s="1"/>
  <c r="AB83" i="1" s="1"/>
  <c r="AA28" i="1"/>
  <c r="Z28" i="1"/>
  <c r="Z30" i="1" s="1"/>
  <c r="X28" i="1"/>
  <c r="X30" i="1" s="1"/>
  <c r="X83" i="1" s="1"/>
  <c r="W28" i="1"/>
  <c r="W30" i="1" s="1"/>
  <c r="U28" i="1"/>
  <c r="U30" i="1" s="1"/>
  <c r="S28" i="1"/>
  <c r="R28" i="1"/>
  <c r="R30" i="1" s="1"/>
  <c r="R83" i="1" s="1"/>
  <c r="Q28" i="1"/>
  <c r="P28" i="1"/>
  <c r="P30" i="1" s="1"/>
  <c r="M28" i="1"/>
  <c r="M30" i="1" s="1"/>
  <c r="M83" i="1" s="1"/>
  <c r="L28" i="1"/>
  <c r="K28" i="1"/>
  <c r="G28" i="1"/>
  <c r="F28" i="1"/>
  <c r="F30" i="1" s="1"/>
  <c r="F83" i="1" s="1"/>
  <c r="E28" i="1"/>
  <c r="E30" i="1" s="1"/>
  <c r="D28" i="1"/>
  <c r="D30" i="1" s="1"/>
  <c r="C28" i="1"/>
  <c r="B28" i="1"/>
  <c r="AD28" i="1" s="1"/>
  <c r="AD27" i="1"/>
  <c r="AC24" i="1"/>
  <c r="AC25" i="1" s="1"/>
  <c r="AC84" i="1" s="1"/>
  <c r="AC85" i="1" s="1"/>
  <c r="U24" i="1"/>
  <c r="U25" i="1" s="1"/>
  <c r="M24" i="1"/>
  <c r="M25" i="1" s="1"/>
  <c r="M84" i="1" s="1"/>
  <c r="M85" i="1" s="1"/>
  <c r="E24" i="1"/>
  <c r="E25" i="1" s="1"/>
  <c r="AC23" i="1"/>
  <c r="AB23" i="1"/>
  <c r="Z23" i="1"/>
  <c r="V23" i="1"/>
  <c r="U23" i="1"/>
  <c r="R23" i="1"/>
  <c r="Q23" i="1"/>
  <c r="M23" i="1"/>
  <c r="L23" i="1"/>
  <c r="K23" i="1"/>
  <c r="J23" i="1"/>
  <c r="I23" i="1"/>
  <c r="H23" i="1"/>
  <c r="G23" i="1"/>
  <c r="E23" i="1"/>
  <c r="D23" i="1"/>
  <c r="B23" i="1"/>
  <c r="AA22" i="1"/>
  <c r="AA23" i="1" s="1"/>
  <c r="Z22" i="1"/>
  <c r="Y22" i="1"/>
  <c r="Y23" i="1" s="1"/>
  <c r="X22" i="1"/>
  <c r="X23" i="1" s="1"/>
  <c r="W22" i="1"/>
  <c r="W23" i="1" s="1"/>
  <c r="W24" i="1" s="1"/>
  <c r="W25" i="1" s="1"/>
  <c r="U22" i="1"/>
  <c r="T22" i="1"/>
  <c r="T23" i="1" s="1"/>
  <c r="S22" i="1"/>
  <c r="S23" i="1" s="1"/>
  <c r="P22" i="1"/>
  <c r="P23" i="1" s="1"/>
  <c r="M22" i="1"/>
  <c r="F22" i="1"/>
  <c r="F23" i="1" s="1"/>
  <c r="C22" i="1"/>
  <c r="AD22" i="1" s="1"/>
  <c r="O21" i="1"/>
  <c r="O23" i="1" s="1"/>
  <c r="O24" i="1" s="1"/>
  <c r="O25" i="1" s="1"/>
  <c r="N21" i="1"/>
  <c r="N23" i="1" s="1"/>
  <c r="L21" i="1"/>
  <c r="AD20" i="1"/>
  <c r="B19" i="1"/>
  <c r="AD19" i="1" s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F18" i="1"/>
  <c r="E18" i="1"/>
  <c r="C18" i="1"/>
  <c r="B18" i="1"/>
  <c r="AD17" i="1"/>
  <c r="D17" i="1"/>
  <c r="K16" i="1"/>
  <c r="G16" i="1"/>
  <c r="G18" i="1" s="1"/>
  <c r="G24" i="1" s="1"/>
  <c r="G25" i="1" s="1"/>
  <c r="D16" i="1"/>
  <c r="AD16" i="1" s="1"/>
  <c r="AC15" i="1"/>
  <c r="AB15" i="1"/>
  <c r="AB24" i="1" s="1"/>
  <c r="AB25" i="1" s="1"/>
  <c r="AA15" i="1"/>
  <c r="AA24" i="1" s="1"/>
  <c r="AA25" i="1" s="1"/>
  <c r="AA84" i="1" s="1"/>
  <c r="AA85" i="1" s="1"/>
  <c r="Z15" i="1"/>
  <c r="Z24" i="1" s="1"/>
  <c r="Z25" i="1" s="1"/>
  <c r="Y15" i="1"/>
  <c r="X15" i="1"/>
  <c r="X24" i="1" s="1"/>
  <c r="X25" i="1" s="1"/>
  <c r="X84" i="1" s="1"/>
  <c r="X85" i="1" s="1"/>
  <c r="W15" i="1"/>
  <c r="V15" i="1"/>
  <c r="V24" i="1" s="1"/>
  <c r="V25" i="1" s="1"/>
  <c r="V84" i="1" s="1"/>
  <c r="V85" i="1" s="1"/>
  <c r="U15" i="1"/>
  <c r="T15" i="1"/>
  <c r="T24" i="1" s="1"/>
  <c r="T25" i="1" s="1"/>
  <c r="S15" i="1"/>
  <c r="R15" i="1"/>
  <c r="R24" i="1" s="1"/>
  <c r="R25" i="1" s="1"/>
  <c r="R84" i="1" s="1"/>
  <c r="R85" i="1" s="1"/>
  <c r="Q15" i="1"/>
  <c r="Q24" i="1" s="1"/>
  <c r="Q25" i="1" s="1"/>
  <c r="Q84" i="1" s="1"/>
  <c r="Q85" i="1" s="1"/>
  <c r="P15" i="1"/>
  <c r="P24" i="1" s="1"/>
  <c r="P25" i="1" s="1"/>
  <c r="O15" i="1"/>
  <c r="N15" i="1"/>
  <c r="N24" i="1" s="1"/>
  <c r="N25" i="1" s="1"/>
  <c r="M15" i="1"/>
  <c r="L15" i="1"/>
  <c r="L24" i="1" s="1"/>
  <c r="L25" i="1" s="1"/>
  <c r="K15" i="1"/>
  <c r="K24" i="1" s="1"/>
  <c r="K25" i="1" s="1"/>
  <c r="K84" i="1" s="1"/>
  <c r="K85" i="1" s="1"/>
  <c r="I15" i="1"/>
  <c r="I24" i="1" s="1"/>
  <c r="I25" i="1" s="1"/>
  <c r="H15" i="1"/>
  <c r="H24" i="1" s="1"/>
  <c r="H25" i="1" s="1"/>
  <c r="H84" i="1" s="1"/>
  <c r="H85" i="1" s="1"/>
  <c r="G15" i="1"/>
  <c r="F15" i="1"/>
  <c r="E15" i="1"/>
  <c r="D15" i="1"/>
  <c r="C15" i="1"/>
  <c r="B14" i="1"/>
  <c r="AD14" i="1" s="1"/>
  <c r="B13" i="1"/>
  <c r="AD13" i="1" s="1"/>
  <c r="B12" i="1"/>
  <c r="AD12" i="1" s="1"/>
  <c r="AD11" i="1"/>
  <c r="I11" i="1"/>
  <c r="J10" i="1"/>
  <c r="AD10" i="1" s="1"/>
  <c r="I10" i="1"/>
  <c r="AD9" i="1"/>
  <c r="B9" i="1"/>
  <c r="B8" i="1"/>
  <c r="AD8" i="1" s="1"/>
  <c r="AD7" i="1"/>
  <c r="AB84" i="1" l="1"/>
  <c r="AB85" i="1" s="1"/>
  <c r="Z83" i="1"/>
  <c r="C83" i="1"/>
  <c r="S83" i="1"/>
  <c r="I84" i="1"/>
  <c r="I85" i="1" s="1"/>
  <c r="P83" i="1"/>
  <c r="T83" i="1"/>
  <c r="T84" i="1" s="1"/>
  <c r="T85" i="1" s="1"/>
  <c r="N83" i="1"/>
  <c r="F24" i="1"/>
  <c r="F25" i="1" s="1"/>
  <c r="F84" i="1" s="1"/>
  <c r="F85" i="1" s="1"/>
  <c r="P84" i="1"/>
  <c r="P85" i="1" s="1"/>
  <c r="AD49" i="1"/>
  <c r="Y24" i="1"/>
  <c r="Y25" i="1" s="1"/>
  <c r="Y84" i="1" s="1"/>
  <c r="Y85" i="1" s="1"/>
  <c r="O84" i="1"/>
  <c r="O85" i="1" s="1"/>
  <c r="U83" i="1"/>
  <c r="U84" i="1" s="1"/>
  <c r="U85" i="1" s="1"/>
  <c r="L83" i="1"/>
  <c r="L84" i="1" s="1"/>
  <c r="L85" i="1" s="1"/>
  <c r="AD59" i="1"/>
  <c r="N84" i="1"/>
  <c r="N85" i="1" s="1"/>
  <c r="Z84" i="1"/>
  <c r="Z85" i="1" s="1"/>
  <c r="W83" i="1"/>
  <c r="W84" i="1" s="1"/>
  <c r="W85" i="1" s="1"/>
  <c r="AD78" i="1"/>
  <c r="S24" i="1"/>
  <c r="S25" i="1" s="1"/>
  <c r="AD74" i="1"/>
  <c r="D18" i="1"/>
  <c r="AD18" i="1" s="1"/>
  <c r="C23" i="1"/>
  <c r="C24" i="1" s="1"/>
  <c r="C25" i="1" s="1"/>
  <c r="C84" i="1" s="1"/>
  <c r="C85" i="1" s="1"/>
  <c r="B30" i="1"/>
  <c r="D59" i="1"/>
  <c r="D83" i="1" s="1"/>
  <c r="E43" i="1"/>
  <c r="E83" i="1" s="1"/>
  <c r="E84" i="1" s="1"/>
  <c r="E85" i="1" s="1"/>
  <c r="AD21" i="1"/>
  <c r="AD45" i="1"/>
  <c r="B63" i="1"/>
  <c r="AD63" i="1" s="1"/>
  <c r="AD67" i="1"/>
  <c r="D71" i="1"/>
  <c r="AD71" i="1" s="1"/>
  <c r="AD75" i="1"/>
  <c r="AD81" i="1"/>
  <c r="AD34" i="1"/>
  <c r="B15" i="1"/>
  <c r="J15" i="1"/>
  <c r="J24" i="1" s="1"/>
  <c r="J25" i="1" s="1"/>
  <c r="J84" i="1" s="1"/>
  <c r="J85" i="1" s="1"/>
  <c r="AD33" i="1"/>
  <c r="G43" i="1"/>
  <c r="G83" i="1" s="1"/>
  <c r="G84" i="1" s="1"/>
  <c r="G85" i="1" s="1"/>
  <c r="AD69" i="1"/>
  <c r="AD30" i="1" l="1"/>
  <c r="B83" i="1"/>
  <c r="AD83" i="1" s="1"/>
  <c r="AD43" i="1"/>
  <c r="AD23" i="1"/>
  <c r="S84" i="1"/>
  <c r="S85" i="1" s="1"/>
  <c r="AD15" i="1"/>
  <c r="B24" i="1"/>
  <c r="D24" i="1"/>
  <c r="D25" i="1" s="1"/>
  <c r="D84" i="1" s="1"/>
  <c r="D85" i="1" s="1"/>
  <c r="B25" i="1" l="1"/>
  <c r="AD24" i="1"/>
  <c r="B84" i="1" l="1"/>
  <c r="AD25" i="1"/>
  <c r="AD84" i="1" l="1"/>
  <c r="B85" i="1"/>
  <c r="AD85" i="1" s="1"/>
</calcChain>
</file>

<file path=xl/sharedStrings.xml><?xml version="1.0" encoding="utf-8"?>
<sst xmlns="http://schemas.openxmlformats.org/spreadsheetml/2006/main" count="112" uniqueCount="112">
  <si>
    <t>0010 - Operations</t>
  </si>
  <si>
    <t>0065 - CRRSA</t>
  </si>
  <si>
    <t>1100 - RSP</t>
  </si>
  <si>
    <t>1135 - DEI Grant</t>
  </si>
  <si>
    <t>1260- Positive Action</t>
  </si>
  <si>
    <t>1310 - EL Local</t>
  </si>
  <si>
    <t>1415 - NKU Regional Consultant</t>
  </si>
  <si>
    <t>1509 - Professional Development</t>
  </si>
  <si>
    <t>1550 - Special Ed PD</t>
  </si>
  <si>
    <t>1975 - YSA</t>
  </si>
  <si>
    <t>2010 - FRYSC State</t>
  </si>
  <si>
    <t>2800 - Arts in Education</t>
  </si>
  <si>
    <t>2910 - DAIL</t>
  </si>
  <si>
    <t>2943 - DCBS</t>
  </si>
  <si>
    <t>3010 - FRYSC - Fed</t>
  </si>
  <si>
    <t>3220 - PERS Effectiveness Coach</t>
  </si>
  <si>
    <t>3299 - ARP</t>
  </si>
  <si>
    <t>336K - IDEA B 23-24</t>
  </si>
  <si>
    <t>336L - IDEA B 24-25</t>
  </si>
  <si>
    <t>3416- SPF</t>
  </si>
  <si>
    <t>3420 - Interact for Health</t>
  </si>
  <si>
    <t>3425 - Deeper Learning</t>
  </si>
  <si>
    <t>345K - Title III EL 23-24</t>
  </si>
  <si>
    <t>3601 - School Based Interventions</t>
  </si>
  <si>
    <t>3800 - Trauma Informed</t>
  </si>
  <si>
    <t>3925 - Mental Health</t>
  </si>
  <si>
    <t>3931 - RSP SBMH Counselor</t>
  </si>
  <si>
    <t>Not Specified</t>
  </si>
  <si>
    <t>TOTAL</t>
  </si>
  <si>
    <t>Income</t>
  </si>
  <si>
    <t xml:space="preserve">   31100 UNRESTRICTED INCOME</t>
  </si>
  <si>
    <t xml:space="preserve">      31111 MEMBERSHIPS</t>
  </si>
  <si>
    <t xml:space="preserve">      31510 INTEREST</t>
  </si>
  <si>
    <t xml:space="preserve">      31636 REGISTRATIONS</t>
  </si>
  <si>
    <t xml:space="preserve">      31980 REFUNDS &amp; REIMBURSEMENTS</t>
  </si>
  <si>
    <t xml:space="preserve">      31981 KEDC REBATE (KPC) &amp;GRREC (AEPA)</t>
  </si>
  <si>
    <t xml:space="preserve">      31996 INDIRECT COSTS RECEIPTS</t>
  </si>
  <si>
    <t xml:space="preserve">      31999 MISC. REVENUES</t>
  </si>
  <si>
    <t xml:space="preserve">   Total 31100 UNRESTRICTED INCOME</t>
  </si>
  <si>
    <t xml:space="preserve">   31310 SLOTS/TUITION/BUY-IN</t>
  </si>
  <si>
    <t xml:space="preserve">      31311 NKCES/MENTAL HEALTH THERAPY</t>
  </si>
  <si>
    <t xml:space="preserve">   Total 31310 SLOTS/TUITION/BUY-IN</t>
  </si>
  <si>
    <t xml:space="preserve">   31985 SICK LEAVE ESCROW</t>
  </si>
  <si>
    <t xml:space="preserve">   33000 RESTRICTED RECEIPTS</t>
  </si>
  <si>
    <t xml:space="preserve">      33200 STATE  RECEIPTS</t>
  </si>
  <si>
    <t xml:space="preserve">      34500 FEDERAL RECEIPTS</t>
  </si>
  <si>
    <t xml:space="preserve">   Total 33000 RESTRICTED RECEIPTS</t>
  </si>
  <si>
    <t>Total Income</t>
  </si>
  <si>
    <t>Gross Profit</t>
  </si>
  <si>
    <t>Expenses</t>
  </si>
  <si>
    <t xml:space="preserve">   40100 PERSONNEL</t>
  </si>
  <si>
    <t xml:space="preserve">      40110 CERTIFIED PERSONNEL</t>
  </si>
  <si>
    <t xml:space="preserve">      40130 CLASSIFIED PERSONNEL</t>
  </si>
  <si>
    <t xml:space="preserve">   Total 40100 PERSONNEL</t>
  </si>
  <si>
    <t xml:space="preserve">   40200 FRINGE</t>
  </si>
  <si>
    <t xml:space="preserve">      40211 LIFE INSURANCE</t>
  </si>
  <si>
    <t xml:space="preserve">      40214 DENTAL INSURANCE</t>
  </si>
  <si>
    <t xml:space="preserve">      40221 SOC SEC TAX</t>
  </si>
  <si>
    <t xml:space="preserve">      40222 MEDICARE TAX</t>
  </si>
  <si>
    <t xml:space="preserve">      40231 TEACHER RETIREMENT</t>
  </si>
  <si>
    <t xml:space="preserve">      40232 COUNTY RETIREMENT</t>
  </si>
  <si>
    <t xml:space="preserve">      40233 HEALTH INSURANCE</t>
  </si>
  <si>
    <t xml:space="preserve">      40253 UNEMPLOYMENT</t>
  </si>
  <si>
    <t xml:space="preserve">      40260 WORKERS COMPENSATION</t>
  </si>
  <si>
    <t xml:space="preserve">      40291 SICK LEAVE PROGRAM</t>
  </si>
  <si>
    <t xml:space="preserve">      40294 ADMININSTRATIVE COST - INS</t>
  </si>
  <si>
    <t xml:space="preserve">   Total 40200 FRINGE</t>
  </si>
  <si>
    <t xml:space="preserve">   40300 PROFESSIONAL SERVICES</t>
  </si>
  <si>
    <t xml:space="preserve">      40330 OTHER PROFESSIONAL SERVICES</t>
  </si>
  <si>
    <t xml:space="preserve">      40331 AUDIT</t>
  </si>
  <si>
    <t xml:space="preserve">      40333 PAYROLL SERVICES</t>
  </si>
  <si>
    <t xml:space="preserve">      40340 TECHNICAL SERVICES</t>
  </si>
  <si>
    <t xml:space="preserve">   Total 40300 PROFESSIONAL SERVICES</t>
  </si>
  <si>
    <t xml:space="preserve">   40335 CONTRACTED SERVICE</t>
  </si>
  <si>
    <t xml:space="preserve">   40400 REPAIR/MAINTENANCE</t>
  </si>
  <si>
    <t xml:space="preserve">      40411 WATER</t>
  </si>
  <si>
    <t xml:space="preserve">      40420 MOWING</t>
  </si>
  <si>
    <t xml:space="preserve">      40421 SANITATION SERVICE</t>
  </si>
  <si>
    <t xml:space="preserve">      40430 FACILITIES/REPAIR/MAINTENANCE</t>
  </si>
  <si>
    <t xml:space="preserve">      40620 UTILITIES - GAS/ELECTRIC</t>
  </si>
  <si>
    <t xml:space="preserve">      40648 SOFTWARE/SOFTWARE MAINT</t>
  </si>
  <si>
    <t xml:space="preserve">      40733 FURNITURE</t>
  </si>
  <si>
    <t xml:space="preserve">   Total 40400 REPAIR/MAINTENANCE</t>
  </si>
  <si>
    <t xml:space="preserve">   40500 INSURANCE</t>
  </si>
  <si>
    <t xml:space="preserve">      40520 LIABILITY INSURANCE</t>
  </si>
  <si>
    <t xml:space="preserve">      40522 PROPERTY INSURANCE</t>
  </si>
  <si>
    <t xml:space="preserve">   Total 40500 INSURANCE</t>
  </si>
  <si>
    <t xml:space="preserve">   40600 OFFICE EXPENSE</t>
  </si>
  <si>
    <t xml:space="preserve">      40440 POSTAGE MACHINE RENTAL</t>
  </si>
  <si>
    <t xml:space="preserve">      40531 POSTAGE</t>
  </si>
  <si>
    <t xml:space="preserve">      40532 TELEPHONE</t>
  </si>
  <si>
    <t xml:space="preserve">      40550 PRINTING</t>
  </si>
  <si>
    <t xml:space="preserve">      40605 FOOD</t>
  </si>
  <si>
    <t xml:space="preserve">      40610 SUPPLIES</t>
  </si>
  <si>
    <t xml:space="preserve">   Total 40600 OFFICE EXPENSE</t>
  </si>
  <si>
    <t xml:space="preserve">   40700 PROGRAM EXPENSES</t>
  </si>
  <si>
    <t xml:space="preserve">      40320 EDUCATIONAL SERVICES</t>
  </si>
  <si>
    <t xml:space="preserve">      40339 REGISTRATION FEE</t>
  </si>
  <si>
    <t xml:space="preserve">      40580 TRAVEL</t>
  </si>
  <si>
    <t xml:space="preserve">      40640 BOOKS/PERIODICALS</t>
  </si>
  <si>
    <t xml:space="preserve">      40720 Interest on Loan</t>
  </si>
  <si>
    <t xml:space="preserve">   Total 40700 PROGRAM EXPENSES</t>
  </si>
  <si>
    <t xml:space="preserve">   40800 OTHER EXPENSES</t>
  </si>
  <si>
    <t xml:space="preserve">      40810 DUES AND FEES</t>
  </si>
  <si>
    <t xml:space="preserve">      40933 INDIRECT COSTS</t>
  </si>
  <si>
    <t xml:space="preserve">   Total 40800 OTHER EXPENSES</t>
  </si>
  <si>
    <t>Total Expenses</t>
  </si>
  <si>
    <t>Net Operating Income</t>
  </si>
  <si>
    <t>Net Income</t>
  </si>
  <si>
    <t>Northern Kentucky Cooperative For Educational Services</t>
  </si>
  <si>
    <t>Profit and Loss by Class</t>
  </si>
  <si>
    <t>July - August,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</si>
</sst>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&quot;$&quot;* #,##0.00\ _€"/>
  </numFmts>
  <fonts count="6" x14ac:knownFonts="1">
    <font>
      <sz val="11"/>
      <color indexed="8"/>
      <name val="Calibri"/>
      <family val="2"/>
      <scheme val="minor"/>
    </font>
    <font>
      <b/>
      <sz val="9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b/>
      <sz val="14"/>
      <color indexed="8"/>
      <name val="Arial"/>
    </font>
    <font>
      <b/>
      <sz val="10"/>
      <color indexed="8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165" fontId="2" fillId="0" borderId="3" xfId="0" applyNumberFormat="1" applyFont="1" applyBorder="1" applyAlignment="1">
      <alignment horizontal="right" wrapText="1"/>
    </xf>
    <xf numFmtId="0" fontId="3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89"/>
  <sheetViews>
    <sheetView tabSelected="1" topLeftCell="F1" workbookViewId="0">
      <selection activeCell="AC7" sqref="AC7"/>
    </sheetView>
  </sheetViews>
  <sheetFormatPr defaultRowHeight="15" x14ac:dyDescent="0.25"/>
  <cols>
    <col min="1" max="1" width="37.85546875" customWidth="1"/>
    <col min="2" max="2" width="10.28515625" customWidth="1"/>
    <col min="3" max="3" width="11.140625" customWidth="1"/>
    <col min="4" max="4" width="12" customWidth="1"/>
    <col min="5" max="6" width="11.140625" customWidth="1"/>
    <col min="7" max="7" width="10.28515625" customWidth="1"/>
    <col min="8" max="9" width="11.140625" customWidth="1"/>
    <col min="10" max="11" width="9.42578125" customWidth="1"/>
    <col min="12" max="12" width="10.28515625" customWidth="1"/>
    <col min="13" max="13" width="9.42578125" customWidth="1"/>
    <col min="14" max="14" width="10.28515625" customWidth="1"/>
    <col min="15" max="15" width="11.140625" customWidth="1"/>
    <col min="16" max="16" width="10.28515625" customWidth="1"/>
    <col min="17" max="18" width="11.140625" customWidth="1"/>
    <col min="19" max="19" width="10.28515625" customWidth="1"/>
    <col min="20" max="21" width="9.42578125" customWidth="1"/>
    <col min="22" max="22" width="7.7109375" customWidth="1"/>
    <col min="23" max="23" width="12" customWidth="1"/>
    <col min="24" max="25" width="8.5703125" customWidth="1"/>
    <col min="26" max="28" width="10.28515625" customWidth="1"/>
    <col min="29" max="29" width="7.7109375" hidden="1" customWidth="1"/>
    <col min="30" max="30" width="12" customWidth="1"/>
  </cols>
  <sheetData>
    <row r="1" spans="1:30" ht="18" x14ac:dyDescent="0.25">
      <c r="A1" s="10" t="s">
        <v>109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</row>
    <row r="2" spans="1:30" ht="18" x14ac:dyDescent="0.25">
      <c r="A2" s="10" t="s">
        <v>110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</row>
    <row r="3" spans="1:30" x14ac:dyDescent="0.25">
      <c r="A3" s="11" t="s">
        <v>111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</row>
    <row r="5" spans="1:30" ht="60.75" x14ac:dyDescent="0.25">
      <c r="A5" s="1"/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2" t="s">
        <v>10</v>
      </c>
      <c r="M5" s="2" t="s">
        <v>11</v>
      </c>
      <c r="N5" s="2" t="s">
        <v>12</v>
      </c>
      <c r="O5" s="2" t="s">
        <v>13</v>
      </c>
      <c r="P5" s="2" t="s">
        <v>14</v>
      </c>
      <c r="Q5" s="2" t="s">
        <v>15</v>
      </c>
      <c r="R5" s="2" t="s">
        <v>16</v>
      </c>
      <c r="S5" s="2" t="s">
        <v>17</v>
      </c>
      <c r="T5" s="2" t="s">
        <v>18</v>
      </c>
      <c r="U5" s="2" t="s">
        <v>19</v>
      </c>
      <c r="V5" s="2" t="s">
        <v>20</v>
      </c>
      <c r="W5" s="2" t="s">
        <v>21</v>
      </c>
      <c r="X5" s="2" t="s">
        <v>22</v>
      </c>
      <c r="Y5" s="2" t="s">
        <v>23</v>
      </c>
      <c r="Z5" s="2" t="s">
        <v>24</v>
      </c>
      <c r="AA5" s="2" t="s">
        <v>25</v>
      </c>
      <c r="AB5" s="2" t="s">
        <v>26</v>
      </c>
      <c r="AC5" s="2" t="s">
        <v>27</v>
      </c>
      <c r="AD5" s="2" t="s">
        <v>28</v>
      </c>
    </row>
    <row r="6" spans="1:30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x14ac:dyDescent="0.25">
      <c r="A7" s="3" t="s">
        <v>30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5">
        <f t="shared" ref="AD7:AD25" si="0">(((((((((((((((((((((((((((B7)+(C7))+(D7))+(E7))+(F7))+(G7))+(H7))+(I7))+(J7))+(K7))+(L7))+(M7))+(N7))+(O7))+(P7))+(Q7))+(R7))+(S7))+(T7))+(U7))+(V7))+(W7))+(X7))+(Y7))+(Z7))+(AA7))+(AB7))+(AC7)</f>
        <v>0</v>
      </c>
    </row>
    <row r="8" spans="1:30" x14ac:dyDescent="0.25">
      <c r="A8" s="3" t="s">
        <v>31</v>
      </c>
      <c r="B8" s="5">
        <f>283131.02</f>
        <v>283131.02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5">
        <f t="shared" si="0"/>
        <v>283131.02</v>
      </c>
    </row>
    <row r="9" spans="1:30" x14ac:dyDescent="0.25">
      <c r="A9" s="3" t="s">
        <v>32</v>
      </c>
      <c r="B9" s="5">
        <f>25892.06</f>
        <v>25892.06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5">
        <f t="shared" si="0"/>
        <v>25892.06</v>
      </c>
    </row>
    <row r="10" spans="1:30" x14ac:dyDescent="0.25">
      <c r="A10" s="3" t="s">
        <v>33</v>
      </c>
      <c r="B10" s="4"/>
      <c r="C10" s="4"/>
      <c r="D10" s="4"/>
      <c r="E10" s="4"/>
      <c r="F10" s="4"/>
      <c r="G10" s="4"/>
      <c r="H10" s="4"/>
      <c r="I10" s="5">
        <f>22533.26</f>
        <v>22533.26</v>
      </c>
      <c r="J10" s="5">
        <f>31806.67</f>
        <v>31806.67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5">
        <f t="shared" si="0"/>
        <v>54339.929999999993</v>
      </c>
    </row>
    <row r="11" spans="1:30" x14ac:dyDescent="0.25">
      <c r="A11" s="3" t="s">
        <v>34</v>
      </c>
      <c r="B11" s="4"/>
      <c r="C11" s="4"/>
      <c r="D11" s="4"/>
      <c r="E11" s="4"/>
      <c r="F11" s="4"/>
      <c r="G11" s="4"/>
      <c r="H11" s="4"/>
      <c r="I11" s="5">
        <f>1295.99</f>
        <v>1295.99</v>
      </c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5">
        <f t="shared" si="0"/>
        <v>1295.99</v>
      </c>
    </row>
    <row r="12" spans="1:30" x14ac:dyDescent="0.25">
      <c r="A12" s="3" t="s">
        <v>35</v>
      </c>
      <c r="B12" s="5">
        <f>32562.48</f>
        <v>32562.48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5">
        <f t="shared" si="0"/>
        <v>32562.48</v>
      </c>
    </row>
    <row r="13" spans="1:30" x14ac:dyDescent="0.25">
      <c r="A13" s="3" t="s">
        <v>36</v>
      </c>
      <c r="B13" s="5">
        <f>214799.48</f>
        <v>214799.48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5">
        <f t="shared" si="0"/>
        <v>214799.48</v>
      </c>
    </row>
    <row r="14" spans="1:30" x14ac:dyDescent="0.25">
      <c r="A14" s="3" t="s">
        <v>37</v>
      </c>
      <c r="B14" s="5">
        <f>0</f>
        <v>0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5">
        <f t="shared" si="0"/>
        <v>0</v>
      </c>
    </row>
    <row r="15" spans="1:30" x14ac:dyDescent="0.25">
      <c r="A15" s="3" t="s">
        <v>38</v>
      </c>
      <c r="B15" s="6">
        <f t="shared" ref="B15:AC15" si="1">(((((((B7)+(B8))+(B9))+(B10))+(B11))+(B12))+(B13))+(B14)</f>
        <v>556385.04</v>
      </c>
      <c r="C15" s="6">
        <f t="shared" si="1"/>
        <v>0</v>
      </c>
      <c r="D15" s="6">
        <f t="shared" si="1"/>
        <v>0</v>
      </c>
      <c r="E15" s="6">
        <f t="shared" si="1"/>
        <v>0</v>
      </c>
      <c r="F15" s="6">
        <f t="shared" si="1"/>
        <v>0</v>
      </c>
      <c r="G15" s="6">
        <f t="shared" si="1"/>
        <v>0</v>
      </c>
      <c r="H15" s="6">
        <f t="shared" si="1"/>
        <v>0</v>
      </c>
      <c r="I15" s="6">
        <f t="shared" si="1"/>
        <v>23829.25</v>
      </c>
      <c r="J15" s="6">
        <f t="shared" si="1"/>
        <v>31806.67</v>
      </c>
      <c r="K15" s="6">
        <f t="shared" si="1"/>
        <v>0</v>
      </c>
      <c r="L15" s="6">
        <f t="shared" si="1"/>
        <v>0</v>
      </c>
      <c r="M15" s="6">
        <f t="shared" si="1"/>
        <v>0</v>
      </c>
      <c r="N15" s="6">
        <f t="shared" si="1"/>
        <v>0</v>
      </c>
      <c r="O15" s="6">
        <f t="shared" si="1"/>
        <v>0</v>
      </c>
      <c r="P15" s="6">
        <f t="shared" si="1"/>
        <v>0</v>
      </c>
      <c r="Q15" s="6">
        <f t="shared" si="1"/>
        <v>0</v>
      </c>
      <c r="R15" s="6">
        <f t="shared" si="1"/>
        <v>0</v>
      </c>
      <c r="S15" s="6">
        <f t="shared" si="1"/>
        <v>0</v>
      </c>
      <c r="T15" s="6">
        <f t="shared" si="1"/>
        <v>0</v>
      </c>
      <c r="U15" s="6">
        <f t="shared" si="1"/>
        <v>0</v>
      </c>
      <c r="V15" s="6">
        <f t="shared" si="1"/>
        <v>0</v>
      </c>
      <c r="W15" s="6">
        <f t="shared" si="1"/>
        <v>0</v>
      </c>
      <c r="X15" s="6">
        <f t="shared" si="1"/>
        <v>0</v>
      </c>
      <c r="Y15" s="6">
        <f t="shared" si="1"/>
        <v>0</v>
      </c>
      <c r="Z15" s="6">
        <f t="shared" si="1"/>
        <v>0</v>
      </c>
      <c r="AA15" s="6">
        <f t="shared" si="1"/>
        <v>0</v>
      </c>
      <c r="AB15" s="6">
        <f t="shared" si="1"/>
        <v>0</v>
      </c>
      <c r="AC15" s="6">
        <f t="shared" si="1"/>
        <v>0</v>
      </c>
      <c r="AD15" s="6">
        <f t="shared" si="0"/>
        <v>612020.96000000008</v>
      </c>
    </row>
    <row r="16" spans="1:30" x14ac:dyDescent="0.25">
      <c r="A16" s="3" t="s">
        <v>39</v>
      </c>
      <c r="B16" s="4"/>
      <c r="C16" s="4"/>
      <c r="D16" s="5">
        <f>1083030.3</f>
        <v>1083030.3</v>
      </c>
      <c r="E16" s="4"/>
      <c r="F16" s="4"/>
      <c r="G16" s="5">
        <f>8014.77</f>
        <v>8014.77</v>
      </c>
      <c r="H16" s="4"/>
      <c r="I16" s="4"/>
      <c r="J16" s="4"/>
      <c r="K16" s="5">
        <f>69089.96</f>
        <v>69089.960000000006</v>
      </c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5">
        <f t="shared" si="0"/>
        <v>1160135.03</v>
      </c>
    </row>
    <row r="17" spans="1:30" x14ac:dyDescent="0.25">
      <c r="A17" s="3" t="s">
        <v>40</v>
      </c>
      <c r="B17" s="4"/>
      <c r="C17" s="4"/>
      <c r="D17" s="5">
        <f>24064.2</f>
        <v>24064.2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5">
        <f t="shared" si="0"/>
        <v>24064.2</v>
      </c>
    </row>
    <row r="18" spans="1:30" x14ac:dyDescent="0.25">
      <c r="A18" s="3" t="s">
        <v>41</v>
      </c>
      <c r="B18" s="6">
        <f t="shared" ref="B18:AC18" si="2">(B16)+(B17)</f>
        <v>0</v>
      </c>
      <c r="C18" s="6">
        <f t="shared" si="2"/>
        <v>0</v>
      </c>
      <c r="D18" s="6">
        <f t="shared" si="2"/>
        <v>1107094.5</v>
      </c>
      <c r="E18" s="6">
        <f t="shared" si="2"/>
        <v>0</v>
      </c>
      <c r="F18" s="6">
        <f t="shared" si="2"/>
        <v>0</v>
      </c>
      <c r="G18" s="6">
        <f t="shared" si="2"/>
        <v>8014.77</v>
      </c>
      <c r="H18" s="6">
        <f t="shared" si="2"/>
        <v>0</v>
      </c>
      <c r="I18" s="6">
        <f t="shared" si="2"/>
        <v>0</v>
      </c>
      <c r="J18" s="6">
        <f t="shared" si="2"/>
        <v>0</v>
      </c>
      <c r="K18" s="6">
        <f t="shared" si="2"/>
        <v>69089.960000000006</v>
      </c>
      <c r="L18" s="6">
        <f t="shared" si="2"/>
        <v>0</v>
      </c>
      <c r="M18" s="6">
        <f t="shared" si="2"/>
        <v>0</v>
      </c>
      <c r="N18" s="6">
        <f t="shared" si="2"/>
        <v>0</v>
      </c>
      <c r="O18" s="6">
        <f t="shared" si="2"/>
        <v>0</v>
      </c>
      <c r="P18" s="6">
        <f t="shared" si="2"/>
        <v>0</v>
      </c>
      <c r="Q18" s="6">
        <f t="shared" si="2"/>
        <v>0</v>
      </c>
      <c r="R18" s="6">
        <f t="shared" si="2"/>
        <v>0</v>
      </c>
      <c r="S18" s="6">
        <f t="shared" si="2"/>
        <v>0</v>
      </c>
      <c r="T18" s="6">
        <f t="shared" si="2"/>
        <v>0</v>
      </c>
      <c r="U18" s="6">
        <f t="shared" si="2"/>
        <v>0</v>
      </c>
      <c r="V18" s="6">
        <f t="shared" si="2"/>
        <v>0</v>
      </c>
      <c r="W18" s="6">
        <f t="shared" si="2"/>
        <v>0</v>
      </c>
      <c r="X18" s="6">
        <f t="shared" si="2"/>
        <v>0</v>
      </c>
      <c r="Y18" s="6">
        <f t="shared" si="2"/>
        <v>0</v>
      </c>
      <c r="Z18" s="6">
        <f t="shared" si="2"/>
        <v>0</v>
      </c>
      <c r="AA18" s="6">
        <f t="shared" si="2"/>
        <v>0</v>
      </c>
      <c r="AB18" s="6">
        <f t="shared" si="2"/>
        <v>0</v>
      </c>
      <c r="AC18" s="6">
        <f t="shared" si="2"/>
        <v>0</v>
      </c>
      <c r="AD18" s="6">
        <f t="shared" si="0"/>
        <v>1184199.23</v>
      </c>
    </row>
    <row r="19" spans="1:30" x14ac:dyDescent="0.25">
      <c r="A19" s="3" t="s">
        <v>42</v>
      </c>
      <c r="B19" s="5">
        <f>13567.17</f>
        <v>13567.17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5">
        <f t="shared" si="0"/>
        <v>13567.17</v>
      </c>
    </row>
    <row r="20" spans="1:30" x14ac:dyDescent="0.25">
      <c r="A20" s="3" t="s">
        <v>43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5">
        <f t="shared" si="0"/>
        <v>0</v>
      </c>
    </row>
    <row r="21" spans="1:30" x14ac:dyDescent="0.25">
      <c r="A21" s="3" t="s">
        <v>44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5">
        <f>185942.54</f>
        <v>185942.54</v>
      </c>
      <c r="M21" s="4"/>
      <c r="N21" s="5">
        <f>130584.46</f>
        <v>130584.46</v>
      </c>
      <c r="O21" s="5">
        <f>45318.1</f>
        <v>45318.1</v>
      </c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5">
        <f t="shared" si="0"/>
        <v>361845.1</v>
      </c>
    </row>
    <row r="22" spans="1:30" x14ac:dyDescent="0.25">
      <c r="A22" s="3" t="s">
        <v>45</v>
      </c>
      <c r="B22" s="4"/>
      <c r="C22" s="5">
        <f>-28143.93</f>
        <v>-28143.93</v>
      </c>
      <c r="D22" s="4"/>
      <c r="E22" s="4"/>
      <c r="F22" s="5">
        <f>18696.32</f>
        <v>18696.32</v>
      </c>
      <c r="G22" s="4"/>
      <c r="H22" s="4"/>
      <c r="I22" s="4"/>
      <c r="J22" s="4"/>
      <c r="K22" s="4"/>
      <c r="L22" s="4"/>
      <c r="M22" s="5">
        <f>82248.49</f>
        <v>82248.490000000005</v>
      </c>
      <c r="N22" s="4"/>
      <c r="O22" s="4"/>
      <c r="P22" s="5">
        <f>185058.8</f>
        <v>185058.8</v>
      </c>
      <c r="Q22" s="4"/>
      <c r="R22" s="4"/>
      <c r="S22" s="5">
        <f>211660.85</f>
        <v>211660.85</v>
      </c>
      <c r="T22" s="5">
        <f>46607.27</f>
        <v>46607.27</v>
      </c>
      <c r="U22" s="5">
        <f>46120.87</f>
        <v>46120.87</v>
      </c>
      <c r="V22" s="4"/>
      <c r="W22" s="5">
        <f>-157210.23</f>
        <v>-157210.23000000001</v>
      </c>
      <c r="X22" s="5">
        <f>2260.28</f>
        <v>2260.2800000000002</v>
      </c>
      <c r="Y22" s="5">
        <f>4482.87</f>
        <v>4482.87</v>
      </c>
      <c r="Z22" s="5">
        <f>117790.86</f>
        <v>117790.86</v>
      </c>
      <c r="AA22" s="5">
        <f>194917.41</f>
        <v>194917.41</v>
      </c>
      <c r="AB22" s="4"/>
      <c r="AC22" s="4"/>
      <c r="AD22" s="5">
        <f t="shared" si="0"/>
        <v>724489.8600000001</v>
      </c>
    </row>
    <row r="23" spans="1:30" x14ac:dyDescent="0.25">
      <c r="A23" s="3" t="s">
        <v>46</v>
      </c>
      <c r="B23" s="6">
        <f t="shared" ref="B23:AC23" si="3">((B20)+(B21))+(B22)</f>
        <v>0</v>
      </c>
      <c r="C23" s="6">
        <f t="shared" si="3"/>
        <v>-28143.93</v>
      </c>
      <c r="D23" s="6">
        <f t="shared" si="3"/>
        <v>0</v>
      </c>
      <c r="E23" s="6">
        <f t="shared" si="3"/>
        <v>0</v>
      </c>
      <c r="F23" s="6">
        <f t="shared" si="3"/>
        <v>18696.32</v>
      </c>
      <c r="G23" s="6">
        <f t="shared" si="3"/>
        <v>0</v>
      </c>
      <c r="H23" s="6">
        <f t="shared" si="3"/>
        <v>0</v>
      </c>
      <c r="I23" s="6">
        <f t="shared" si="3"/>
        <v>0</v>
      </c>
      <c r="J23" s="6">
        <f t="shared" si="3"/>
        <v>0</v>
      </c>
      <c r="K23" s="6">
        <f t="shared" si="3"/>
        <v>0</v>
      </c>
      <c r="L23" s="6">
        <f t="shared" si="3"/>
        <v>185942.54</v>
      </c>
      <c r="M23" s="6">
        <f t="shared" si="3"/>
        <v>82248.490000000005</v>
      </c>
      <c r="N23" s="6">
        <f t="shared" si="3"/>
        <v>130584.46</v>
      </c>
      <c r="O23" s="6">
        <f t="shared" si="3"/>
        <v>45318.1</v>
      </c>
      <c r="P23" s="6">
        <f t="shared" si="3"/>
        <v>185058.8</v>
      </c>
      <c r="Q23" s="6">
        <f t="shared" si="3"/>
        <v>0</v>
      </c>
      <c r="R23" s="6">
        <f t="shared" si="3"/>
        <v>0</v>
      </c>
      <c r="S23" s="6">
        <f t="shared" si="3"/>
        <v>211660.85</v>
      </c>
      <c r="T23" s="6">
        <f t="shared" si="3"/>
        <v>46607.27</v>
      </c>
      <c r="U23" s="6">
        <f t="shared" si="3"/>
        <v>46120.87</v>
      </c>
      <c r="V23" s="6">
        <f t="shared" si="3"/>
        <v>0</v>
      </c>
      <c r="W23" s="6">
        <f t="shared" si="3"/>
        <v>-157210.23000000001</v>
      </c>
      <c r="X23" s="6">
        <f t="shared" si="3"/>
        <v>2260.2800000000002</v>
      </c>
      <c r="Y23" s="6">
        <f t="shared" si="3"/>
        <v>4482.87</v>
      </c>
      <c r="Z23" s="6">
        <f t="shared" si="3"/>
        <v>117790.86</v>
      </c>
      <c r="AA23" s="6">
        <f t="shared" si="3"/>
        <v>194917.41</v>
      </c>
      <c r="AB23" s="6">
        <f t="shared" si="3"/>
        <v>0</v>
      </c>
      <c r="AC23" s="6">
        <f t="shared" si="3"/>
        <v>0</v>
      </c>
      <c r="AD23" s="6">
        <f t="shared" si="0"/>
        <v>1086334.96</v>
      </c>
    </row>
    <row r="24" spans="1:30" x14ac:dyDescent="0.25">
      <c r="A24" s="3" t="s">
        <v>47</v>
      </c>
      <c r="B24" s="6">
        <f t="shared" ref="B24:AC24" si="4">(((B15)+(B18))+(B19))+(B23)</f>
        <v>569952.21000000008</v>
      </c>
      <c r="C24" s="6">
        <f t="shared" si="4"/>
        <v>-28143.93</v>
      </c>
      <c r="D24" s="6">
        <f t="shared" si="4"/>
        <v>1107094.5</v>
      </c>
      <c r="E24" s="6">
        <f t="shared" si="4"/>
        <v>0</v>
      </c>
      <c r="F24" s="6">
        <f t="shared" si="4"/>
        <v>18696.32</v>
      </c>
      <c r="G24" s="6">
        <f t="shared" si="4"/>
        <v>8014.77</v>
      </c>
      <c r="H24" s="6">
        <f t="shared" si="4"/>
        <v>0</v>
      </c>
      <c r="I24" s="6">
        <f t="shared" si="4"/>
        <v>23829.25</v>
      </c>
      <c r="J24" s="6">
        <f t="shared" si="4"/>
        <v>31806.67</v>
      </c>
      <c r="K24" s="6">
        <f t="shared" si="4"/>
        <v>69089.960000000006</v>
      </c>
      <c r="L24" s="6">
        <f t="shared" si="4"/>
        <v>185942.54</v>
      </c>
      <c r="M24" s="6">
        <f t="shared" si="4"/>
        <v>82248.490000000005</v>
      </c>
      <c r="N24" s="6">
        <f t="shared" si="4"/>
        <v>130584.46</v>
      </c>
      <c r="O24" s="6">
        <f t="shared" si="4"/>
        <v>45318.1</v>
      </c>
      <c r="P24" s="6">
        <f t="shared" si="4"/>
        <v>185058.8</v>
      </c>
      <c r="Q24" s="6">
        <f t="shared" si="4"/>
        <v>0</v>
      </c>
      <c r="R24" s="6">
        <f t="shared" si="4"/>
        <v>0</v>
      </c>
      <c r="S24" s="6">
        <f t="shared" si="4"/>
        <v>211660.85</v>
      </c>
      <c r="T24" s="6">
        <f t="shared" si="4"/>
        <v>46607.27</v>
      </c>
      <c r="U24" s="6">
        <f t="shared" si="4"/>
        <v>46120.87</v>
      </c>
      <c r="V24" s="6">
        <f t="shared" si="4"/>
        <v>0</v>
      </c>
      <c r="W24" s="6">
        <f t="shared" si="4"/>
        <v>-157210.23000000001</v>
      </c>
      <c r="X24" s="6">
        <f t="shared" si="4"/>
        <v>2260.2800000000002</v>
      </c>
      <c r="Y24" s="6">
        <f t="shared" si="4"/>
        <v>4482.87</v>
      </c>
      <c r="Z24" s="6">
        <f t="shared" si="4"/>
        <v>117790.86</v>
      </c>
      <c r="AA24" s="6">
        <f t="shared" si="4"/>
        <v>194917.41</v>
      </c>
      <c r="AB24" s="6">
        <f t="shared" si="4"/>
        <v>0</v>
      </c>
      <c r="AC24" s="6">
        <f t="shared" si="4"/>
        <v>0</v>
      </c>
      <c r="AD24" s="6">
        <f t="shared" si="0"/>
        <v>2896122.3200000003</v>
      </c>
    </row>
    <row r="25" spans="1:30" x14ac:dyDescent="0.25">
      <c r="A25" s="3" t="s">
        <v>48</v>
      </c>
      <c r="B25" s="6">
        <f t="shared" ref="B25:AC25" si="5">(B24)-(0)</f>
        <v>569952.21000000008</v>
      </c>
      <c r="C25" s="6">
        <f t="shared" si="5"/>
        <v>-28143.93</v>
      </c>
      <c r="D25" s="6">
        <f t="shared" si="5"/>
        <v>1107094.5</v>
      </c>
      <c r="E25" s="6">
        <f t="shared" si="5"/>
        <v>0</v>
      </c>
      <c r="F25" s="6">
        <f t="shared" si="5"/>
        <v>18696.32</v>
      </c>
      <c r="G25" s="6">
        <f t="shared" si="5"/>
        <v>8014.77</v>
      </c>
      <c r="H25" s="6">
        <f t="shared" si="5"/>
        <v>0</v>
      </c>
      <c r="I25" s="6">
        <f t="shared" si="5"/>
        <v>23829.25</v>
      </c>
      <c r="J25" s="6">
        <f t="shared" si="5"/>
        <v>31806.67</v>
      </c>
      <c r="K25" s="6">
        <f t="shared" si="5"/>
        <v>69089.960000000006</v>
      </c>
      <c r="L25" s="6">
        <f t="shared" si="5"/>
        <v>185942.54</v>
      </c>
      <c r="M25" s="6">
        <f t="shared" si="5"/>
        <v>82248.490000000005</v>
      </c>
      <c r="N25" s="6">
        <f t="shared" si="5"/>
        <v>130584.46</v>
      </c>
      <c r="O25" s="6">
        <f t="shared" si="5"/>
        <v>45318.1</v>
      </c>
      <c r="P25" s="6">
        <f t="shared" si="5"/>
        <v>185058.8</v>
      </c>
      <c r="Q25" s="6">
        <f t="shared" si="5"/>
        <v>0</v>
      </c>
      <c r="R25" s="6">
        <f t="shared" si="5"/>
        <v>0</v>
      </c>
      <c r="S25" s="6">
        <f t="shared" si="5"/>
        <v>211660.85</v>
      </c>
      <c r="T25" s="6">
        <f t="shared" si="5"/>
        <v>46607.27</v>
      </c>
      <c r="U25" s="6">
        <f t="shared" si="5"/>
        <v>46120.87</v>
      </c>
      <c r="V25" s="6">
        <f t="shared" si="5"/>
        <v>0</v>
      </c>
      <c r="W25" s="6">
        <f t="shared" si="5"/>
        <v>-157210.23000000001</v>
      </c>
      <c r="X25" s="6">
        <f t="shared" si="5"/>
        <v>2260.2800000000002</v>
      </c>
      <c r="Y25" s="6">
        <f t="shared" si="5"/>
        <v>4482.87</v>
      </c>
      <c r="Z25" s="6">
        <f t="shared" si="5"/>
        <v>117790.86</v>
      </c>
      <c r="AA25" s="6">
        <f t="shared" si="5"/>
        <v>194917.41</v>
      </c>
      <c r="AB25" s="6">
        <f t="shared" si="5"/>
        <v>0</v>
      </c>
      <c r="AC25" s="6">
        <f t="shared" si="5"/>
        <v>0</v>
      </c>
      <c r="AD25" s="6">
        <f t="shared" si="0"/>
        <v>2896122.3200000003</v>
      </c>
    </row>
    <row r="26" spans="1:30" x14ac:dyDescent="0.25">
      <c r="A26" s="3" t="s">
        <v>49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x14ac:dyDescent="0.25">
      <c r="A27" s="3" t="s">
        <v>50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5">
        <f t="shared" ref="AD27:AD58" si="6">(((((((((((((((((((((((((((B27)+(C27))+(D27))+(E27))+(F27))+(G27))+(H27))+(I27))+(J27))+(K27))+(L27))+(M27))+(N27))+(O27))+(P27))+(Q27))+(R27))+(S27))+(T27))+(U27))+(V27))+(W27))+(X27))+(Y27))+(Z27))+(AA27))+(AB27))+(AC27)</f>
        <v>0</v>
      </c>
    </row>
    <row r="28" spans="1:30" x14ac:dyDescent="0.25">
      <c r="A28" s="3" t="s">
        <v>51</v>
      </c>
      <c r="B28" s="5">
        <f>5869.6</f>
        <v>5869.6</v>
      </c>
      <c r="C28" s="5">
        <f>22785.59</f>
        <v>22785.59</v>
      </c>
      <c r="D28" s="5">
        <f>132570.9</f>
        <v>132570.9</v>
      </c>
      <c r="E28" s="5">
        <f>15667.18</f>
        <v>15667.18</v>
      </c>
      <c r="F28" s="5">
        <f>22147</f>
        <v>22147</v>
      </c>
      <c r="G28" s="5">
        <f>8252.52</f>
        <v>8252.52</v>
      </c>
      <c r="H28" s="4"/>
      <c r="I28" s="4"/>
      <c r="J28" s="4"/>
      <c r="K28" s="5">
        <f>10385</f>
        <v>10385</v>
      </c>
      <c r="L28" s="5">
        <f>149120.16</f>
        <v>149120.16</v>
      </c>
      <c r="M28" s="5">
        <f>15318.12</f>
        <v>15318.12</v>
      </c>
      <c r="N28" s="4"/>
      <c r="O28" s="4"/>
      <c r="P28" s="5">
        <f>17166.64</f>
        <v>17166.64</v>
      </c>
      <c r="Q28" s="5">
        <f>17031.48</f>
        <v>17031.48</v>
      </c>
      <c r="R28" s="5">
        <f>7771.24</f>
        <v>7771.24</v>
      </c>
      <c r="S28" s="5">
        <f>75370.92</f>
        <v>75370.92</v>
      </c>
      <c r="T28" s="4"/>
      <c r="U28" s="5">
        <f>28191.79</f>
        <v>28191.79</v>
      </c>
      <c r="V28" s="4"/>
      <c r="W28" s="5">
        <f>95811.4</f>
        <v>95811.4</v>
      </c>
      <c r="X28" s="5">
        <f>1456.32</f>
        <v>1456.32</v>
      </c>
      <c r="Y28" s="4"/>
      <c r="Z28" s="5">
        <f>46615.16</f>
        <v>46615.16</v>
      </c>
      <c r="AA28" s="5">
        <f>71570.48</f>
        <v>71570.48</v>
      </c>
      <c r="AB28" s="5">
        <f>4893.4</f>
        <v>4893.3999999999996</v>
      </c>
      <c r="AC28" s="5">
        <f>0</f>
        <v>0</v>
      </c>
      <c r="AD28" s="5">
        <f t="shared" si="6"/>
        <v>747994.89999999991</v>
      </c>
    </row>
    <row r="29" spans="1:30" x14ac:dyDescent="0.25">
      <c r="A29" s="3" t="s">
        <v>52</v>
      </c>
      <c r="B29" s="5">
        <f>52658.16</f>
        <v>52658.16</v>
      </c>
      <c r="C29" s="5">
        <f>9737.84</f>
        <v>9737.84</v>
      </c>
      <c r="D29" s="5">
        <f>36554.02</f>
        <v>36554.019999999997</v>
      </c>
      <c r="E29" s="4"/>
      <c r="F29" s="4"/>
      <c r="G29" s="4"/>
      <c r="H29" s="5">
        <f>15188.72</f>
        <v>15188.72</v>
      </c>
      <c r="I29" s="4"/>
      <c r="J29" s="4"/>
      <c r="K29" s="4"/>
      <c r="L29" s="5">
        <f>7725</f>
        <v>7725</v>
      </c>
      <c r="M29" s="5">
        <f>9708.32</f>
        <v>9708.32</v>
      </c>
      <c r="N29" s="5">
        <f>86027.2</f>
        <v>86027.199999999997</v>
      </c>
      <c r="O29" s="5">
        <f>61044.24</f>
        <v>61044.24</v>
      </c>
      <c r="P29" s="4"/>
      <c r="Q29" s="4"/>
      <c r="R29" s="4"/>
      <c r="S29" s="5">
        <f>11186.24</f>
        <v>11186.24</v>
      </c>
      <c r="T29" s="4"/>
      <c r="U29" s="4"/>
      <c r="V29" s="4"/>
      <c r="W29" s="5">
        <f>9039</f>
        <v>9039</v>
      </c>
      <c r="X29" s="4"/>
      <c r="Y29" s="4"/>
      <c r="Z29" s="4"/>
      <c r="AA29" s="5">
        <f>5660.52</f>
        <v>5660.52</v>
      </c>
      <c r="AB29" s="4"/>
      <c r="AC29" s="4"/>
      <c r="AD29" s="5">
        <f t="shared" si="6"/>
        <v>304529.26</v>
      </c>
    </row>
    <row r="30" spans="1:30" x14ac:dyDescent="0.25">
      <c r="A30" s="3" t="s">
        <v>53</v>
      </c>
      <c r="B30" s="6">
        <f t="shared" ref="B30:AC30" si="7">((B27)+(B28))+(B29)</f>
        <v>58527.76</v>
      </c>
      <c r="C30" s="6">
        <f t="shared" si="7"/>
        <v>32523.43</v>
      </c>
      <c r="D30" s="6">
        <f t="shared" si="7"/>
        <v>169124.91999999998</v>
      </c>
      <c r="E30" s="6">
        <f t="shared" si="7"/>
        <v>15667.18</v>
      </c>
      <c r="F30" s="6">
        <f t="shared" si="7"/>
        <v>22147</v>
      </c>
      <c r="G30" s="6">
        <f t="shared" si="7"/>
        <v>8252.52</v>
      </c>
      <c r="H30" s="6">
        <f t="shared" si="7"/>
        <v>15188.72</v>
      </c>
      <c r="I30" s="6">
        <f t="shared" si="7"/>
        <v>0</v>
      </c>
      <c r="J30" s="6">
        <f t="shared" si="7"/>
        <v>0</v>
      </c>
      <c r="K30" s="6">
        <f t="shared" si="7"/>
        <v>10385</v>
      </c>
      <c r="L30" s="6">
        <f t="shared" si="7"/>
        <v>156845.16</v>
      </c>
      <c r="M30" s="6">
        <f t="shared" si="7"/>
        <v>25026.440000000002</v>
      </c>
      <c r="N30" s="6">
        <f t="shared" si="7"/>
        <v>86027.199999999997</v>
      </c>
      <c r="O30" s="6">
        <f t="shared" si="7"/>
        <v>61044.24</v>
      </c>
      <c r="P30" s="6">
        <f t="shared" si="7"/>
        <v>17166.64</v>
      </c>
      <c r="Q30" s="6">
        <f t="shared" si="7"/>
        <v>17031.48</v>
      </c>
      <c r="R30" s="6">
        <f t="shared" si="7"/>
        <v>7771.24</v>
      </c>
      <c r="S30" s="6">
        <f t="shared" si="7"/>
        <v>86557.16</v>
      </c>
      <c r="T30" s="6">
        <f t="shared" si="7"/>
        <v>0</v>
      </c>
      <c r="U30" s="6">
        <f t="shared" si="7"/>
        <v>28191.79</v>
      </c>
      <c r="V30" s="6">
        <f t="shared" si="7"/>
        <v>0</v>
      </c>
      <c r="W30" s="6">
        <f t="shared" si="7"/>
        <v>104850.4</v>
      </c>
      <c r="X30" s="6">
        <f t="shared" si="7"/>
        <v>1456.32</v>
      </c>
      <c r="Y30" s="6">
        <f t="shared" si="7"/>
        <v>0</v>
      </c>
      <c r="Z30" s="6">
        <f t="shared" si="7"/>
        <v>46615.16</v>
      </c>
      <c r="AA30" s="6">
        <f t="shared" si="7"/>
        <v>77231</v>
      </c>
      <c r="AB30" s="6">
        <f t="shared" si="7"/>
        <v>4893.3999999999996</v>
      </c>
      <c r="AC30" s="6">
        <f t="shared" si="7"/>
        <v>0</v>
      </c>
      <c r="AD30" s="6">
        <f t="shared" si="6"/>
        <v>1052524.1599999999</v>
      </c>
    </row>
    <row r="31" spans="1:30" x14ac:dyDescent="0.25">
      <c r="A31" s="3" t="s">
        <v>54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5">
        <f t="shared" si="6"/>
        <v>0</v>
      </c>
    </row>
    <row r="32" spans="1:30" x14ac:dyDescent="0.25">
      <c r="A32" s="3" t="s">
        <v>55</v>
      </c>
      <c r="B32" s="4"/>
      <c r="C32" s="5">
        <f>4.95</f>
        <v>4.95</v>
      </c>
      <c r="D32" s="4"/>
      <c r="E32" s="5">
        <f>1.89</f>
        <v>1.89</v>
      </c>
      <c r="F32" s="5">
        <f>2.56</f>
        <v>2.56</v>
      </c>
      <c r="G32" s="4"/>
      <c r="H32" s="4"/>
      <c r="I32" s="4"/>
      <c r="J32" s="4"/>
      <c r="K32" s="4"/>
      <c r="L32" s="4"/>
      <c r="M32" s="5">
        <f>4.16</f>
        <v>4.16</v>
      </c>
      <c r="N32" s="5">
        <f>7.8</f>
        <v>7.8</v>
      </c>
      <c r="O32" s="4"/>
      <c r="P32" s="5">
        <f>2.5</f>
        <v>2.5</v>
      </c>
      <c r="Q32" s="4"/>
      <c r="R32" s="4"/>
      <c r="S32" s="5">
        <f>11.32</f>
        <v>11.32</v>
      </c>
      <c r="T32" s="4"/>
      <c r="U32" s="5">
        <f>3.58</f>
        <v>3.58</v>
      </c>
      <c r="V32" s="4"/>
      <c r="W32" s="5">
        <f>10.04</f>
        <v>10.039999999999999</v>
      </c>
      <c r="X32" s="5">
        <f>0.3</f>
        <v>0.3</v>
      </c>
      <c r="Y32" s="4"/>
      <c r="Z32" s="5">
        <f>5.74</f>
        <v>5.74</v>
      </c>
      <c r="AA32" s="5">
        <f>12.3</f>
        <v>12.3</v>
      </c>
      <c r="AB32" s="4"/>
      <c r="AC32" s="4"/>
      <c r="AD32" s="5">
        <f t="shared" si="6"/>
        <v>67.14</v>
      </c>
    </row>
    <row r="33" spans="1:30" x14ac:dyDescent="0.25">
      <c r="A33" s="3" t="s">
        <v>56</v>
      </c>
      <c r="B33" s="5">
        <f>520</f>
        <v>520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5">
        <f t="shared" si="6"/>
        <v>520</v>
      </c>
    </row>
    <row r="34" spans="1:30" x14ac:dyDescent="0.25">
      <c r="A34" s="3" t="s">
        <v>57</v>
      </c>
      <c r="B34" s="5">
        <f>3131.46</f>
        <v>3131.46</v>
      </c>
      <c r="C34" s="5">
        <f>515.13</f>
        <v>515.13</v>
      </c>
      <c r="D34" s="5">
        <f>2165.09</f>
        <v>2165.09</v>
      </c>
      <c r="E34" s="4"/>
      <c r="F34" s="4"/>
      <c r="G34" s="4"/>
      <c r="H34" s="5">
        <f>903.76</f>
        <v>903.76</v>
      </c>
      <c r="I34" s="4"/>
      <c r="J34" s="4"/>
      <c r="K34" s="4"/>
      <c r="L34" s="5">
        <f>457.76</f>
        <v>457.76</v>
      </c>
      <c r="M34" s="5">
        <f>580.83</f>
        <v>580.83000000000004</v>
      </c>
      <c r="N34" s="5">
        <f>5206.63</f>
        <v>5206.63</v>
      </c>
      <c r="O34" s="5">
        <f>3576.08</f>
        <v>3576.08</v>
      </c>
      <c r="P34" s="4"/>
      <c r="Q34" s="4"/>
      <c r="R34" s="4"/>
      <c r="S34" s="5">
        <f>679.25</f>
        <v>679.25</v>
      </c>
      <c r="T34" s="4"/>
      <c r="U34" s="4"/>
      <c r="V34" s="4"/>
      <c r="W34" s="5">
        <f>526.04</f>
        <v>526.04</v>
      </c>
      <c r="X34" s="4"/>
      <c r="Y34" s="4"/>
      <c r="Z34" s="5">
        <f>0</f>
        <v>0</v>
      </c>
      <c r="AA34" s="5">
        <f>346.63</f>
        <v>346.63</v>
      </c>
      <c r="AB34" s="4"/>
      <c r="AC34" s="4"/>
      <c r="AD34" s="5">
        <f t="shared" si="6"/>
        <v>18088.66</v>
      </c>
    </row>
    <row r="35" spans="1:30" x14ac:dyDescent="0.25">
      <c r="A35" s="3" t="s">
        <v>58</v>
      </c>
      <c r="B35" s="5">
        <f>814.3</f>
        <v>814.3</v>
      </c>
      <c r="C35" s="5">
        <f>435.26</f>
        <v>435.26</v>
      </c>
      <c r="D35" s="5">
        <f>2346.61</f>
        <v>2346.61</v>
      </c>
      <c r="E35" s="5">
        <f>227.19</f>
        <v>227.19</v>
      </c>
      <c r="F35" s="5">
        <f>243</f>
        <v>243</v>
      </c>
      <c r="G35" s="5">
        <f>106.32</f>
        <v>106.32</v>
      </c>
      <c r="H35" s="5">
        <f>211.36</f>
        <v>211.36</v>
      </c>
      <c r="I35" s="4"/>
      <c r="J35" s="4"/>
      <c r="K35" s="5">
        <f>148.24</f>
        <v>148.24</v>
      </c>
      <c r="L35" s="5">
        <f>2188.12</f>
        <v>2188.12</v>
      </c>
      <c r="M35" s="5">
        <f>342.36</f>
        <v>342.36</v>
      </c>
      <c r="N35" s="5">
        <f>1217.71</f>
        <v>1217.71</v>
      </c>
      <c r="O35" s="5">
        <f>836.33</f>
        <v>836.33</v>
      </c>
      <c r="P35" s="5">
        <f>241.4</f>
        <v>241.4</v>
      </c>
      <c r="Q35" s="5">
        <f>239.32</f>
        <v>239.32</v>
      </c>
      <c r="R35" s="5">
        <f>112.68</f>
        <v>112.68</v>
      </c>
      <c r="S35" s="5">
        <f>1205.38</f>
        <v>1205.3800000000001</v>
      </c>
      <c r="T35" s="4"/>
      <c r="U35" s="5">
        <f>389.13</f>
        <v>389.13</v>
      </c>
      <c r="V35" s="4"/>
      <c r="W35" s="5">
        <f>1479.17</f>
        <v>1479.17</v>
      </c>
      <c r="X35" s="5">
        <f>18.76</f>
        <v>18.760000000000002</v>
      </c>
      <c r="Y35" s="4"/>
      <c r="Z35" s="5">
        <f>645.23</f>
        <v>645.23</v>
      </c>
      <c r="AA35" s="5">
        <f>1085.11</f>
        <v>1085.1099999999999</v>
      </c>
      <c r="AB35" s="5">
        <f>70.96</f>
        <v>70.959999999999994</v>
      </c>
      <c r="AC35" s="5">
        <f>0</f>
        <v>0</v>
      </c>
      <c r="AD35" s="5">
        <f t="shared" si="6"/>
        <v>14603.939999999997</v>
      </c>
    </row>
    <row r="36" spans="1:30" x14ac:dyDescent="0.25">
      <c r="A36" s="3" t="s">
        <v>59</v>
      </c>
      <c r="B36" s="5">
        <f>751.8</f>
        <v>751.8</v>
      </c>
      <c r="C36" s="5">
        <f>3705.93</f>
        <v>3705.93</v>
      </c>
      <c r="D36" s="5">
        <f>4690.56</f>
        <v>4690.5600000000004</v>
      </c>
      <c r="E36" s="5">
        <f>2658.16</f>
        <v>2658.16</v>
      </c>
      <c r="F36" s="5">
        <f>2831.96</f>
        <v>2831.96</v>
      </c>
      <c r="G36" s="5">
        <f>422.16</f>
        <v>422.16</v>
      </c>
      <c r="H36" s="4"/>
      <c r="I36" s="4"/>
      <c r="J36" s="4"/>
      <c r="K36" s="5">
        <f>311.56</f>
        <v>311.56</v>
      </c>
      <c r="L36" s="5">
        <f>4416.23</f>
        <v>4416.2299999999996</v>
      </c>
      <c r="M36" s="5">
        <f>2422.56</f>
        <v>2422.56</v>
      </c>
      <c r="N36" s="4"/>
      <c r="O36" s="4"/>
      <c r="P36" s="5">
        <f>2314.76</f>
        <v>2314.7600000000002</v>
      </c>
      <c r="Q36" s="5">
        <f>510.96</f>
        <v>510.96</v>
      </c>
      <c r="R36" s="5">
        <f>1068.56</f>
        <v>1068.56</v>
      </c>
      <c r="S36" s="5">
        <f>12138.48</f>
        <v>12138.48</v>
      </c>
      <c r="T36" s="4"/>
      <c r="U36" s="5">
        <f>4399.39</f>
        <v>4399.3900000000003</v>
      </c>
      <c r="V36" s="4"/>
      <c r="W36" s="5">
        <f>15499.34</f>
        <v>15499.34</v>
      </c>
      <c r="X36" s="5">
        <f>74.52</f>
        <v>74.52</v>
      </c>
      <c r="Y36" s="4"/>
      <c r="Z36" s="5">
        <f>7579.44</f>
        <v>7579.44</v>
      </c>
      <c r="AA36" s="5">
        <f>11729</f>
        <v>11729</v>
      </c>
      <c r="AB36" s="5">
        <f>672.84</f>
        <v>672.84</v>
      </c>
      <c r="AC36" s="5">
        <f>0</f>
        <v>0</v>
      </c>
      <c r="AD36" s="5">
        <f t="shared" si="6"/>
        <v>78198.209999999992</v>
      </c>
    </row>
    <row r="37" spans="1:30" x14ac:dyDescent="0.25">
      <c r="A37" s="3" t="s">
        <v>60</v>
      </c>
      <c r="B37" s="5">
        <f>10378.94</f>
        <v>10378.94</v>
      </c>
      <c r="C37" s="5">
        <f>1919.32</f>
        <v>1919.32</v>
      </c>
      <c r="D37" s="5">
        <f>7204.82</f>
        <v>7204.82</v>
      </c>
      <c r="E37" s="4"/>
      <c r="F37" s="4"/>
      <c r="G37" s="4"/>
      <c r="H37" s="5">
        <f>2993.69</f>
        <v>2993.69</v>
      </c>
      <c r="I37" s="4"/>
      <c r="J37" s="4"/>
      <c r="K37" s="4"/>
      <c r="L37" s="5">
        <f>1522.6</f>
        <v>1522.6</v>
      </c>
      <c r="M37" s="5">
        <f>1913.51</f>
        <v>1913.51</v>
      </c>
      <c r="N37" s="5">
        <f>15794.43</f>
        <v>15794.43</v>
      </c>
      <c r="O37" s="5">
        <f>12031.8</f>
        <v>12031.8</v>
      </c>
      <c r="P37" s="4"/>
      <c r="Q37" s="4"/>
      <c r="R37" s="4"/>
      <c r="S37" s="5">
        <f>1443.72</f>
        <v>1443.72</v>
      </c>
      <c r="T37" s="4"/>
      <c r="U37" s="4"/>
      <c r="V37" s="4"/>
      <c r="W37" s="5">
        <f>1781.59</f>
        <v>1781.59</v>
      </c>
      <c r="X37" s="4"/>
      <c r="Y37" s="4"/>
      <c r="Z37" s="4"/>
      <c r="AA37" s="5">
        <f>1115.68</f>
        <v>1115.68</v>
      </c>
      <c r="AB37" s="4"/>
      <c r="AC37" s="4"/>
      <c r="AD37" s="5">
        <f t="shared" si="6"/>
        <v>58100.1</v>
      </c>
    </row>
    <row r="38" spans="1:30" x14ac:dyDescent="0.25">
      <c r="A38" s="3" t="s">
        <v>61</v>
      </c>
      <c r="B38" s="4"/>
      <c r="C38" s="5">
        <f>6181.33</f>
        <v>6181.33</v>
      </c>
      <c r="D38" s="4"/>
      <c r="E38" s="5">
        <f>1453.67</f>
        <v>1453.67</v>
      </c>
      <c r="F38" s="5">
        <f>899.8</f>
        <v>899.8</v>
      </c>
      <c r="G38" s="4"/>
      <c r="H38" s="4"/>
      <c r="I38" s="4"/>
      <c r="J38" s="4"/>
      <c r="K38" s="4"/>
      <c r="L38" s="4"/>
      <c r="M38" s="5">
        <f>5106.12</f>
        <v>5106.12</v>
      </c>
      <c r="N38" s="5">
        <f>8171.26</f>
        <v>8171.26</v>
      </c>
      <c r="O38" s="4"/>
      <c r="P38" s="5">
        <f>2932.96</f>
        <v>2932.96</v>
      </c>
      <c r="Q38" s="4"/>
      <c r="R38" s="4"/>
      <c r="S38" s="5">
        <f>12805.22</f>
        <v>12805.22</v>
      </c>
      <c r="T38" s="4"/>
      <c r="U38" s="5">
        <f>3090.46</f>
        <v>3090.46</v>
      </c>
      <c r="V38" s="4"/>
      <c r="W38" s="5">
        <f>9096.91</f>
        <v>9096.91</v>
      </c>
      <c r="X38" s="5">
        <f>503.76</f>
        <v>503.76</v>
      </c>
      <c r="Y38" s="4"/>
      <c r="Z38" s="5">
        <f>5803.52</f>
        <v>5803.52</v>
      </c>
      <c r="AA38" s="5">
        <f>8309.5</f>
        <v>8309.5</v>
      </c>
      <c r="AB38" s="4"/>
      <c r="AC38" s="4"/>
      <c r="AD38" s="5">
        <f t="shared" si="6"/>
        <v>64354.509999999995</v>
      </c>
    </row>
    <row r="39" spans="1:30" x14ac:dyDescent="0.25">
      <c r="A39" s="3" t="s">
        <v>62</v>
      </c>
      <c r="B39" s="5">
        <f>-4004.48</f>
        <v>-4004.48</v>
      </c>
      <c r="C39" s="4"/>
      <c r="D39" s="5">
        <f>214.29</f>
        <v>214.29</v>
      </c>
      <c r="E39" s="4"/>
      <c r="F39" s="4"/>
      <c r="G39" s="4"/>
      <c r="H39" s="4"/>
      <c r="I39" s="4"/>
      <c r="J39" s="4"/>
      <c r="K39" s="4"/>
      <c r="L39" s="4"/>
      <c r="M39" s="4"/>
      <c r="N39" s="5">
        <f>115.83</f>
        <v>115.83</v>
      </c>
      <c r="O39" s="4"/>
      <c r="P39" s="4"/>
      <c r="Q39" s="4"/>
      <c r="R39" s="4"/>
      <c r="S39" s="5">
        <f>4.39</f>
        <v>4.3899999999999997</v>
      </c>
      <c r="T39" s="4"/>
      <c r="U39" s="4"/>
      <c r="V39" s="4"/>
      <c r="W39" s="4"/>
      <c r="X39" s="4"/>
      <c r="Y39" s="4"/>
      <c r="Z39" s="4"/>
      <c r="AA39" s="5">
        <f>9.07</f>
        <v>9.07</v>
      </c>
      <c r="AB39" s="4"/>
      <c r="AC39" s="4"/>
      <c r="AD39" s="5">
        <f t="shared" si="6"/>
        <v>-3660.9</v>
      </c>
    </row>
    <row r="40" spans="1:30" x14ac:dyDescent="0.25">
      <c r="A40" s="3" t="s">
        <v>63</v>
      </c>
      <c r="B40" s="5">
        <f>50806.29</f>
        <v>50806.29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5">
        <f t="shared" si="6"/>
        <v>50806.29</v>
      </c>
    </row>
    <row r="41" spans="1:30" x14ac:dyDescent="0.25">
      <c r="A41" s="3" t="s">
        <v>64</v>
      </c>
      <c r="B41" s="4"/>
      <c r="C41" s="5">
        <f>650.47</f>
        <v>650.47</v>
      </c>
      <c r="D41" s="5">
        <f>1691.25</f>
        <v>1691.25</v>
      </c>
      <c r="E41" s="5">
        <f>313.34</f>
        <v>313.33999999999997</v>
      </c>
      <c r="F41" s="4"/>
      <c r="G41" s="5">
        <f>165.06</f>
        <v>165.06</v>
      </c>
      <c r="H41" s="5">
        <f>303.78</f>
        <v>303.77999999999997</v>
      </c>
      <c r="I41" s="4"/>
      <c r="J41" s="4"/>
      <c r="K41" s="5">
        <f>103.86</f>
        <v>103.86</v>
      </c>
      <c r="L41" s="5">
        <f>3136.91</f>
        <v>3136.91</v>
      </c>
      <c r="M41" s="5">
        <f>500.52</f>
        <v>500.52</v>
      </c>
      <c r="N41" s="4"/>
      <c r="O41" s="5">
        <f>1220.88</f>
        <v>1220.8800000000001</v>
      </c>
      <c r="P41" s="5">
        <f>343.34</f>
        <v>343.34</v>
      </c>
      <c r="Q41" s="4"/>
      <c r="R41" s="4"/>
      <c r="S41" s="4"/>
      <c r="T41" s="4"/>
      <c r="U41" s="5">
        <f>563.83</f>
        <v>563.83000000000004</v>
      </c>
      <c r="V41" s="4"/>
      <c r="W41" s="5">
        <f>2097.01</f>
        <v>2097.0100000000002</v>
      </c>
      <c r="X41" s="4"/>
      <c r="Y41" s="4"/>
      <c r="Z41" s="5">
        <f>932.3</f>
        <v>932.3</v>
      </c>
      <c r="AA41" s="5">
        <f>1544.62</f>
        <v>1544.62</v>
      </c>
      <c r="AB41" s="4"/>
      <c r="AC41" s="4"/>
      <c r="AD41" s="5">
        <f t="shared" si="6"/>
        <v>13567.169999999998</v>
      </c>
    </row>
    <row r="42" spans="1:30" x14ac:dyDescent="0.25">
      <c r="A42" s="3" t="s">
        <v>65</v>
      </c>
      <c r="B42" s="4"/>
      <c r="C42" s="5">
        <f>39.6</f>
        <v>39.6</v>
      </c>
      <c r="D42" s="4"/>
      <c r="E42" s="5">
        <f>15.12</f>
        <v>15.12</v>
      </c>
      <c r="F42" s="5">
        <f>20.48</f>
        <v>20.48</v>
      </c>
      <c r="G42" s="4"/>
      <c r="H42" s="4"/>
      <c r="I42" s="4"/>
      <c r="J42" s="4"/>
      <c r="K42" s="4"/>
      <c r="L42" s="4"/>
      <c r="M42" s="5">
        <f>33.28</f>
        <v>33.28</v>
      </c>
      <c r="N42" s="5">
        <f>62.4</f>
        <v>62.4</v>
      </c>
      <c r="O42" s="4"/>
      <c r="P42" s="5">
        <f>20</f>
        <v>20</v>
      </c>
      <c r="Q42" s="4"/>
      <c r="R42" s="4"/>
      <c r="S42" s="5">
        <f>90.56</f>
        <v>90.56</v>
      </c>
      <c r="T42" s="4"/>
      <c r="U42" s="5">
        <f>28.64</f>
        <v>28.64</v>
      </c>
      <c r="V42" s="4"/>
      <c r="W42" s="5">
        <f>80.32</f>
        <v>80.319999999999993</v>
      </c>
      <c r="X42" s="5">
        <f>2.4</f>
        <v>2.4</v>
      </c>
      <c r="Y42" s="4"/>
      <c r="Z42" s="5">
        <f>45.92</f>
        <v>45.92</v>
      </c>
      <c r="AA42" s="5">
        <f>98.4</f>
        <v>98.4</v>
      </c>
      <c r="AB42" s="4"/>
      <c r="AC42" s="4"/>
      <c r="AD42" s="5">
        <f t="shared" si="6"/>
        <v>537.12</v>
      </c>
    </row>
    <row r="43" spans="1:30" x14ac:dyDescent="0.25">
      <c r="A43" s="3" t="s">
        <v>66</v>
      </c>
      <c r="B43" s="6">
        <f t="shared" ref="B43:AC43" si="8">(((((((((((B31)+(B32))+(B33))+(B34))+(B35))+(B36))+(B37))+(B38))+(B39))+(B40))+(B41))+(B42)</f>
        <v>62398.31</v>
      </c>
      <c r="C43" s="6">
        <f t="shared" si="8"/>
        <v>13451.989999999998</v>
      </c>
      <c r="D43" s="6">
        <f t="shared" si="8"/>
        <v>18312.620000000003</v>
      </c>
      <c r="E43" s="6">
        <f t="shared" si="8"/>
        <v>4669.37</v>
      </c>
      <c r="F43" s="6">
        <f t="shared" si="8"/>
        <v>3997.7999999999997</v>
      </c>
      <c r="G43" s="6">
        <f t="shared" si="8"/>
        <v>693.54</v>
      </c>
      <c r="H43" s="6">
        <f t="shared" si="8"/>
        <v>4412.5899999999992</v>
      </c>
      <c r="I43" s="6">
        <f t="shared" si="8"/>
        <v>0</v>
      </c>
      <c r="J43" s="6">
        <f t="shared" si="8"/>
        <v>0</v>
      </c>
      <c r="K43" s="6">
        <f t="shared" si="8"/>
        <v>563.66</v>
      </c>
      <c r="L43" s="6">
        <f t="shared" si="8"/>
        <v>11721.619999999999</v>
      </c>
      <c r="M43" s="6">
        <f t="shared" si="8"/>
        <v>10903.340000000002</v>
      </c>
      <c r="N43" s="6">
        <f t="shared" si="8"/>
        <v>30576.060000000005</v>
      </c>
      <c r="O43" s="6">
        <f t="shared" si="8"/>
        <v>17665.09</v>
      </c>
      <c r="P43" s="6">
        <f t="shared" si="8"/>
        <v>5854.9600000000009</v>
      </c>
      <c r="Q43" s="6">
        <f t="shared" si="8"/>
        <v>750.28</v>
      </c>
      <c r="R43" s="6">
        <f t="shared" si="8"/>
        <v>1181.24</v>
      </c>
      <c r="S43" s="6">
        <f t="shared" si="8"/>
        <v>28378.32</v>
      </c>
      <c r="T43" s="6">
        <f t="shared" si="8"/>
        <v>0</v>
      </c>
      <c r="U43" s="6">
        <f t="shared" si="8"/>
        <v>8475.0300000000007</v>
      </c>
      <c r="V43" s="6">
        <f t="shared" si="8"/>
        <v>0</v>
      </c>
      <c r="W43" s="6">
        <f t="shared" si="8"/>
        <v>30570.42</v>
      </c>
      <c r="X43" s="6">
        <f t="shared" si="8"/>
        <v>599.74</v>
      </c>
      <c r="Y43" s="6">
        <f t="shared" si="8"/>
        <v>0</v>
      </c>
      <c r="Z43" s="6">
        <f t="shared" si="8"/>
        <v>15012.15</v>
      </c>
      <c r="AA43" s="6">
        <f t="shared" si="8"/>
        <v>24250.31</v>
      </c>
      <c r="AB43" s="6">
        <f t="shared" si="8"/>
        <v>743.80000000000007</v>
      </c>
      <c r="AC43" s="6">
        <f t="shared" si="8"/>
        <v>0</v>
      </c>
      <c r="AD43" s="6">
        <f t="shared" si="6"/>
        <v>295182.23999999993</v>
      </c>
    </row>
    <row r="44" spans="1:30" x14ac:dyDescent="0.25">
      <c r="A44" s="3" t="s">
        <v>67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5">
        <f t="shared" si="6"/>
        <v>0</v>
      </c>
    </row>
    <row r="45" spans="1:30" x14ac:dyDescent="0.25">
      <c r="A45" s="3" t="s">
        <v>68</v>
      </c>
      <c r="B45" s="5">
        <f>6399.34</f>
        <v>6399.34</v>
      </c>
      <c r="C45" s="4"/>
      <c r="D45" s="5">
        <f>610.02</f>
        <v>610.02</v>
      </c>
      <c r="E45" s="4"/>
      <c r="F45" s="5">
        <f>546.88</f>
        <v>546.88</v>
      </c>
      <c r="G45" s="4"/>
      <c r="H45" s="4"/>
      <c r="I45" s="4"/>
      <c r="J45" s="4"/>
      <c r="K45" s="4"/>
      <c r="L45" s="5">
        <f>73.25</f>
        <v>73.25</v>
      </c>
      <c r="M45" s="4"/>
      <c r="N45" s="5">
        <f>-10</f>
        <v>-10</v>
      </c>
      <c r="O45" s="4"/>
      <c r="P45" s="4"/>
      <c r="Q45" s="4"/>
      <c r="R45" s="4"/>
      <c r="S45" s="5">
        <f>712.2</f>
        <v>712.2</v>
      </c>
      <c r="T45" s="4"/>
      <c r="U45" s="4"/>
      <c r="V45" s="4"/>
      <c r="W45" s="5">
        <f>0</f>
        <v>0</v>
      </c>
      <c r="X45" s="4"/>
      <c r="Y45" s="4"/>
      <c r="Z45" s="5">
        <f>0</f>
        <v>0</v>
      </c>
      <c r="AA45" s="4"/>
      <c r="AB45" s="4"/>
      <c r="AC45" s="4"/>
      <c r="AD45" s="5">
        <f t="shared" si="6"/>
        <v>8331.69</v>
      </c>
    </row>
    <row r="46" spans="1:30" x14ac:dyDescent="0.25">
      <c r="A46" s="3" t="s">
        <v>69</v>
      </c>
      <c r="B46" s="5">
        <f>16000</f>
        <v>16000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5">
        <f t="shared" si="6"/>
        <v>16000</v>
      </c>
    </row>
    <row r="47" spans="1:30" x14ac:dyDescent="0.25">
      <c r="A47" s="3" t="s">
        <v>70</v>
      </c>
      <c r="B47" s="5">
        <f>1733.8</f>
        <v>1733.8</v>
      </c>
      <c r="C47" s="4"/>
      <c r="D47" s="5">
        <f>1362.28</f>
        <v>1362.28</v>
      </c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5">
        <f t="shared" si="6"/>
        <v>3096.08</v>
      </c>
    </row>
    <row r="48" spans="1:30" x14ac:dyDescent="0.25">
      <c r="A48" s="3" t="s">
        <v>71</v>
      </c>
      <c r="B48" s="5">
        <f>7677.2</f>
        <v>7677.2</v>
      </c>
      <c r="C48" s="5">
        <f>78.28</f>
        <v>78.28</v>
      </c>
      <c r="D48" s="5">
        <f>2129.6</f>
        <v>2129.6</v>
      </c>
      <c r="E48" s="4"/>
      <c r="F48" s="5">
        <f>38.72</f>
        <v>38.72</v>
      </c>
      <c r="G48" s="5">
        <f>38.72</f>
        <v>38.72</v>
      </c>
      <c r="H48" s="4"/>
      <c r="I48" s="4"/>
      <c r="J48" s="4"/>
      <c r="K48" s="5">
        <f>38.72</f>
        <v>38.72</v>
      </c>
      <c r="L48" s="4"/>
      <c r="M48" s="5">
        <f>77.44</f>
        <v>77.44</v>
      </c>
      <c r="N48" s="4"/>
      <c r="O48" s="4"/>
      <c r="P48" s="4"/>
      <c r="Q48" s="4"/>
      <c r="R48" s="5">
        <f>19.15</f>
        <v>19.149999999999999</v>
      </c>
      <c r="S48" s="5">
        <f>1519.56</f>
        <v>1519.56</v>
      </c>
      <c r="T48" s="4"/>
      <c r="U48" s="5">
        <f>77.44</f>
        <v>77.44</v>
      </c>
      <c r="V48" s="4"/>
      <c r="W48" s="5">
        <f>135.31</f>
        <v>135.31</v>
      </c>
      <c r="X48" s="4"/>
      <c r="Y48" s="4"/>
      <c r="Z48" s="5">
        <f>115.74</f>
        <v>115.74</v>
      </c>
      <c r="AA48" s="5">
        <f>193.18</f>
        <v>193.18</v>
      </c>
      <c r="AB48" s="4"/>
      <c r="AC48" s="4"/>
      <c r="AD48" s="5">
        <f t="shared" si="6"/>
        <v>12139.059999999998</v>
      </c>
    </row>
    <row r="49" spans="1:30" x14ac:dyDescent="0.25">
      <c r="A49" s="3" t="s">
        <v>72</v>
      </c>
      <c r="B49" s="6">
        <f t="shared" ref="B49:AC49" si="9">((((B44)+(B45))+(B46))+(B47))+(B48)</f>
        <v>31810.34</v>
      </c>
      <c r="C49" s="6">
        <f t="shared" si="9"/>
        <v>78.28</v>
      </c>
      <c r="D49" s="6">
        <f t="shared" si="9"/>
        <v>4101.8999999999996</v>
      </c>
      <c r="E49" s="6">
        <f t="shared" si="9"/>
        <v>0</v>
      </c>
      <c r="F49" s="6">
        <f t="shared" si="9"/>
        <v>585.6</v>
      </c>
      <c r="G49" s="6">
        <f t="shared" si="9"/>
        <v>38.72</v>
      </c>
      <c r="H49" s="6">
        <f t="shared" si="9"/>
        <v>0</v>
      </c>
      <c r="I49" s="6">
        <f t="shared" si="9"/>
        <v>0</v>
      </c>
      <c r="J49" s="6">
        <f t="shared" si="9"/>
        <v>0</v>
      </c>
      <c r="K49" s="6">
        <f t="shared" si="9"/>
        <v>38.72</v>
      </c>
      <c r="L49" s="6">
        <f t="shared" si="9"/>
        <v>73.25</v>
      </c>
      <c r="M49" s="6">
        <f t="shared" si="9"/>
        <v>77.44</v>
      </c>
      <c r="N49" s="6">
        <f t="shared" si="9"/>
        <v>-10</v>
      </c>
      <c r="O49" s="6">
        <f t="shared" si="9"/>
        <v>0</v>
      </c>
      <c r="P49" s="6">
        <f t="shared" si="9"/>
        <v>0</v>
      </c>
      <c r="Q49" s="6">
        <f t="shared" si="9"/>
        <v>0</v>
      </c>
      <c r="R49" s="6">
        <f t="shared" si="9"/>
        <v>19.149999999999999</v>
      </c>
      <c r="S49" s="6">
        <f t="shared" si="9"/>
        <v>2231.7600000000002</v>
      </c>
      <c r="T49" s="6">
        <f t="shared" si="9"/>
        <v>0</v>
      </c>
      <c r="U49" s="6">
        <f t="shared" si="9"/>
        <v>77.44</v>
      </c>
      <c r="V49" s="6">
        <f t="shared" si="9"/>
        <v>0</v>
      </c>
      <c r="W49" s="6">
        <f t="shared" si="9"/>
        <v>135.31</v>
      </c>
      <c r="X49" s="6">
        <f t="shared" si="9"/>
        <v>0</v>
      </c>
      <c r="Y49" s="6">
        <f t="shared" si="9"/>
        <v>0</v>
      </c>
      <c r="Z49" s="6">
        <f t="shared" si="9"/>
        <v>115.74</v>
      </c>
      <c r="AA49" s="6">
        <f t="shared" si="9"/>
        <v>193.18</v>
      </c>
      <c r="AB49" s="6">
        <f t="shared" si="9"/>
        <v>0</v>
      </c>
      <c r="AC49" s="6">
        <f t="shared" si="9"/>
        <v>0</v>
      </c>
      <c r="AD49" s="6">
        <f t="shared" si="6"/>
        <v>39566.83</v>
      </c>
    </row>
    <row r="50" spans="1:30" x14ac:dyDescent="0.25">
      <c r="A50" s="3" t="s">
        <v>73</v>
      </c>
      <c r="B50" s="5">
        <f>24376.31</f>
        <v>24376.31</v>
      </c>
      <c r="C50" s="5">
        <f>4700</f>
        <v>4700</v>
      </c>
      <c r="D50" s="5">
        <f>133.75</f>
        <v>133.75</v>
      </c>
      <c r="E50" s="5">
        <f>1800</f>
        <v>1800</v>
      </c>
      <c r="F50" s="5">
        <f>9962.87</f>
        <v>9962.8700000000008</v>
      </c>
      <c r="G50" s="4"/>
      <c r="H50" s="4"/>
      <c r="I50" s="5">
        <f>57381</f>
        <v>57381</v>
      </c>
      <c r="J50" s="4"/>
      <c r="K50" s="4"/>
      <c r="L50" s="4"/>
      <c r="M50" s="5">
        <f>35093.92</f>
        <v>35093.919999999998</v>
      </c>
      <c r="N50" s="4"/>
      <c r="O50" s="4"/>
      <c r="P50" s="4"/>
      <c r="Q50" s="4"/>
      <c r="R50" s="4"/>
      <c r="S50" s="4"/>
      <c r="T50" s="4"/>
      <c r="U50" s="5">
        <f>0</f>
        <v>0</v>
      </c>
      <c r="V50" s="4"/>
      <c r="W50" s="5">
        <f>215960.21</f>
        <v>215960.21</v>
      </c>
      <c r="X50" s="4"/>
      <c r="Y50" s="4"/>
      <c r="Z50" s="5">
        <f>2600</f>
        <v>2600</v>
      </c>
      <c r="AA50" s="5">
        <f>36701</f>
        <v>36701</v>
      </c>
      <c r="AB50" s="4"/>
      <c r="AC50" s="4"/>
      <c r="AD50" s="5">
        <f t="shared" si="6"/>
        <v>388709.05999999994</v>
      </c>
    </row>
    <row r="51" spans="1:30" x14ac:dyDescent="0.25">
      <c r="A51" s="3" t="s">
        <v>74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5">
        <f t="shared" si="6"/>
        <v>0</v>
      </c>
    </row>
    <row r="52" spans="1:30" x14ac:dyDescent="0.25">
      <c r="A52" s="3" t="s">
        <v>75</v>
      </c>
      <c r="B52" s="5">
        <f>0</f>
        <v>0</v>
      </c>
      <c r="C52" s="4"/>
      <c r="D52" s="5">
        <f>0</f>
        <v>0</v>
      </c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5">
        <f t="shared" si="6"/>
        <v>0</v>
      </c>
    </row>
    <row r="53" spans="1:30" x14ac:dyDescent="0.25">
      <c r="A53" s="3" t="s">
        <v>76</v>
      </c>
      <c r="B53" s="5">
        <f>224.4</f>
        <v>224.4</v>
      </c>
      <c r="C53" s="4"/>
      <c r="D53" s="5">
        <f>455.6</f>
        <v>455.6</v>
      </c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5">
        <f t="shared" si="6"/>
        <v>680</v>
      </c>
    </row>
    <row r="54" spans="1:30" x14ac:dyDescent="0.25">
      <c r="A54" s="3" t="s">
        <v>77</v>
      </c>
      <c r="B54" s="5">
        <f>366.59</f>
        <v>366.59</v>
      </c>
      <c r="C54" s="4"/>
      <c r="D54" s="5">
        <f>571.72</f>
        <v>571.72</v>
      </c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5">
        <f t="shared" si="6"/>
        <v>938.31</v>
      </c>
    </row>
    <row r="55" spans="1:30" x14ac:dyDescent="0.25">
      <c r="A55" s="3" t="s">
        <v>78</v>
      </c>
      <c r="B55" s="5">
        <f>5249.74</f>
        <v>5249.74</v>
      </c>
      <c r="C55" s="4"/>
      <c r="D55" s="5">
        <f>11822.14</f>
        <v>11822.14</v>
      </c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5">
        <f t="shared" si="6"/>
        <v>17071.879999999997</v>
      </c>
    </row>
    <row r="56" spans="1:30" x14ac:dyDescent="0.25">
      <c r="A56" s="3" t="s">
        <v>79</v>
      </c>
      <c r="B56" s="5">
        <f>2371.83</f>
        <v>2371.83</v>
      </c>
      <c r="C56" s="4"/>
      <c r="D56" s="5">
        <f>4815.54</f>
        <v>4815.54</v>
      </c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5">
        <f t="shared" si="6"/>
        <v>7187.37</v>
      </c>
    </row>
    <row r="57" spans="1:30" x14ac:dyDescent="0.25">
      <c r="A57" s="3" t="s">
        <v>80</v>
      </c>
      <c r="B57" s="5">
        <f>572.68</f>
        <v>572.67999999999995</v>
      </c>
      <c r="C57" s="5">
        <f>55.44</f>
        <v>55.44</v>
      </c>
      <c r="D57" s="5">
        <f>36.96</f>
        <v>36.96</v>
      </c>
      <c r="E57" s="4"/>
      <c r="F57" s="4"/>
      <c r="G57" s="5">
        <f>55.44</f>
        <v>55.44</v>
      </c>
      <c r="H57" s="4"/>
      <c r="I57" s="4"/>
      <c r="J57" s="4"/>
      <c r="K57" s="4"/>
      <c r="L57" s="4"/>
      <c r="M57" s="5">
        <f>73.92</f>
        <v>73.92</v>
      </c>
      <c r="N57" s="4"/>
      <c r="O57" s="4"/>
      <c r="P57" s="4"/>
      <c r="Q57" s="4"/>
      <c r="R57" s="5">
        <f>36.96</f>
        <v>36.96</v>
      </c>
      <c r="S57" s="5">
        <f>314.16</f>
        <v>314.16000000000003</v>
      </c>
      <c r="T57" s="4"/>
      <c r="U57" s="5">
        <f>73.92</f>
        <v>73.92</v>
      </c>
      <c r="V57" s="4"/>
      <c r="W57" s="5">
        <f>147.84</f>
        <v>147.84</v>
      </c>
      <c r="X57" s="5">
        <f>159.9</f>
        <v>159.9</v>
      </c>
      <c r="Y57" s="4"/>
      <c r="Z57" s="5">
        <f>110.88</f>
        <v>110.88</v>
      </c>
      <c r="AA57" s="5">
        <f>172.92</f>
        <v>172.92</v>
      </c>
      <c r="AB57" s="4"/>
      <c r="AC57" s="4"/>
      <c r="AD57" s="5">
        <f t="shared" si="6"/>
        <v>1811.02</v>
      </c>
    </row>
    <row r="58" spans="1:30" x14ac:dyDescent="0.25">
      <c r="A58" s="3" t="s">
        <v>81</v>
      </c>
      <c r="B58" s="5">
        <f>0</f>
        <v>0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5">
        <f t="shared" si="6"/>
        <v>0</v>
      </c>
    </row>
    <row r="59" spans="1:30" x14ac:dyDescent="0.25">
      <c r="A59" s="3" t="s">
        <v>82</v>
      </c>
      <c r="B59" s="6">
        <f t="shared" ref="B59:AC59" si="10">(((((((B51)+(B52))+(B53))+(B54))+(B55))+(B56))+(B57))+(B58)</f>
        <v>8785.24</v>
      </c>
      <c r="C59" s="6">
        <f t="shared" si="10"/>
        <v>55.44</v>
      </c>
      <c r="D59" s="6">
        <f t="shared" si="10"/>
        <v>17701.96</v>
      </c>
      <c r="E59" s="6">
        <f t="shared" si="10"/>
        <v>0</v>
      </c>
      <c r="F59" s="6">
        <f t="shared" si="10"/>
        <v>0</v>
      </c>
      <c r="G59" s="6">
        <f t="shared" si="10"/>
        <v>55.44</v>
      </c>
      <c r="H59" s="6">
        <f t="shared" si="10"/>
        <v>0</v>
      </c>
      <c r="I59" s="6">
        <f t="shared" si="10"/>
        <v>0</v>
      </c>
      <c r="J59" s="6">
        <f t="shared" si="10"/>
        <v>0</v>
      </c>
      <c r="K59" s="6">
        <f t="shared" si="10"/>
        <v>0</v>
      </c>
      <c r="L59" s="6">
        <f t="shared" si="10"/>
        <v>0</v>
      </c>
      <c r="M59" s="6">
        <f t="shared" si="10"/>
        <v>73.92</v>
      </c>
      <c r="N59" s="6">
        <f t="shared" si="10"/>
        <v>0</v>
      </c>
      <c r="O59" s="6">
        <f t="shared" si="10"/>
        <v>0</v>
      </c>
      <c r="P59" s="6">
        <f t="shared" si="10"/>
        <v>0</v>
      </c>
      <c r="Q59" s="6">
        <f t="shared" si="10"/>
        <v>0</v>
      </c>
      <c r="R59" s="6">
        <f t="shared" si="10"/>
        <v>36.96</v>
      </c>
      <c r="S59" s="6">
        <f t="shared" si="10"/>
        <v>314.16000000000003</v>
      </c>
      <c r="T59" s="6">
        <f t="shared" si="10"/>
        <v>0</v>
      </c>
      <c r="U59" s="6">
        <f t="shared" si="10"/>
        <v>73.92</v>
      </c>
      <c r="V59" s="6">
        <f t="shared" si="10"/>
        <v>0</v>
      </c>
      <c r="W59" s="6">
        <f t="shared" si="10"/>
        <v>147.84</v>
      </c>
      <c r="X59" s="6">
        <f t="shared" si="10"/>
        <v>159.9</v>
      </c>
      <c r="Y59" s="6">
        <f t="shared" si="10"/>
        <v>0</v>
      </c>
      <c r="Z59" s="6">
        <f t="shared" si="10"/>
        <v>110.88</v>
      </c>
      <c r="AA59" s="6">
        <f t="shared" si="10"/>
        <v>172.92</v>
      </c>
      <c r="AB59" s="6">
        <f t="shared" si="10"/>
        <v>0</v>
      </c>
      <c r="AC59" s="6">
        <f t="shared" si="10"/>
        <v>0</v>
      </c>
      <c r="AD59" s="6">
        <f t="shared" ref="AD59:AD85" si="11">(((((((((((((((((((((((((((B59)+(C59))+(D59))+(E59))+(F59))+(G59))+(H59))+(I59))+(J59))+(K59))+(L59))+(M59))+(N59))+(O59))+(P59))+(Q59))+(R59))+(S59))+(T59))+(U59))+(V59))+(W59))+(X59))+(Y59))+(Z59))+(AA59))+(AB59))+(AC59)</f>
        <v>27688.579999999994</v>
      </c>
    </row>
    <row r="60" spans="1:30" x14ac:dyDescent="0.25">
      <c r="A60" s="3" t="s">
        <v>83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5">
        <f t="shared" si="11"/>
        <v>0</v>
      </c>
    </row>
    <row r="61" spans="1:30" x14ac:dyDescent="0.25">
      <c r="A61" s="3" t="s">
        <v>84</v>
      </c>
      <c r="B61" s="5">
        <f>39123.58</f>
        <v>39123.58</v>
      </c>
      <c r="C61" s="4"/>
      <c r="D61" s="5">
        <f>32702</f>
        <v>32702</v>
      </c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5">
        <f t="shared" si="11"/>
        <v>71825.58</v>
      </c>
    </row>
    <row r="62" spans="1:30" x14ac:dyDescent="0.25">
      <c r="A62" s="3" t="s">
        <v>85</v>
      </c>
      <c r="B62" s="5">
        <f>24124.5</f>
        <v>24124.5</v>
      </c>
      <c r="C62" s="4"/>
      <c r="D62" s="5">
        <f>18374.5</f>
        <v>18374.5</v>
      </c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5">
        <f t="shared" si="11"/>
        <v>42499</v>
      </c>
    </row>
    <row r="63" spans="1:30" x14ac:dyDescent="0.25">
      <c r="A63" s="3" t="s">
        <v>86</v>
      </c>
      <c r="B63" s="6">
        <f t="shared" ref="B63:AC63" si="12">((B60)+(B61))+(B62)</f>
        <v>63248.08</v>
      </c>
      <c r="C63" s="6">
        <f t="shared" si="12"/>
        <v>0</v>
      </c>
      <c r="D63" s="6">
        <f t="shared" si="12"/>
        <v>51076.5</v>
      </c>
      <c r="E63" s="6">
        <f t="shared" si="12"/>
        <v>0</v>
      </c>
      <c r="F63" s="6">
        <f t="shared" si="12"/>
        <v>0</v>
      </c>
      <c r="G63" s="6">
        <f t="shared" si="12"/>
        <v>0</v>
      </c>
      <c r="H63" s="6">
        <f t="shared" si="12"/>
        <v>0</v>
      </c>
      <c r="I63" s="6">
        <f t="shared" si="12"/>
        <v>0</v>
      </c>
      <c r="J63" s="6">
        <f t="shared" si="12"/>
        <v>0</v>
      </c>
      <c r="K63" s="6">
        <f t="shared" si="12"/>
        <v>0</v>
      </c>
      <c r="L63" s="6">
        <f t="shared" si="12"/>
        <v>0</v>
      </c>
      <c r="M63" s="6">
        <f t="shared" si="12"/>
        <v>0</v>
      </c>
      <c r="N63" s="6">
        <f t="shared" si="12"/>
        <v>0</v>
      </c>
      <c r="O63" s="6">
        <f t="shared" si="12"/>
        <v>0</v>
      </c>
      <c r="P63" s="6">
        <f t="shared" si="12"/>
        <v>0</v>
      </c>
      <c r="Q63" s="6">
        <f t="shared" si="12"/>
        <v>0</v>
      </c>
      <c r="R63" s="6">
        <f t="shared" si="12"/>
        <v>0</v>
      </c>
      <c r="S63" s="6">
        <f t="shared" si="12"/>
        <v>0</v>
      </c>
      <c r="T63" s="6">
        <f t="shared" si="12"/>
        <v>0</v>
      </c>
      <c r="U63" s="6">
        <f t="shared" si="12"/>
        <v>0</v>
      </c>
      <c r="V63" s="6">
        <f t="shared" si="12"/>
        <v>0</v>
      </c>
      <c r="W63" s="6">
        <f t="shared" si="12"/>
        <v>0</v>
      </c>
      <c r="X63" s="6">
        <f t="shared" si="12"/>
        <v>0</v>
      </c>
      <c r="Y63" s="6">
        <f t="shared" si="12"/>
        <v>0</v>
      </c>
      <c r="Z63" s="6">
        <f t="shared" si="12"/>
        <v>0</v>
      </c>
      <c r="AA63" s="6">
        <f t="shared" si="12"/>
        <v>0</v>
      </c>
      <c r="AB63" s="6">
        <f t="shared" si="12"/>
        <v>0</v>
      </c>
      <c r="AC63" s="6">
        <f t="shared" si="12"/>
        <v>0</v>
      </c>
      <c r="AD63" s="6">
        <f t="shared" si="11"/>
        <v>114324.58</v>
      </c>
    </row>
    <row r="64" spans="1:30" x14ac:dyDescent="0.25">
      <c r="A64" s="3" t="s">
        <v>87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5">
        <f t="shared" si="11"/>
        <v>0</v>
      </c>
    </row>
    <row r="65" spans="1:30" x14ac:dyDescent="0.25">
      <c r="A65" s="3" t="s">
        <v>88</v>
      </c>
      <c r="B65" s="5">
        <f>158.61</f>
        <v>158.61000000000001</v>
      </c>
      <c r="C65" s="4"/>
      <c r="D65" s="5">
        <f>111.02</f>
        <v>111.02</v>
      </c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5">
        <f>47.58</f>
        <v>47.58</v>
      </c>
      <c r="T65" s="4"/>
      <c r="U65" s="4"/>
      <c r="V65" s="4"/>
      <c r="W65" s="4"/>
      <c r="X65" s="4"/>
      <c r="Y65" s="4"/>
      <c r="Z65" s="4"/>
      <c r="AA65" s="4"/>
      <c r="AB65" s="4"/>
      <c r="AC65" s="4"/>
      <c r="AD65" s="5">
        <f t="shared" si="11"/>
        <v>317.20999999999998</v>
      </c>
    </row>
    <row r="66" spans="1:30" x14ac:dyDescent="0.25">
      <c r="A66" s="3" t="s">
        <v>89</v>
      </c>
      <c r="B66" s="5">
        <f>150</f>
        <v>150</v>
      </c>
      <c r="C66" s="4"/>
      <c r="D66" s="5">
        <f>90</f>
        <v>90</v>
      </c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5">
        <f>60</f>
        <v>60</v>
      </c>
      <c r="T66" s="4"/>
      <c r="U66" s="4"/>
      <c r="V66" s="4"/>
      <c r="W66" s="4"/>
      <c r="X66" s="4"/>
      <c r="Y66" s="4"/>
      <c r="Z66" s="4"/>
      <c r="AA66" s="4"/>
      <c r="AB66" s="4"/>
      <c r="AC66" s="4"/>
      <c r="AD66" s="5">
        <f t="shared" si="11"/>
        <v>300</v>
      </c>
    </row>
    <row r="67" spans="1:30" x14ac:dyDescent="0.25">
      <c r="A67" s="3" t="s">
        <v>90</v>
      </c>
      <c r="B67" s="5">
        <f>716.84</f>
        <v>716.84</v>
      </c>
      <c r="C67" s="5">
        <f>4.74</f>
        <v>4.74</v>
      </c>
      <c r="D67" s="5">
        <f>556.83</f>
        <v>556.83000000000004</v>
      </c>
      <c r="E67" s="4"/>
      <c r="F67" s="4"/>
      <c r="G67" s="4"/>
      <c r="H67" s="4"/>
      <c r="I67" s="4"/>
      <c r="J67" s="4"/>
      <c r="K67" s="4"/>
      <c r="L67" s="4"/>
      <c r="M67" s="5">
        <f>36.12</f>
        <v>36.119999999999997</v>
      </c>
      <c r="N67" s="4"/>
      <c r="O67" s="4"/>
      <c r="P67" s="4"/>
      <c r="Q67" s="4"/>
      <c r="R67" s="5">
        <f>16.44</f>
        <v>16.440000000000001</v>
      </c>
      <c r="S67" s="5">
        <f>658.71</f>
        <v>658.71</v>
      </c>
      <c r="T67" s="4"/>
      <c r="U67" s="5">
        <f>122.94</f>
        <v>122.94</v>
      </c>
      <c r="V67" s="4"/>
      <c r="W67" s="5">
        <f>453.59</f>
        <v>453.59</v>
      </c>
      <c r="X67" s="4"/>
      <c r="Y67" s="4"/>
      <c r="Z67" s="5">
        <f>155.82</f>
        <v>155.82</v>
      </c>
      <c r="AA67" s="5">
        <f>105</f>
        <v>105</v>
      </c>
      <c r="AB67" s="4"/>
      <c r="AC67" s="4"/>
      <c r="AD67" s="5">
        <f t="shared" si="11"/>
        <v>2827.03</v>
      </c>
    </row>
    <row r="68" spans="1:30" x14ac:dyDescent="0.25">
      <c r="A68" s="3" t="s">
        <v>91</v>
      </c>
      <c r="B68" s="5">
        <f>0</f>
        <v>0</v>
      </c>
      <c r="C68" s="5">
        <f>0</f>
        <v>0</v>
      </c>
      <c r="D68" s="5">
        <f>0</f>
        <v>0</v>
      </c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5">
        <f>13794.8</f>
        <v>13794.8</v>
      </c>
      <c r="T68" s="4"/>
      <c r="U68" s="5">
        <f>1055</f>
        <v>1055</v>
      </c>
      <c r="V68" s="4"/>
      <c r="W68" s="5">
        <f>0</f>
        <v>0</v>
      </c>
      <c r="X68" s="4"/>
      <c r="Y68" s="4"/>
      <c r="Z68" s="5">
        <f>0</f>
        <v>0</v>
      </c>
      <c r="AA68" s="5">
        <f>0</f>
        <v>0</v>
      </c>
      <c r="AB68" s="4"/>
      <c r="AC68" s="4"/>
      <c r="AD68" s="5">
        <f t="shared" si="11"/>
        <v>14849.8</v>
      </c>
    </row>
    <row r="69" spans="1:30" x14ac:dyDescent="0.25">
      <c r="A69" s="3" t="s">
        <v>92</v>
      </c>
      <c r="B69" s="5">
        <f>5545.71</f>
        <v>5545.71</v>
      </c>
      <c r="C69" s="5">
        <f>0</f>
        <v>0</v>
      </c>
      <c r="D69" s="5">
        <f>202.75</f>
        <v>202.75</v>
      </c>
      <c r="E69" s="4"/>
      <c r="F69" s="4"/>
      <c r="G69" s="5">
        <f>44.44</f>
        <v>44.44</v>
      </c>
      <c r="H69" s="4"/>
      <c r="I69" s="4"/>
      <c r="J69" s="5">
        <f>1217.66</f>
        <v>1217.6600000000001</v>
      </c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5">
        <f t="shared" si="11"/>
        <v>7010.5599999999995</v>
      </c>
    </row>
    <row r="70" spans="1:30" x14ac:dyDescent="0.25">
      <c r="A70" s="3" t="s">
        <v>93</v>
      </c>
      <c r="B70" s="5">
        <f>9007.77</f>
        <v>9007.77</v>
      </c>
      <c r="C70" s="5">
        <f>0</f>
        <v>0</v>
      </c>
      <c r="D70" s="5">
        <f>1749.56</f>
        <v>1749.56</v>
      </c>
      <c r="E70" s="4"/>
      <c r="F70" s="5">
        <f>1846.89</f>
        <v>1846.89</v>
      </c>
      <c r="G70" s="5">
        <f>81</f>
        <v>81</v>
      </c>
      <c r="H70" s="4"/>
      <c r="I70" s="4"/>
      <c r="J70" s="5">
        <f>55.82</f>
        <v>55.82</v>
      </c>
      <c r="K70" s="4"/>
      <c r="L70" s="4"/>
      <c r="M70" s="5">
        <f>916.95</f>
        <v>916.95</v>
      </c>
      <c r="N70" s="4"/>
      <c r="O70" s="4"/>
      <c r="P70" s="4"/>
      <c r="Q70" s="4"/>
      <c r="R70" s="4"/>
      <c r="S70" s="5">
        <f>8713.65</f>
        <v>8713.65</v>
      </c>
      <c r="T70" s="4"/>
      <c r="U70" s="5">
        <f>12</f>
        <v>12</v>
      </c>
      <c r="V70" s="4"/>
      <c r="W70" s="5">
        <f>-8414.74</f>
        <v>-8414.74</v>
      </c>
      <c r="X70" s="4"/>
      <c r="Y70" s="5">
        <f>4075.34</f>
        <v>4075.34</v>
      </c>
      <c r="Z70" s="5">
        <f>12800.23</f>
        <v>12800.23</v>
      </c>
      <c r="AA70" s="5">
        <f>14630.49</f>
        <v>14630.49</v>
      </c>
      <c r="AB70" s="4"/>
      <c r="AC70" s="4"/>
      <c r="AD70" s="5">
        <f t="shared" si="11"/>
        <v>45474.96</v>
      </c>
    </row>
    <row r="71" spans="1:30" x14ac:dyDescent="0.25">
      <c r="A71" s="3" t="s">
        <v>94</v>
      </c>
      <c r="B71" s="6">
        <f t="shared" ref="B71:AC71" si="13">((((((B64)+(B65))+(B66))+(B67))+(B68))+(B69))+(B70)</f>
        <v>15578.93</v>
      </c>
      <c r="C71" s="6">
        <f t="shared" si="13"/>
        <v>4.74</v>
      </c>
      <c r="D71" s="6">
        <f t="shared" si="13"/>
        <v>2710.16</v>
      </c>
      <c r="E71" s="6">
        <f t="shared" si="13"/>
        <v>0</v>
      </c>
      <c r="F71" s="6">
        <f t="shared" si="13"/>
        <v>1846.89</v>
      </c>
      <c r="G71" s="6">
        <f t="shared" si="13"/>
        <v>125.44</v>
      </c>
      <c r="H71" s="6">
        <f t="shared" si="13"/>
        <v>0</v>
      </c>
      <c r="I71" s="6">
        <f t="shared" si="13"/>
        <v>0</v>
      </c>
      <c r="J71" s="6">
        <f t="shared" si="13"/>
        <v>1273.48</v>
      </c>
      <c r="K71" s="6">
        <f t="shared" si="13"/>
        <v>0</v>
      </c>
      <c r="L71" s="6">
        <f t="shared" si="13"/>
        <v>0</v>
      </c>
      <c r="M71" s="6">
        <f t="shared" si="13"/>
        <v>953.07</v>
      </c>
      <c r="N71" s="6">
        <f t="shared" si="13"/>
        <v>0</v>
      </c>
      <c r="O71" s="6">
        <f t="shared" si="13"/>
        <v>0</v>
      </c>
      <c r="P71" s="6">
        <f t="shared" si="13"/>
        <v>0</v>
      </c>
      <c r="Q71" s="6">
        <f t="shared" si="13"/>
        <v>0</v>
      </c>
      <c r="R71" s="6">
        <f t="shared" si="13"/>
        <v>16.440000000000001</v>
      </c>
      <c r="S71" s="6">
        <f t="shared" si="13"/>
        <v>23274.739999999998</v>
      </c>
      <c r="T71" s="6">
        <f t="shared" si="13"/>
        <v>0</v>
      </c>
      <c r="U71" s="6">
        <f t="shared" si="13"/>
        <v>1189.94</v>
      </c>
      <c r="V71" s="6">
        <f t="shared" si="13"/>
        <v>0</v>
      </c>
      <c r="W71" s="6">
        <f t="shared" si="13"/>
        <v>-7961.15</v>
      </c>
      <c r="X71" s="6">
        <f t="shared" si="13"/>
        <v>0</v>
      </c>
      <c r="Y71" s="6">
        <f t="shared" si="13"/>
        <v>4075.34</v>
      </c>
      <c r="Z71" s="6">
        <f t="shared" si="13"/>
        <v>12956.05</v>
      </c>
      <c r="AA71" s="6">
        <f t="shared" si="13"/>
        <v>14735.49</v>
      </c>
      <c r="AB71" s="6">
        <f t="shared" si="13"/>
        <v>0</v>
      </c>
      <c r="AC71" s="6">
        <f t="shared" si="13"/>
        <v>0</v>
      </c>
      <c r="AD71" s="6">
        <f t="shared" si="11"/>
        <v>70779.560000000012</v>
      </c>
    </row>
    <row r="72" spans="1:30" x14ac:dyDescent="0.25">
      <c r="A72" s="3" t="s">
        <v>95</v>
      </c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5">
        <f t="shared" si="11"/>
        <v>0</v>
      </c>
    </row>
    <row r="73" spans="1:30" x14ac:dyDescent="0.25">
      <c r="A73" s="3" t="s">
        <v>96</v>
      </c>
      <c r="B73" s="4"/>
      <c r="C73" s="5">
        <f>2494.44</f>
        <v>2494.44</v>
      </c>
      <c r="D73" s="4"/>
      <c r="E73" s="4"/>
      <c r="F73" s="4"/>
      <c r="G73" s="4"/>
      <c r="H73" s="4"/>
      <c r="I73" s="4"/>
      <c r="J73" s="4"/>
      <c r="K73" s="4"/>
      <c r="L73" s="5">
        <f>398.64</f>
        <v>398.64</v>
      </c>
      <c r="M73" s="4"/>
      <c r="N73" s="4"/>
      <c r="O73" s="4"/>
      <c r="P73" s="4"/>
      <c r="Q73" s="4"/>
      <c r="R73" s="5">
        <f>31500</f>
        <v>31500</v>
      </c>
      <c r="S73" s="5">
        <f>18024.14</f>
        <v>18024.14</v>
      </c>
      <c r="T73" s="5">
        <f>42075</f>
        <v>42075</v>
      </c>
      <c r="U73" s="4"/>
      <c r="V73" s="4"/>
      <c r="W73" s="5">
        <f>0</f>
        <v>0</v>
      </c>
      <c r="X73" s="4"/>
      <c r="Y73" s="4"/>
      <c r="Z73" s="5">
        <f>18013.15</f>
        <v>18013.150000000001</v>
      </c>
      <c r="AA73" s="5">
        <f>0</f>
        <v>0</v>
      </c>
      <c r="AB73" s="4"/>
      <c r="AC73" s="4"/>
      <c r="AD73" s="5">
        <f t="shared" si="11"/>
        <v>112505.37</v>
      </c>
    </row>
    <row r="74" spans="1:30" x14ac:dyDescent="0.25">
      <c r="A74" s="3" t="s">
        <v>97</v>
      </c>
      <c r="B74" s="5">
        <f>2724.81</f>
        <v>2724.81</v>
      </c>
      <c r="C74" s="4"/>
      <c r="D74" s="4"/>
      <c r="E74" s="4"/>
      <c r="F74" s="4"/>
      <c r="G74" s="4"/>
      <c r="H74" s="4"/>
      <c r="I74" s="5">
        <f>20</f>
        <v>20</v>
      </c>
      <c r="J74" s="5">
        <f>-248.75</f>
        <v>-248.75</v>
      </c>
      <c r="K74" s="4"/>
      <c r="L74" s="4"/>
      <c r="M74" s="4"/>
      <c r="N74" s="4"/>
      <c r="O74" s="4"/>
      <c r="P74" s="4"/>
      <c r="Q74" s="4"/>
      <c r="R74" s="4"/>
      <c r="S74" s="5">
        <f>2728</f>
        <v>2728</v>
      </c>
      <c r="T74" s="4"/>
      <c r="U74" s="5">
        <f>425</f>
        <v>425</v>
      </c>
      <c r="V74" s="4"/>
      <c r="W74" s="5">
        <f>998</f>
        <v>998</v>
      </c>
      <c r="X74" s="4"/>
      <c r="Y74" s="4"/>
      <c r="Z74" s="5">
        <f>2400</f>
        <v>2400</v>
      </c>
      <c r="AA74" s="5">
        <f>-40</f>
        <v>-40</v>
      </c>
      <c r="AB74" s="4"/>
      <c r="AC74" s="4"/>
      <c r="AD74" s="5">
        <f t="shared" si="11"/>
        <v>9007.06</v>
      </c>
    </row>
    <row r="75" spans="1:30" x14ac:dyDescent="0.25">
      <c r="A75" s="3" t="s">
        <v>98</v>
      </c>
      <c r="B75" s="5">
        <f>4639.15</f>
        <v>4639.1499999999996</v>
      </c>
      <c r="C75" s="5">
        <f>2193.68</f>
        <v>2193.6799999999998</v>
      </c>
      <c r="D75" s="5">
        <f>1875.98</f>
        <v>1875.98</v>
      </c>
      <c r="E75" s="4"/>
      <c r="F75" s="4"/>
      <c r="G75" s="4"/>
      <c r="H75" s="4"/>
      <c r="I75" s="4"/>
      <c r="J75" s="4"/>
      <c r="K75" s="4"/>
      <c r="L75" s="4"/>
      <c r="M75" s="5">
        <f>593.79</f>
        <v>593.79</v>
      </c>
      <c r="N75" s="4"/>
      <c r="O75" s="4"/>
      <c r="P75" s="5">
        <f>145272.76</f>
        <v>145272.76</v>
      </c>
      <c r="Q75" s="4"/>
      <c r="R75" s="4"/>
      <c r="S75" s="5">
        <f>4612.15</f>
        <v>4612.1499999999996</v>
      </c>
      <c r="T75" s="4"/>
      <c r="U75" s="5">
        <f>2023.78</f>
        <v>2023.78</v>
      </c>
      <c r="V75" s="4"/>
      <c r="W75" s="5">
        <f>30569.22</f>
        <v>30569.22</v>
      </c>
      <c r="X75" s="4"/>
      <c r="Y75" s="4"/>
      <c r="Z75" s="5">
        <f>5502.18</f>
        <v>5502.18</v>
      </c>
      <c r="AA75" s="5">
        <f>17998.96</f>
        <v>17998.96</v>
      </c>
      <c r="AB75" s="4"/>
      <c r="AC75" s="4"/>
      <c r="AD75" s="5">
        <f t="shared" si="11"/>
        <v>215281.65</v>
      </c>
    </row>
    <row r="76" spans="1:30" x14ac:dyDescent="0.25">
      <c r="A76" s="3" t="s">
        <v>99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5">
        <f>27059.54</f>
        <v>27059.54</v>
      </c>
      <c r="T76" s="5">
        <f>1079.88</f>
        <v>1079.8800000000001</v>
      </c>
      <c r="U76" s="4"/>
      <c r="V76" s="4"/>
      <c r="W76" s="5">
        <f>6614.4</f>
        <v>6614.4</v>
      </c>
      <c r="X76" s="4"/>
      <c r="Y76" s="4"/>
      <c r="Z76" s="4"/>
      <c r="AA76" s="5">
        <f>5711.2</f>
        <v>5711.2</v>
      </c>
      <c r="AB76" s="4"/>
      <c r="AC76" s="4"/>
      <c r="AD76" s="5">
        <f t="shared" si="11"/>
        <v>40465.019999999997</v>
      </c>
    </row>
    <row r="77" spans="1:30" x14ac:dyDescent="0.25">
      <c r="A77" s="3" t="s">
        <v>100</v>
      </c>
      <c r="B77" s="5">
        <f>2810.52</f>
        <v>2810.52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5">
        <f t="shared" si="11"/>
        <v>2810.52</v>
      </c>
    </row>
    <row r="78" spans="1:30" x14ac:dyDescent="0.25">
      <c r="A78" s="3" t="s">
        <v>101</v>
      </c>
      <c r="B78" s="6">
        <f t="shared" ref="B78:AC78" si="14">(((((B72)+(B73))+(B74))+(B75))+(B76))+(B77)</f>
        <v>10174.48</v>
      </c>
      <c r="C78" s="6">
        <f t="shared" si="14"/>
        <v>4688.12</v>
      </c>
      <c r="D78" s="6">
        <f t="shared" si="14"/>
        <v>1875.98</v>
      </c>
      <c r="E78" s="6">
        <f t="shared" si="14"/>
        <v>0</v>
      </c>
      <c r="F78" s="6">
        <f t="shared" si="14"/>
        <v>0</v>
      </c>
      <c r="G78" s="6">
        <f t="shared" si="14"/>
        <v>0</v>
      </c>
      <c r="H78" s="6">
        <f t="shared" si="14"/>
        <v>0</v>
      </c>
      <c r="I78" s="6">
        <f t="shared" si="14"/>
        <v>20</v>
      </c>
      <c r="J78" s="6">
        <f t="shared" si="14"/>
        <v>-248.75</v>
      </c>
      <c r="K78" s="6">
        <f t="shared" si="14"/>
        <v>0</v>
      </c>
      <c r="L78" s="6">
        <f t="shared" si="14"/>
        <v>398.64</v>
      </c>
      <c r="M78" s="6">
        <f t="shared" si="14"/>
        <v>593.79</v>
      </c>
      <c r="N78" s="6">
        <f t="shared" si="14"/>
        <v>0</v>
      </c>
      <c r="O78" s="6">
        <f t="shared" si="14"/>
        <v>0</v>
      </c>
      <c r="P78" s="6">
        <f t="shared" si="14"/>
        <v>145272.76</v>
      </c>
      <c r="Q78" s="6">
        <f t="shared" si="14"/>
        <v>0</v>
      </c>
      <c r="R78" s="6">
        <f t="shared" si="14"/>
        <v>31500</v>
      </c>
      <c r="S78" s="6">
        <f t="shared" si="14"/>
        <v>52423.83</v>
      </c>
      <c r="T78" s="6">
        <f t="shared" si="14"/>
        <v>43154.879999999997</v>
      </c>
      <c r="U78" s="6">
        <f t="shared" si="14"/>
        <v>2448.7799999999997</v>
      </c>
      <c r="V78" s="6">
        <f t="shared" si="14"/>
        <v>0</v>
      </c>
      <c r="W78" s="6">
        <f t="shared" si="14"/>
        <v>38181.620000000003</v>
      </c>
      <c r="X78" s="6">
        <f t="shared" si="14"/>
        <v>0</v>
      </c>
      <c r="Y78" s="6">
        <f t="shared" si="14"/>
        <v>0</v>
      </c>
      <c r="Z78" s="6">
        <f t="shared" si="14"/>
        <v>25915.33</v>
      </c>
      <c r="AA78" s="6">
        <f t="shared" si="14"/>
        <v>23670.16</v>
      </c>
      <c r="AB78" s="6">
        <f t="shared" si="14"/>
        <v>0</v>
      </c>
      <c r="AC78" s="6">
        <f t="shared" si="14"/>
        <v>0</v>
      </c>
      <c r="AD78" s="6">
        <f t="shared" si="11"/>
        <v>380069.62000000005</v>
      </c>
    </row>
    <row r="79" spans="1:30" x14ac:dyDescent="0.25">
      <c r="A79" s="3" t="s">
        <v>102</v>
      </c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5">
        <f t="shared" si="11"/>
        <v>0</v>
      </c>
    </row>
    <row r="80" spans="1:30" x14ac:dyDescent="0.25">
      <c r="A80" s="3" t="s">
        <v>103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5">
        <f>2751.08</f>
        <v>2751.08</v>
      </c>
      <c r="T80" s="4"/>
      <c r="U80" s="4"/>
      <c r="V80" s="4"/>
      <c r="W80" s="4"/>
      <c r="X80" s="4"/>
      <c r="Y80" s="4"/>
      <c r="Z80" s="4"/>
      <c r="AA80" s="4"/>
      <c r="AB80" s="4"/>
      <c r="AC80" s="4"/>
      <c r="AD80" s="5">
        <f t="shared" si="11"/>
        <v>2751.08</v>
      </c>
    </row>
    <row r="81" spans="1:30" x14ac:dyDescent="0.25">
      <c r="A81" s="3" t="s">
        <v>104</v>
      </c>
      <c r="B81" s="4"/>
      <c r="C81" s="5">
        <f>4497.91</f>
        <v>4497.91</v>
      </c>
      <c r="D81" s="5">
        <f>26503.78</f>
        <v>26503.78</v>
      </c>
      <c r="E81" s="5">
        <f>2213.66</f>
        <v>2213.66</v>
      </c>
      <c r="F81" s="5">
        <f>3854.02</f>
        <v>3854.02</v>
      </c>
      <c r="G81" s="5">
        <f>916.57</f>
        <v>916.57</v>
      </c>
      <c r="H81" s="5">
        <f>1568.11</f>
        <v>1568.11</v>
      </c>
      <c r="I81" s="4"/>
      <c r="J81" s="5">
        <f>125.35</f>
        <v>125.35</v>
      </c>
      <c r="K81" s="5">
        <f>1098.74</f>
        <v>1098.74</v>
      </c>
      <c r="L81" s="5">
        <f>16903.87</f>
        <v>16903.87</v>
      </c>
      <c r="M81" s="5">
        <f>9526.57</f>
        <v>9526.57</v>
      </c>
      <c r="N81" s="5">
        <f>13991.2</f>
        <v>13991.2</v>
      </c>
      <c r="O81" s="5">
        <f>9445.12</f>
        <v>9445.1200000000008</v>
      </c>
      <c r="P81" s="5">
        <f>16764.44</f>
        <v>16764.439999999999</v>
      </c>
      <c r="Q81" s="5">
        <f>1422.54</f>
        <v>1422.54</v>
      </c>
      <c r="R81" s="5">
        <f>3242</f>
        <v>3242</v>
      </c>
      <c r="S81" s="5">
        <f>15729.8</f>
        <v>15729.8</v>
      </c>
      <c r="T81" s="5">
        <f>3452.39</f>
        <v>3452.39</v>
      </c>
      <c r="U81" s="5">
        <f>5663.97</f>
        <v>5663.97</v>
      </c>
      <c r="V81" s="5">
        <f>0</f>
        <v>0</v>
      </c>
      <c r="W81" s="5">
        <f>38188.47</f>
        <v>38188.47</v>
      </c>
      <c r="X81" s="5">
        <f>44.32</f>
        <v>44.32</v>
      </c>
      <c r="Y81" s="5">
        <f>407.53</f>
        <v>407.53</v>
      </c>
      <c r="Z81" s="5">
        <f>14465.55</f>
        <v>14465.55</v>
      </c>
      <c r="AA81" s="5">
        <f>24773.57</f>
        <v>24773.57</v>
      </c>
      <c r="AB81" s="4"/>
      <c r="AC81" s="4"/>
      <c r="AD81" s="5">
        <f t="shared" si="11"/>
        <v>214799.47999999998</v>
      </c>
    </row>
    <row r="82" spans="1:30" x14ac:dyDescent="0.25">
      <c r="A82" s="3" t="s">
        <v>105</v>
      </c>
      <c r="B82" s="6">
        <f t="shared" ref="B82:AC82" si="15">((B79)+(B80))+(B81)</f>
        <v>0</v>
      </c>
      <c r="C82" s="6">
        <f t="shared" si="15"/>
        <v>4497.91</v>
      </c>
      <c r="D82" s="6">
        <f t="shared" si="15"/>
        <v>26503.78</v>
      </c>
      <c r="E82" s="6">
        <f t="shared" si="15"/>
        <v>2213.66</v>
      </c>
      <c r="F82" s="6">
        <f t="shared" si="15"/>
        <v>3854.02</v>
      </c>
      <c r="G82" s="6">
        <f t="shared" si="15"/>
        <v>916.57</v>
      </c>
      <c r="H82" s="6">
        <f t="shared" si="15"/>
        <v>1568.11</v>
      </c>
      <c r="I82" s="6">
        <f t="shared" si="15"/>
        <v>0</v>
      </c>
      <c r="J82" s="6">
        <f t="shared" si="15"/>
        <v>125.35</v>
      </c>
      <c r="K82" s="6">
        <f t="shared" si="15"/>
        <v>1098.74</v>
      </c>
      <c r="L82" s="6">
        <f t="shared" si="15"/>
        <v>16903.87</v>
      </c>
      <c r="M82" s="6">
        <f t="shared" si="15"/>
        <v>9526.57</v>
      </c>
      <c r="N82" s="6">
        <f t="shared" si="15"/>
        <v>13991.2</v>
      </c>
      <c r="O82" s="6">
        <f t="shared" si="15"/>
        <v>9445.1200000000008</v>
      </c>
      <c r="P82" s="6">
        <f t="shared" si="15"/>
        <v>16764.439999999999</v>
      </c>
      <c r="Q82" s="6">
        <f t="shared" si="15"/>
        <v>1422.54</v>
      </c>
      <c r="R82" s="6">
        <f t="shared" si="15"/>
        <v>3242</v>
      </c>
      <c r="S82" s="6">
        <f t="shared" si="15"/>
        <v>18480.879999999997</v>
      </c>
      <c r="T82" s="6">
        <f t="shared" si="15"/>
        <v>3452.39</v>
      </c>
      <c r="U82" s="6">
        <f t="shared" si="15"/>
        <v>5663.97</v>
      </c>
      <c r="V82" s="6">
        <f t="shared" si="15"/>
        <v>0</v>
      </c>
      <c r="W82" s="6">
        <f t="shared" si="15"/>
        <v>38188.47</v>
      </c>
      <c r="X82" s="6">
        <f t="shared" si="15"/>
        <v>44.32</v>
      </c>
      <c r="Y82" s="6">
        <f t="shared" si="15"/>
        <v>407.53</v>
      </c>
      <c r="Z82" s="6">
        <f t="shared" si="15"/>
        <v>14465.55</v>
      </c>
      <c r="AA82" s="6">
        <f t="shared" si="15"/>
        <v>24773.57</v>
      </c>
      <c r="AB82" s="6">
        <f t="shared" si="15"/>
        <v>0</v>
      </c>
      <c r="AC82" s="6">
        <f t="shared" si="15"/>
        <v>0</v>
      </c>
      <c r="AD82" s="6">
        <f t="shared" si="11"/>
        <v>217550.56</v>
      </c>
    </row>
    <row r="83" spans="1:30" x14ac:dyDescent="0.25">
      <c r="A83" s="3" t="s">
        <v>106</v>
      </c>
      <c r="B83" s="6">
        <f t="shared" ref="B83:AC83" si="16">((((((((B30)+(B43))+(B49))+(B50))+(B59))+(B63))+(B71))+(B78))+(B82)</f>
        <v>274899.44999999995</v>
      </c>
      <c r="C83" s="6">
        <f t="shared" si="16"/>
        <v>59999.91</v>
      </c>
      <c r="D83" s="6">
        <f t="shared" si="16"/>
        <v>291541.56999999995</v>
      </c>
      <c r="E83" s="6">
        <f t="shared" si="16"/>
        <v>24350.21</v>
      </c>
      <c r="F83" s="6">
        <f t="shared" si="16"/>
        <v>42394.179999999993</v>
      </c>
      <c r="G83" s="6">
        <f t="shared" si="16"/>
        <v>10082.230000000001</v>
      </c>
      <c r="H83" s="6">
        <f t="shared" si="16"/>
        <v>21169.42</v>
      </c>
      <c r="I83" s="6">
        <f t="shared" si="16"/>
        <v>57401</v>
      </c>
      <c r="J83" s="6">
        <f t="shared" si="16"/>
        <v>1150.08</v>
      </c>
      <c r="K83" s="6">
        <f t="shared" si="16"/>
        <v>12086.119999999999</v>
      </c>
      <c r="L83" s="6">
        <f t="shared" si="16"/>
        <v>185942.54</v>
      </c>
      <c r="M83" s="6">
        <f t="shared" si="16"/>
        <v>82248.49000000002</v>
      </c>
      <c r="N83" s="6">
        <f t="shared" si="16"/>
        <v>130584.46</v>
      </c>
      <c r="O83" s="6">
        <f t="shared" si="16"/>
        <v>88154.45</v>
      </c>
      <c r="P83" s="6">
        <f t="shared" si="16"/>
        <v>185058.80000000002</v>
      </c>
      <c r="Q83" s="6">
        <f t="shared" si="16"/>
        <v>19204.3</v>
      </c>
      <c r="R83" s="6">
        <f t="shared" si="16"/>
        <v>43767.03</v>
      </c>
      <c r="S83" s="6">
        <f t="shared" si="16"/>
        <v>211660.85000000003</v>
      </c>
      <c r="T83" s="6">
        <f t="shared" si="16"/>
        <v>46607.27</v>
      </c>
      <c r="U83" s="6">
        <f t="shared" si="16"/>
        <v>46120.87</v>
      </c>
      <c r="V83" s="6">
        <f t="shared" si="16"/>
        <v>0</v>
      </c>
      <c r="W83" s="6">
        <f t="shared" si="16"/>
        <v>420073.12</v>
      </c>
      <c r="X83" s="6">
        <f t="shared" si="16"/>
        <v>2260.2800000000002</v>
      </c>
      <c r="Y83" s="6">
        <f t="shared" si="16"/>
        <v>4482.87</v>
      </c>
      <c r="Z83" s="6">
        <f t="shared" si="16"/>
        <v>117790.86</v>
      </c>
      <c r="AA83" s="6">
        <f t="shared" si="16"/>
        <v>201727.63</v>
      </c>
      <c r="AB83" s="6">
        <f t="shared" si="16"/>
        <v>5637.2</v>
      </c>
      <c r="AC83" s="6">
        <f t="shared" si="16"/>
        <v>0</v>
      </c>
      <c r="AD83" s="6">
        <f t="shared" si="11"/>
        <v>2586395.19</v>
      </c>
    </row>
    <row r="84" spans="1:30" x14ac:dyDescent="0.25">
      <c r="A84" s="3" t="s">
        <v>107</v>
      </c>
      <c r="B84" s="6">
        <f t="shared" ref="B84:AC84" si="17">(B25)-(B83)</f>
        <v>295052.76000000013</v>
      </c>
      <c r="C84" s="6">
        <f t="shared" si="17"/>
        <v>-88143.84</v>
      </c>
      <c r="D84" s="6">
        <f t="shared" si="17"/>
        <v>815552.93</v>
      </c>
      <c r="E84" s="6">
        <f t="shared" si="17"/>
        <v>-24350.21</v>
      </c>
      <c r="F84" s="6">
        <f t="shared" si="17"/>
        <v>-23697.859999999993</v>
      </c>
      <c r="G84" s="6">
        <f t="shared" si="17"/>
        <v>-2067.4600000000009</v>
      </c>
      <c r="H84" s="6">
        <f t="shared" si="17"/>
        <v>-21169.42</v>
      </c>
      <c r="I84" s="6">
        <f t="shared" si="17"/>
        <v>-33571.75</v>
      </c>
      <c r="J84" s="6">
        <f t="shared" si="17"/>
        <v>30656.589999999997</v>
      </c>
      <c r="K84" s="6">
        <f t="shared" si="17"/>
        <v>57003.840000000011</v>
      </c>
      <c r="L84" s="6">
        <f t="shared" si="17"/>
        <v>0</v>
      </c>
      <c r="M84" s="6">
        <f t="shared" si="17"/>
        <v>0</v>
      </c>
      <c r="N84" s="6">
        <f t="shared" si="17"/>
        <v>0</v>
      </c>
      <c r="O84" s="6">
        <f t="shared" si="17"/>
        <v>-42836.35</v>
      </c>
      <c r="P84" s="6">
        <f t="shared" si="17"/>
        <v>0</v>
      </c>
      <c r="Q84" s="6">
        <f t="shared" si="17"/>
        <v>-19204.3</v>
      </c>
      <c r="R84" s="6">
        <f t="shared" si="17"/>
        <v>-43767.03</v>
      </c>
      <c r="S84" s="6">
        <f t="shared" si="17"/>
        <v>0</v>
      </c>
      <c r="T84" s="6">
        <f t="shared" si="17"/>
        <v>0</v>
      </c>
      <c r="U84" s="6">
        <f t="shared" si="17"/>
        <v>0</v>
      </c>
      <c r="V84" s="6">
        <f t="shared" si="17"/>
        <v>0</v>
      </c>
      <c r="W84" s="6">
        <f t="shared" si="17"/>
        <v>-577283.35</v>
      </c>
      <c r="X84" s="6">
        <f t="shared" si="17"/>
        <v>0</v>
      </c>
      <c r="Y84" s="6">
        <f t="shared" si="17"/>
        <v>0</v>
      </c>
      <c r="Z84" s="6">
        <f t="shared" si="17"/>
        <v>0</v>
      </c>
      <c r="AA84" s="6">
        <f t="shared" si="17"/>
        <v>-6810.2200000000012</v>
      </c>
      <c r="AB84" s="6">
        <f t="shared" si="17"/>
        <v>-5637.2</v>
      </c>
      <c r="AC84" s="6">
        <f t="shared" si="17"/>
        <v>0</v>
      </c>
      <c r="AD84" s="6">
        <f t="shared" si="11"/>
        <v>309727.13000000018</v>
      </c>
    </row>
    <row r="85" spans="1:30" x14ac:dyDescent="0.25">
      <c r="A85" s="3" t="s">
        <v>108</v>
      </c>
      <c r="B85" s="7">
        <f t="shared" ref="B85:AC85" si="18">(B84)+(0)</f>
        <v>295052.76000000013</v>
      </c>
      <c r="C85" s="7">
        <f t="shared" si="18"/>
        <v>-88143.84</v>
      </c>
      <c r="D85" s="7">
        <f t="shared" si="18"/>
        <v>815552.93</v>
      </c>
      <c r="E85" s="7">
        <f t="shared" si="18"/>
        <v>-24350.21</v>
      </c>
      <c r="F85" s="7">
        <f t="shared" si="18"/>
        <v>-23697.859999999993</v>
      </c>
      <c r="G85" s="7">
        <f t="shared" si="18"/>
        <v>-2067.4600000000009</v>
      </c>
      <c r="H85" s="7">
        <f t="shared" si="18"/>
        <v>-21169.42</v>
      </c>
      <c r="I85" s="7">
        <f t="shared" si="18"/>
        <v>-33571.75</v>
      </c>
      <c r="J85" s="7">
        <f t="shared" si="18"/>
        <v>30656.589999999997</v>
      </c>
      <c r="K85" s="7">
        <f t="shared" si="18"/>
        <v>57003.840000000011</v>
      </c>
      <c r="L85" s="7">
        <f t="shared" si="18"/>
        <v>0</v>
      </c>
      <c r="M85" s="7">
        <f t="shared" si="18"/>
        <v>0</v>
      </c>
      <c r="N85" s="7">
        <f t="shared" si="18"/>
        <v>0</v>
      </c>
      <c r="O85" s="7">
        <f t="shared" si="18"/>
        <v>-42836.35</v>
      </c>
      <c r="P85" s="7">
        <f t="shared" si="18"/>
        <v>0</v>
      </c>
      <c r="Q85" s="7">
        <f t="shared" si="18"/>
        <v>-19204.3</v>
      </c>
      <c r="R85" s="7">
        <f t="shared" si="18"/>
        <v>-43767.03</v>
      </c>
      <c r="S85" s="7">
        <f t="shared" si="18"/>
        <v>0</v>
      </c>
      <c r="T85" s="7">
        <f t="shared" si="18"/>
        <v>0</v>
      </c>
      <c r="U85" s="7">
        <f t="shared" si="18"/>
        <v>0</v>
      </c>
      <c r="V85" s="7">
        <f t="shared" si="18"/>
        <v>0</v>
      </c>
      <c r="W85" s="7">
        <f t="shared" si="18"/>
        <v>-577283.35</v>
      </c>
      <c r="X85" s="7">
        <f t="shared" si="18"/>
        <v>0</v>
      </c>
      <c r="Y85" s="7">
        <f t="shared" si="18"/>
        <v>0</v>
      </c>
      <c r="Z85" s="7">
        <f t="shared" si="18"/>
        <v>0</v>
      </c>
      <c r="AA85" s="7">
        <f t="shared" si="18"/>
        <v>-6810.2200000000012</v>
      </c>
      <c r="AB85" s="7">
        <f t="shared" si="18"/>
        <v>-5637.2</v>
      </c>
      <c r="AC85" s="7">
        <f t="shared" si="18"/>
        <v>0</v>
      </c>
      <c r="AD85" s="7">
        <f t="shared" si="11"/>
        <v>309727.13000000018</v>
      </c>
    </row>
    <row r="86" spans="1:30" x14ac:dyDescent="0.25">
      <c r="A86" s="3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</row>
    <row r="89" spans="1:30" x14ac:dyDescent="0.25">
      <c r="A89" s="8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</row>
  </sheetData>
  <sheetProtection algorithmName="SHA-512" hashValue="Nvia0yLE5au6gNBFdRCewauvPlYg4LYxJJgYwIvjDcHL72mhuZ4EKn/W5wxKk0J1SG8gs7acGEkdtweca5qoog==" saltValue="vjur7s6aRTHy83cto/gQ6A==" spinCount="100000" sheet="1" objects="1" scenarios="1"/>
  <mergeCells count="4">
    <mergeCell ref="A89:AD89"/>
    <mergeCell ref="A1:AD1"/>
    <mergeCell ref="A2:AD2"/>
    <mergeCell ref="A3:AD3"/>
  </mergeCells>
  <pageMargins left="0.7" right="0.7" top="0.75" bottom="0.75" header="0.3" footer="0.3"/>
  <pageSetup paperSize="5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Profit and Loss by Class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Angie Perkins</cp:lastModifiedBy>
  <cp:lastPrinted>2024-09-09T18:46:05Z</cp:lastPrinted>
  <dcterms:created xsi:type="dcterms:W3CDTF">2024-09-09T18:45:22Z</dcterms:created>
  <dcterms:modified xsi:type="dcterms:W3CDTF">2024-09-12T12:59:42Z</dcterms:modified>
</cp:coreProperties>
</file>