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\\061FINANCE\Accounting\BOOKKEEPER\Board Reports\2024-25\"/>
    </mc:Choice>
  </mc:AlternateContent>
  <xr:revisionPtr revIDLastSave="0" documentId="13_ncr:1_{E1D789EB-7381-42DE-B196-C1EA20247B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Z74" i="1" l="1"/>
  <c r="Y74" i="1"/>
  <c r="U74" i="1"/>
  <c r="R74" i="1"/>
  <c r="Q74" i="1"/>
  <c r="M74" i="1"/>
  <c r="J74" i="1"/>
  <c r="I74" i="1"/>
  <c r="E74" i="1"/>
  <c r="D74" i="1"/>
  <c r="B74" i="1"/>
  <c r="Z73" i="1"/>
  <c r="Y73" i="1"/>
  <c r="X73" i="1"/>
  <c r="X74" i="1" s="1"/>
  <c r="W73" i="1"/>
  <c r="W74" i="1" s="1"/>
  <c r="V73" i="1"/>
  <c r="V74" i="1" s="1"/>
  <c r="U73" i="1"/>
  <c r="T73" i="1"/>
  <c r="T74" i="1" s="1"/>
  <c r="S73" i="1"/>
  <c r="S74" i="1" s="1"/>
  <c r="R73" i="1"/>
  <c r="Q73" i="1"/>
  <c r="P73" i="1"/>
  <c r="P74" i="1" s="1"/>
  <c r="O73" i="1"/>
  <c r="O74" i="1" s="1"/>
  <c r="N73" i="1"/>
  <c r="N74" i="1" s="1"/>
  <c r="M73" i="1"/>
  <c r="L73" i="1"/>
  <c r="L74" i="1" s="1"/>
  <c r="K73" i="1"/>
  <c r="K74" i="1" s="1"/>
  <c r="J73" i="1"/>
  <c r="H73" i="1"/>
  <c r="H74" i="1" s="1"/>
  <c r="G73" i="1"/>
  <c r="G74" i="1" s="1"/>
  <c r="F73" i="1"/>
  <c r="F74" i="1" s="1"/>
  <c r="E73" i="1"/>
  <c r="D73" i="1"/>
  <c r="C73" i="1"/>
  <c r="AA73" i="1" s="1"/>
  <c r="AA72" i="1"/>
  <c r="X71" i="1"/>
  <c r="W71" i="1"/>
  <c r="U71" i="1"/>
  <c r="T71" i="1"/>
  <c r="R71" i="1"/>
  <c r="Q71" i="1"/>
  <c r="O71" i="1"/>
  <c r="N71" i="1"/>
  <c r="M71" i="1"/>
  <c r="L71" i="1"/>
  <c r="K71" i="1"/>
  <c r="I71" i="1"/>
  <c r="H71" i="1"/>
  <c r="G71" i="1"/>
  <c r="F71" i="1"/>
  <c r="E71" i="1"/>
  <c r="AA70" i="1"/>
  <c r="B70" i="1"/>
  <c r="V69" i="1"/>
  <c r="S69" i="1"/>
  <c r="AA69" i="1" s="1"/>
  <c r="Z68" i="1"/>
  <c r="Y68" i="1"/>
  <c r="Y71" i="1" s="1"/>
  <c r="V68" i="1"/>
  <c r="T68" i="1"/>
  <c r="S68" i="1"/>
  <c r="P68" i="1"/>
  <c r="P71" i="1" s="1"/>
  <c r="D68" i="1"/>
  <c r="D71" i="1" s="1"/>
  <c r="C68" i="1"/>
  <c r="AA68" i="1" s="1"/>
  <c r="B68" i="1"/>
  <c r="Z67" i="1"/>
  <c r="V67" i="1"/>
  <c r="S67" i="1"/>
  <c r="J67" i="1"/>
  <c r="J71" i="1" s="1"/>
  <c r="B67" i="1"/>
  <c r="B71" i="1" s="1"/>
  <c r="Z66" i="1"/>
  <c r="Z71" i="1" s="1"/>
  <c r="V66" i="1"/>
  <c r="V71" i="1" s="1"/>
  <c r="S66" i="1"/>
  <c r="AA66" i="1" s="1"/>
  <c r="C66" i="1"/>
  <c r="C71" i="1" s="1"/>
  <c r="AA65" i="1"/>
  <c r="Z64" i="1"/>
  <c r="W64" i="1"/>
  <c r="V64" i="1"/>
  <c r="U64" i="1"/>
  <c r="R64" i="1"/>
  <c r="Q64" i="1"/>
  <c r="P64" i="1"/>
  <c r="O64" i="1"/>
  <c r="N64" i="1"/>
  <c r="L64" i="1"/>
  <c r="K64" i="1"/>
  <c r="J64" i="1"/>
  <c r="I64" i="1"/>
  <c r="H64" i="1"/>
  <c r="G64" i="1"/>
  <c r="F64" i="1"/>
  <c r="E64" i="1"/>
  <c r="B64" i="1"/>
  <c r="Z63" i="1"/>
  <c r="Y63" i="1"/>
  <c r="X63" i="1"/>
  <c r="X64" i="1" s="1"/>
  <c r="V63" i="1"/>
  <c r="T63" i="1"/>
  <c r="S63" i="1"/>
  <c r="M63" i="1"/>
  <c r="J63" i="1"/>
  <c r="F63" i="1"/>
  <c r="D63" i="1"/>
  <c r="C63" i="1"/>
  <c r="AA63" i="1" s="1"/>
  <c r="B63" i="1"/>
  <c r="J62" i="1"/>
  <c r="C62" i="1"/>
  <c r="B62" i="1"/>
  <c r="AA62" i="1" s="1"/>
  <c r="Z61" i="1"/>
  <c r="Y61" i="1"/>
  <c r="V61" i="1"/>
  <c r="S61" i="1"/>
  <c r="D61" i="1"/>
  <c r="C61" i="1"/>
  <c r="B61" i="1"/>
  <c r="AA61" i="1" s="1"/>
  <c r="Z60" i="1"/>
  <c r="Y60" i="1"/>
  <c r="Y64" i="1" s="1"/>
  <c r="V60" i="1"/>
  <c r="T60" i="1"/>
  <c r="T64" i="1" s="1"/>
  <c r="S60" i="1"/>
  <c r="S64" i="1" s="1"/>
  <c r="M60" i="1"/>
  <c r="M64" i="1" s="1"/>
  <c r="D60" i="1"/>
  <c r="D64" i="1" s="1"/>
  <c r="C60" i="1"/>
  <c r="AA60" i="1" s="1"/>
  <c r="B60" i="1"/>
  <c r="AA59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C58" i="1"/>
  <c r="D57" i="1"/>
  <c r="D58" i="1" s="1"/>
  <c r="B57" i="1"/>
  <c r="AA57" i="1" s="1"/>
  <c r="D56" i="1"/>
  <c r="B56" i="1"/>
  <c r="AA56" i="1" s="1"/>
  <c r="AA55" i="1"/>
  <c r="Y54" i="1"/>
  <c r="X54" i="1"/>
  <c r="W54" i="1"/>
  <c r="U54" i="1"/>
  <c r="Q54" i="1"/>
  <c r="P54" i="1"/>
  <c r="O54" i="1"/>
  <c r="N54" i="1"/>
  <c r="M54" i="1"/>
  <c r="L54" i="1"/>
  <c r="K54" i="1"/>
  <c r="J54" i="1"/>
  <c r="I54" i="1"/>
  <c r="H54" i="1"/>
  <c r="F54" i="1"/>
  <c r="E54" i="1"/>
  <c r="AA53" i="1"/>
  <c r="B53" i="1"/>
  <c r="Z52" i="1"/>
  <c r="Z54" i="1" s="1"/>
  <c r="Y52" i="1"/>
  <c r="V52" i="1"/>
  <c r="V54" i="1" s="1"/>
  <c r="T52" i="1"/>
  <c r="T54" i="1" s="1"/>
  <c r="S52" i="1"/>
  <c r="S54" i="1" s="1"/>
  <c r="R52" i="1"/>
  <c r="R54" i="1" s="1"/>
  <c r="M52" i="1"/>
  <c r="G52" i="1"/>
  <c r="G54" i="1" s="1"/>
  <c r="D52" i="1"/>
  <c r="C52" i="1"/>
  <c r="C54" i="1" s="1"/>
  <c r="B52" i="1"/>
  <c r="AA52" i="1" s="1"/>
  <c r="D51" i="1"/>
  <c r="B51" i="1"/>
  <c r="AA51" i="1" s="1"/>
  <c r="AA50" i="1"/>
  <c r="D50" i="1"/>
  <c r="B50" i="1"/>
  <c r="AA49" i="1"/>
  <c r="D49" i="1"/>
  <c r="B49" i="1"/>
  <c r="D48" i="1"/>
  <c r="D54" i="1" s="1"/>
  <c r="B48" i="1"/>
  <c r="B54" i="1" s="1"/>
  <c r="AA47" i="1"/>
  <c r="V46" i="1"/>
  <c r="T46" i="1"/>
  <c r="M46" i="1"/>
  <c r="I46" i="1"/>
  <c r="F46" i="1"/>
  <c r="D46" i="1"/>
  <c r="C46" i="1"/>
  <c r="B46" i="1"/>
  <c r="AA46" i="1" s="1"/>
  <c r="X45" i="1"/>
  <c r="W45" i="1"/>
  <c r="U45" i="1"/>
  <c r="S45" i="1"/>
  <c r="R45" i="1"/>
  <c r="Q45" i="1"/>
  <c r="P45" i="1"/>
  <c r="O45" i="1"/>
  <c r="N45" i="1"/>
  <c r="K45" i="1"/>
  <c r="J45" i="1"/>
  <c r="I45" i="1"/>
  <c r="H45" i="1"/>
  <c r="G45" i="1"/>
  <c r="F45" i="1"/>
  <c r="E45" i="1"/>
  <c r="C45" i="1"/>
  <c r="Z44" i="1"/>
  <c r="Z45" i="1" s="1"/>
  <c r="Y44" i="1"/>
  <c r="V44" i="1"/>
  <c r="T44" i="1"/>
  <c r="T45" i="1" s="1"/>
  <c r="S44" i="1"/>
  <c r="M44" i="1"/>
  <c r="M45" i="1" s="1"/>
  <c r="K44" i="1"/>
  <c r="G44" i="1"/>
  <c r="F44" i="1"/>
  <c r="D44" i="1"/>
  <c r="C44" i="1"/>
  <c r="B44" i="1"/>
  <c r="AA44" i="1" s="1"/>
  <c r="D43" i="1"/>
  <c r="B43" i="1"/>
  <c r="AA43" i="1" s="1"/>
  <c r="Y42" i="1"/>
  <c r="Y45" i="1" s="1"/>
  <c r="V42" i="1"/>
  <c r="V45" i="1" s="1"/>
  <c r="S42" i="1"/>
  <c r="N42" i="1"/>
  <c r="L42" i="1"/>
  <c r="L45" i="1" s="1"/>
  <c r="D42" i="1"/>
  <c r="D45" i="1" s="1"/>
  <c r="B42" i="1"/>
  <c r="B45" i="1" s="1"/>
  <c r="AA45" i="1" s="1"/>
  <c r="AA41" i="1"/>
  <c r="X40" i="1"/>
  <c r="U40" i="1"/>
  <c r="J40" i="1"/>
  <c r="I40" i="1"/>
  <c r="Z39" i="1"/>
  <c r="Y39" i="1"/>
  <c r="W39" i="1"/>
  <c r="V39" i="1"/>
  <c r="T39" i="1"/>
  <c r="S39" i="1"/>
  <c r="P39" i="1"/>
  <c r="N39" i="1"/>
  <c r="M39" i="1"/>
  <c r="F39" i="1"/>
  <c r="E39" i="1"/>
  <c r="AA39" i="1" s="1"/>
  <c r="C39" i="1"/>
  <c r="Z38" i="1"/>
  <c r="Y38" i="1"/>
  <c r="V38" i="1"/>
  <c r="T38" i="1"/>
  <c r="P38" i="1"/>
  <c r="O38" i="1"/>
  <c r="M38" i="1"/>
  <c r="L38" i="1"/>
  <c r="K38" i="1"/>
  <c r="H38" i="1"/>
  <c r="G38" i="1"/>
  <c r="E38" i="1"/>
  <c r="D38" i="1"/>
  <c r="C38" i="1"/>
  <c r="AA38" i="1" s="1"/>
  <c r="B37" i="1"/>
  <c r="AA37" i="1" s="1"/>
  <c r="Z36" i="1"/>
  <c r="S36" i="1"/>
  <c r="N36" i="1"/>
  <c r="D36" i="1"/>
  <c r="B36" i="1"/>
  <c r="AA36" i="1" s="1"/>
  <c r="Z35" i="1"/>
  <c r="Y35" i="1"/>
  <c r="W35" i="1"/>
  <c r="V35" i="1"/>
  <c r="T35" i="1"/>
  <c r="S35" i="1"/>
  <c r="P35" i="1"/>
  <c r="N35" i="1"/>
  <c r="M35" i="1"/>
  <c r="F35" i="1"/>
  <c r="E35" i="1"/>
  <c r="C35" i="1"/>
  <c r="AA35" i="1" s="1"/>
  <c r="Z34" i="1"/>
  <c r="V34" i="1"/>
  <c r="V40" i="1" s="1"/>
  <c r="S34" i="1"/>
  <c r="O34" i="1"/>
  <c r="N34" i="1"/>
  <c r="M34" i="1"/>
  <c r="L34" i="1"/>
  <c r="H34" i="1"/>
  <c r="D34" i="1"/>
  <c r="C34" i="1"/>
  <c r="B34" i="1"/>
  <c r="AA34" i="1" s="1"/>
  <c r="Z33" i="1"/>
  <c r="Y33" i="1"/>
  <c r="W33" i="1"/>
  <c r="V33" i="1"/>
  <c r="T33" i="1"/>
  <c r="S33" i="1"/>
  <c r="R33" i="1"/>
  <c r="Q33" i="1"/>
  <c r="P33" i="1"/>
  <c r="M33" i="1"/>
  <c r="L33" i="1"/>
  <c r="K33" i="1"/>
  <c r="G33" i="1"/>
  <c r="F33" i="1"/>
  <c r="E33" i="1"/>
  <c r="D33" i="1"/>
  <c r="C33" i="1"/>
  <c r="B33" i="1"/>
  <c r="B40" i="1" s="1"/>
  <c r="Z32" i="1"/>
  <c r="Y32" i="1"/>
  <c r="W32" i="1"/>
  <c r="V32" i="1"/>
  <c r="T32" i="1"/>
  <c r="S32" i="1"/>
  <c r="R32" i="1"/>
  <c r="R40" i="1" s="1"/>
  <c r="Q32" i="1"/>
  <c r="Q40" i="1" s="1"/>
  <c r="P32" i="1"/>
  <c r="O32" i="1"/>
  <c r="N32" i="1"/>
  <c r="N40" i="1" s="1"/>
  <c r="M32" i="1"/>
  <c r="L32" i="1"/>
  <c r="K32" i="1"/>
  <c r="K40" i="1" s="1"/>
  <c r="H32" i="1"/>
  <c r="G32" i="1"/>
  <c r="G40" i="1" s="1"/>
  <c r="F32" i="1"/>
  <c r="E32" i="1"/>
  <c r="D32" i="1"/>
  <c r="AA32" i="1" s="1"/>
  <c r="C32" i="1"/>
  <c r="B32" i="1"/>
  <c r="Z31" i="1"/>
  <c r="Z40" i="1" s="1"/>
  <c r="Y31" i="1"/>
  <c r="V31" i="1"/>
  <c r="S31" i="1"/>
  <c r="O31" i="1"/>
  <c r="O40" i="1" s="1"/>
  <c r="N31" i="1"/>
  <c r="M31" i="1"/>
  <c r="L31" i="1"/>
  <c r="L40" i="1" s="1"/>
  <c r="H31" i="1"/>
  <c r="H40" i="1" s="1"/>
  <c r="D31" i="1"/>
  <c r="D40" i="1" s="1"/>
  <c r="C31" i="1"/>
  <c r="B31" i="1"/>
  <c r="AA31" i="1" s="1"/>
  <c r="AA30" i="1"/>
  <c r="B30" i="1"/>
  <c r="Z29" i="1"/>
  <c r="Y29" i="1"/>
  <c r="Y40" i="1" s="1"/>
  <c r="W29" i="1"/>
  <c r="W40" i="1" s="1"/>
  <c r="V29" i="1"/>
  <c r="T29" i="1"/>
  <c r="T40" i="1" s="1"/>
  <c r="S29" i="1"/>
  <c r="S40" i="1" s="1"/>
  <c r="P29" i="1"/>
  <c r="P40" i="1" s="1"/>
  <c r="N29" i="1"/>
  <c r="M29" i="1"/>
  <c r="M40" i="1" s="1"/>
  <c r="F29" i="1"/>
  <c r="F40" i="1" s="1"/>
  <c r="E29" i="1"/>
  <c r="E40" i="1" s="1"/>
  <c r="C29" i="1"/>
  <c r="AA29" i="1" s="1"/>
  <c r="AA28" i="1"/>
  <c r="X27" i="1"/>
  <c r="W27" i="1"/>
  <c r="W75" i="1" s="1"/>
  <c r="U27" i="1"/>
  <c r="U75" i="1" s="1"/>
  <c r="O27" i="1"/>
  <c r="N27" i="1"/>
  <c r="K27" i="1"/>
  <c r="K75" i="1" s="1"/>
  <c r="J27" i="1"/>
  <c r="J75" i="1" s="1"/>
  <c r="I27" i="1"/>
  <c r="I75" i="1" s="1"/>
  <c r="G27" i="1"/>
  <c r="Z26" i="1"/>
  <c r="V26" i="1"/>
  <c r="V27" i="1" s="1"/>
  <c r="V75" i="1" s="1"/>
  <c r="S26" i="1"/>
  <c r="O26" i="1"/>
  <c r="N26" i="1"/>
  <c r="M26" i="1"/>
  <c r="L26" i="1"/>
  <c r="H26" i="1"/>
  <c r="H27" i="1" s="1"/>
  <c r="H75" i="1" s="1"/>
  <c r="D26" i="1"/>
  <c r="C26" i="1"/>
  <c r="C27" i="1" s="1"/>
  <c r="B26" i="1"/>
  <c r="AA26" i="1" s="1"/>
  <c r="Z25" i="1"/>
  <c r="Z27" i="1" s="1"/>
  <c r="Y25" i="1"/>
  <c r="Y27" i="1" s="1"/>
  <c r="Y75" i="1" s="1"/>
  <c r="W25" i="1"/>
  <c r="V25" i="1"/>
  <c r="T25" i="1"/>
  <c r="T27" i="1" s="1"/>
  <c r="S25" i="1"/>
  <c r="S27" i="1" s="1"/>
  <c r="R25" i="1"/>
  <c r="R27" i="1" s="1"/>
  <c r="R75" i="1" s="1"/>
  <c r="Q25" i="1"/>
  <c r="Q27" i="1" s="1"/>
  <c r="Q75" i="1" s="1"/>
  <c r="P25" i="1"/>
  <c r="P27" i="1" s="1"/>
  <c r="M25" i="1"/>
  <c r="M27" i="1" s="1"/>
  <c r="M75" i="1" s="1"/>
  <c r="L25" i="1"/>
  <c r="L27" i="1" s="1"/>
  <c r="L75" i="1" s="1"/>
  <c r="K25" i="1"/>
  <c r="G25" i="1"/>
  <c r="F25" i="1"/>
  <c r="F27" i="1" s="1"/>
  <c r="F75" i="1" s="1"/>
  <c r="E25" i="1"/>
  <c r="E27" i="1" s="1"/>
  <c r="E75" i="1" s="1"/>
  <c r="D25" i="1"/>
  <c r="D27" i="1" s="1"/>
  <c r="C25" i="1"/>
  <c r="B25" i="1"/>
  <c r="AA25" i="1" s="1"/>
  <c r="AA24" i="1"/>
  <c r="K21" i="1"/>
  <c r="K22" i="1" s="1"/>
  <c r="Y20" i="1"/>
  <c r="W20" i="1"/>
  <c r="U20" i="1"/>
  <c r="R20" i="1"/>
  <c r="Q20" i="1"/>
  <c r="P20" i="1"/>
  <c r="O20" i="1"/>
  <c r="M20" i="1"/>
  <c r="K20" i="1"/>
  <c r="J20" i="1"/>
  <c r="I20" i="1"/>
  <c r="H20" i="1"/>
  <c r="G20" i="1"/>
  <c r="E20" i="1"/>
  <c r="D20" i="1"/>
  <c r="B20" i="1"/>
  <c r="Z19" i="1"/>
  <c r="Z20" i="1" s="1"/>
  <c r="Y19" i="1"/>
  <c r="X19" i="1"/>
  <c r="X20" i="1" s="1"/>
  <c r="V19" i="1"/>
  <c r="AA19" i="1" s="1"/>
  <c r="T19" i="1"/>
  <c r="T20" i="1" s="1"/>
  <c r="S19" i="1"/>
  <c r="S20" i="1" s="1"/>
  <c r="S21" i="1" s="1"/>
  <c r="S22" i="1" s="1"/>
  <c r="M19" i="1"/>
  <c r="F19" i="1"/>
  <c r="F20" i="1" s="1"/>
  <c r="C19" i="1"/>
  <c r="C20" i="1" s="1"/>
  <c r="C21" i="1" s="1"/>
  <c r="C22" i="1" s="1"/>
  <c r="N18" i="1"/>
  <c r="N20" i="1" s="1"/>
  <c r="L18" i="1"/>
  <c r="L20" i="1" s="1"/>
  <c r="AA17" i="1"/>
  <c r="B16" i="1"/>
  <c r="AA16" i="1" s="1"/>
  <c r="Z15" i="1"/>
  <c r="Z21" i="1" s="1"/>
  <c r="Z22" i="1" s="1"/>
  <c r="Y15" i="1"/>
  <c r="Y21" i="1" s="1"/>
  <c r="Y22" i="1" s="1"/>
  <c r="X15" i="1"/>
  <c r="W15" i="1"/>
  <c r="W21" i="1" s="1"/>
  <c r="W22" i="1" s="1"/>
  <c r="V15" i="1"/>
  <c r="U15" i="1"/>
  <c r="U21" i="1" s="1"/>
  <c r="U22" i="1" s="1"/>
  <c r="U76" i="1" s="1"/>
  <c r="U77" i="1" s="1"/>
  <c r="T15" i="1"/>
  <c r="T21" i="1" s="1"/>
  <c r="T22" i="1" s="1"/>
  <c r="S15" i="1"/>
  <c r="R15" i="1"/>
  <c r="R21" i="1" s="1"/>
  <c r="R22" i="1" s="1"/>
  <c r="Q15" i="1"/>
  <c r="Q21" i="1" s="1"/>
  <c r="Q22" i="1" s="1"/>
  <c r="Q76" i="1" s="1"/>
  <c r="Q77" i="1" s="1"/>
  <c r="P15" i="1"/>
  <c r="P21" i="1" s="1"/>
  <c r="P22" i="1" s="1"/>
  <c r="O15" i="1"/>
  <c r="O21" i="1" s="1"/>
  <c r="O22" i="1" s="1"/>
  <c r="N15" i="1"/>
  <c r="N21" i="1" s="1"/>
  <c r="N22" i="1" s="1"/>
  <c r="M15" i="1"/>
  <c r="M21" i="1" s="1"/>
  <c r="M22" i="1" s="1"/>
  <c r="M76" i="1" s="1"/>
  <c r="M77" i="1" s="1"/>
  <c r="L15" i="1"/>
  <c r="K15" i="1"/>
  <c r="J15" i="1"/>
  <c r="J21" i="1" s="1"/>
  <c r="J22" i="1" s="1"/>
  <c r="J76" i="1" s="1"/>
  <c r="J77" i="1" s="1"/>
  <c r="H15" i="1"/>
  <c r="H21" i="1" s="1"/>
  <c r="H22" i="1" s="1"/>
  <c r="G15" i="1"/>
  <c r="G21" i="1" s="1"/>
  <c r="G22" i="1" s="1"/>
  <c r="F15" i="1"/>
  <c r="F21" i="1" s="1"/>
  <c r="F22" i="1" s="1"/>
  <c r="E15" i="1"/>
  <c r="E21" i="1" s="1"/>
  <c r="E22" i="1" s="1"/>
  <c r="D15" i="1"/>
  <c r="D21" i="1" s="1"/>
  <c r="D22" i="1" s="1"/>
  <c r="C15" i="1"/>
  <c r="B14" i="1"/>
  <c r="AA14" i="1" s="1"/>
  <c r="AA13" i="1"/>
  <c r="B13" i="1"/>
  <c r="B12" i="1"/>
  <c r="AA12" i="1" s="1"/>
  <c r="AA11" i="1"/>
  <c r="I11" i="1"/>
  <c r="I10" i="1"/>
  <c r="I15" i="1" s="1"/>
  <c r="I21" i="1" s="1"/>
  <c r="I22" i="1" s="1"/>
  <c r="I76" i="1" s="1"/>
  <c r="I77" i="1" s="1"/>
  <c r="AA9" i="1"/>
  <c r="B9" i="1"/>
  <c r="B8" i="1"/>
  <c r="AA8" i="1" s="1"/>
  <c r="AA7" i="1"/>
  <c r="R76" i="1" l="1"/>
  <c r="R77" i="1" s="1"/>
  <c r="L21" i="1"/>
  <c r="L22" i="1" s="1"/>
  <c r="L76" i="1" s="1"/>
  <c r="L77" i="1" s="1"/>
  <c r="D75" i="1"/>
  <c r="O75" i="1"/>
  <c r="O76" i="1" s="1"/>
  <c r="O77" i="1" s="1"/>
  <c r="AA54" i="1"/>
  <c r="E76" i="1"/>
  <c r="E77" i="1" s="1"/>
  <c r="W76" i="1"/>
  <c r="W77" i="1" s="1"/>
  <c r="T75" i="1"/>
  <c r="T76" i="1" s="1"/>
  <c r="T77" i="1" s="1"/>
  <c r="G75" i="1"/>
  <c r="G76" i="1" s="1"/>
  <c r="G77" i="1" s="1"/>
  <c r="X75" i="1"/>
  <c r="AA71" i="1"/>
  <c r="F76" i="1"/>
  <c r="F77" i="1" s="1"/>
  <c r="P76" i="1"/>
  <c r="P77" i="1" s="1"/>
  <c r="X21" i="1"/>
  <c r="X22" i="1" s="1"/>
  <c r="K76" i="1"/>
  <c r="K77" i="1" s="1"/>
  <c r="AA64" i="1"/>
  <c r="H76" i="1"/>
  <c r="H77" i="1" s="1"/>
  <c r="Y76" i="1"/>
  <c r="Y77" i="1" s="1"/>
  <c r="D76" i="1"/>
  <c r="D77" i="1" s="1"/>
  <c r="Z76" i="1"/>
  <c r="Z77" i="1" s="1"/>
  <c r="P75" i="1"/>
  <c r="Z75" i="1"/>
  <c r="N75" i="1"/>
  <c r="N76" i="1" s="1"/>
  <c r="N77" i="1" s="1"/>
  <c r="V20" i="1"/>
  <c r="V21" i="1" s="1"/>
  <c r="V22" i="1" s="1"/>
  <c r="V76" i="1" s="1"/>
  <c r="V77" i="1" s="1"/>
  <c r="C40" i="1"/>
  <c r="C75" i="1" s="1"/>
  <c r="C76" i="1" s="1"/>
  <c r="C77" i="1" s="1"/>
  <c r="AA48" i="1"/>
  <c r="C64" i="1"/>
  <c r="C74" i="1"/>
  <c r="AA74" i="1" s="1"/>
  <c r="AA10" i="1"/>
  <c r="AA18" i="1"/>
  <c r="AA33" i="1"/>
  <c r="AA42" i="1"/>
  <c r="B58" i="1"/>
  <c r="AA58" i="1" s="1"/>
  <c r="B15" i="1"/>
  <c r="B27" i="1"/>
  <c r="AA67" i="1"/>
  <c r="S71" i="1"/>
  <c r="S75" i="1" s="1"/>
  <c r="S76" i="1" s="1"/>
  <c r="S77" i="1" s="1"/>
  <c r="AA27" i="1" l="1"/>
  <c r="B75" i="1"/>
  <c r="AA75" i="1" s="1"/>
  <c r="AA40" i="1"/>
  <c r="AA20" i="1"/>
  <c r="X76" i="1"/>
  <c r="X77" i="1" s="1"/>
  <c r="B21" i="1"/>
  <c r="AA15" i="1"/>
  <c r="B22" i="1" l="1"/>
  <c r="AA21" i="1"/>
  <c r="B76" i="1" l="1"/>
  <c r="AA22" i="1"/>
  <c r="B77" i="1" l="1"/>
  <c r="AA77" i="1" s="1"/>
  <c r="AA76" i="1"/>
</calcChain>
</file>

<file path=xl/sharedStrings.xml><?xml version="1.0" encoding="utf-8"?>
<sst xmlns="http://schemas.openxmlformats.org/spreadsheetml/2006/main" count="101" uniqueCount="101">
  <si>
    <t>0010 - Operations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</si>
  <si>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</si>
  <si>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</si>
  <si>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</si>
  <si>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</si>
  <si>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</si>
  <si>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</si>
  <si>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</si>
  <si>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</si>
  <si>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</si>
  <si>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</si>
  <si>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</si>
  <si>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</si>
  <si>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</si>
  <si>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</si>
  <si>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</si>
  <si>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</si>
  <si>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</si>
  <si>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3416- SPF</t>
  </si>
  <si>
    <t>3420 - Interact for Health</t>
  </si>
  <si>
    <t>3425 - Deeper Learning</t>
  </si>
  <si>
    <t>345K - Title III EL 23-24</t>
  </si>
  <si>
    <t>3601 - School Based Interventions</t>
  </si>
  <si>
    <t>3800 - Trauma Informed</t>
  </si>
  <si>
    <t>3925 - Mental Health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</si>
  <si>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</si>
  <si>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</si>
  <si>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</si>
  <si>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</si>
  <si>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</si>
  <si>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</si>
  <si>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</si>
  <si>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</si>
  <si>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</si>
  <si>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31999 MISC. REVENUES</t>
  </si>
  <si>
    <t xml:space="preserve">   Total 31100 UNRESTRICTED INCOME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</si>
  <si>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</si>
  <si>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</si>
  <si>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</si>
  <si>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</si>
  <si>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</si>
  <si>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</si>
  <si>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</si>
  <si>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</si>
  <si>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</si>
  <si>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</si>
  <si>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</si>
  <si>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</si>
  <si>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</si>
  <si>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</si>
  <si>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</si>
  <si>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</si>
  <si>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</si>
  <si>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</si>
  <si>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</si>
  <si>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</si>
  <si>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</si>
  <si>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</si>
  <si>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</si>
  <si>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</si>
  <si>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</si>
  <si>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</si>
  <si>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</si>
  <si>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</si>
  <si>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</si>
  <si>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</si>
  <si>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</si>
  <si>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</si>
  <si>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</si>
  <si>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40421 SANITATION SERVICE</t>
  </si>
  <si>
    <t xml:space="preserve">      40430 FACILITIES/REPAIR/MAINTENANCE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</si>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</sst>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1"/>
  <sheetViews>
    <sheetView tabSelected="1" topLeftCell="D1" workbookViewId="0">
      <selection activeCell="A81" sqref="A81:AA81"/>
    </sheetView>
  </sheetViews>
  <sheetFormatPr defaultRowHeight="15" x14ac:dyDescent="0.25"/>
  <cols>
    <col min="1" max="1" width="37.85546875" customWidth="1"/>
    <col min="2" max="2" width="10.28515625" customWidth="1"/>
    <col min="3" max="3" width="11.140625" customWidth="1"/>
    <col min="4" max="4" width="12" customWidth="1"/>
    <col min="5" max="6" width="11.140625" customWidth="1"/>
    <col min="7" max="7" width="10.28515625" customWidth="1"/>
    <col min="8" max="9" width="11.140625" customWidth="1"/>
    <col min="10" max="10" width="8.5703125" customWidth="1"/>
    <col min="11" max="11" width="10.28515625" customWidth="1"/>
    <col min="12" max="15" width="11.140625" customWidth="1"/>
    <col min="16" max="16" width="12" customWidth="1"/>
    <col min="17" max="18" width="10.28515625" customWidth="1"/>
    <col min="19" max="20" width="11.140625" customWidth="1"/>
    <col min="21" max="21" width="7.7109375" customWidth="1"/>
    <col min="22" max="22" width="12" customWidth="1"/>
    <col min="23" max="23" width="10.28515625" customWidth="1"/>
    <col min="24" max="24" width="8.5703125" customWidth="1"/>
    <col min="25" max="26" width="11.140625" customWidth="1"/>
    <col min="27" max="27" width="12" customWidth="1"/>
  </cols>
  <sheetData>
    <row r="1" spans="1:27" ht="18" x14ac:dyDescent="0.25">
      <c r="A1" s="10" t="s">
        <v>98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8" x14ac:dyDescent="0.25">
      <c r="A2" s="10" t="s">
        <v>99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11" t="s">
        <v>100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5" spans="1:27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</row>
    <row r="6" spans="1:27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A7" s="3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>
        <f t="shared" ref="AA7:AA22" si="0">((((((((((((((((((((((((B7)+(C7))+(D7))+(E7))+(F7))+(G7))+(H7))+(I7))+(J7))+(K7))+(L7))+(M7))+(N7))+(O7))+(P7))+(Q7))+(R7))+(S7))+(T7))+(U7))+(V7))+(W7))+(X7))+(Y7))+(Z7)</f>
        <v>0</v>
      </c>
    </row>
    <row r="8" spans="1:27" x14ac:dyDescent="0.25">
      <c r="A8" s="3" t="s">
        <v>28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>
        <f t="shared" si="0"/>
        <v>283131.02</v>
      </c>
    </row>
    <row r="9" spans="1:27" x14ac:dyDescent="0.25">
      <c r="A9" s="3" t="s">
        <v>29</v>
      </c>
      <c r="B9" s="5">
        <f>14450.7</f>
        <v>14450.7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>
        <f t="shared" si="0"/>
        <v>14450.7</v>
      </c>
    </row>
    <row r="10" spans="1:27" x14ac:dyDescent="0.25">
      <c r="A10" s="3" t="s">
        <v>30</v>
      </c>
      <c r="B10" s="4"/>
      <c r="C10" s="4"/>
      <c r="D10" s="4"/>
      <c r="E10" s="4"/>
      <c r="F10" s="4"/>
      <c r="G10" s="4"/>
      <c r="H10" s="4"/>
      <c r="I10" s="5">
        <f>2684.26</f>
        <v>2684.26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>
        <f t="shared" si="0"/>
        <v>2684.26</v>
      </c>
    </row>
    <row r="11" spans="1:27" x14ac:dyDescent="0.25">
      <c r="A11" s="3" t="s">
        <v>31</v>
      </c>
      <c r="B11" s="4"/>
      <c r="C11" s="4"/>
      <c r="D11" s="4"/>
      <c r="E11" s="4"/>
      <c r="F11" s="4"/>
      <c r="G11" s="4"/>
      <c r="H11" s="4"/>
      <c r="I11" s="5">
        <f>1295.99</f>
        <v>1295.99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 t="shared" si="0"/>
        <v>1295.99</v>
      </c>
    </row>
    <row r="12" spans="1:27" x14ac:dyDescent="0.25">
      <c r="A12" s="3" t="s">
        <v>32</v>
      </c>
      <c r="B12" s="5">
        <f>32562.48</f>
        <v>32562.48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>
        <f t="shared" si="0"/>
        <v>32562.48</v>
      </c>
    </row>
    <row r="13" spans="1:27" x14ac:dyDescent="0.25">
      <c r="A13" s="3" t="s">
        <v>33</v>
      </c>
      <c r="B13" s="5">
        <f>80104.56</f>
        <v>80104.56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>
        <f t="shared" si="0"/>
        <v>80104.56</v>
      </c>
    </row>
    <row r="14" spans="1:27" x14ac:dyDescent="0.25">
      <c r="A14" s="3" t="s">
        <v>34</v>
      </c>
      <c r="B14" s="5">
        <f>0</f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5">
        <f t="shared" si="0"/>
        <v>0</v>
      </c>
    </row>
    <row r="15" spans="1:27" x14ac:dyDescent="0.25">
      <c r="A15" s="3" t="s">
        <v>35</v>
      </c>
      <c r="B15" s="6">
        <f t="shared" ref="B15:Z15" si="1">(((((((B7)+(B8))+(B9))+(B10))+(B11))+(B12))+(B13))+(B14)</f>
        <v>410248.76</v>
      </c>
      <c r="C15" s="6">
        <f t="shared" si="1"/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3980.25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6">
        <f t="shared" si="1"/>
        <v>0</v>
      </c>
      <c r="T15" s="6">
        <f t="shared" si="1"/>
        <v>0</v>
      </c>
      <c r="U15" s="6">
        <f t="shared" si="1"/>
        <v>0</v>
      </c>
      <c r="V15" s="6">
        <f t="shared" si="1"/>
        <v>0</v>
      </c>
      <c r="W15" s="6">
        <f t="shared" si="1"/>
        <v>0</v>
      </c>
      <c r="X15" s="6">
        <f t="shared" si="1"/>
        <v>0</v>
      </c>
      <c r="Y15" s="6">
        <f t="shared" si="1"/>
        <v>0</v>
      </c>
      <c r="Z15" s="6">
        <f t="shared" si="1"/>
        <v>0</v>
      </c>
      <c r="AA15" s="6">
        <f t="shared" si="0"/>
        <v>414229.01</v>
      </c>
    </row>
    <row r="16" spans="1:27" x14ac:dyDescent="0.25">
      <c r="A16" s="3" t="s">
        <v>36</v>
      </c>
      <c r="B16" s="5">
        <f>6457.02</f>
        <v>6457.02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5">
        <f t="shared" si="0"/>
        <v>6457.02</v>
      </c>
    </row>
    <row r="17" spans="1:27" x14ac:dyDescent="0.25">
      <c r="A17" s="3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>
        <f t="shared" si="0"/>
        <v>0</v>
      </c>
    </row>
    <row r="18" spans="1:27" x14ac:dyDescent="0.25">
      <c r="A18" s="3" t="s">
        <v>38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>
        <f>-116.5</f>
        <v>-116.5</v>
      </c>
      <c r="M18" s="4"/>
      <c r="N18" s="5">
        <f>-1022.29</f>
        <v>-1022.29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>
        <f t="shared" si="0"/>
        <v>-1138.79</v>
      </c>
    </row>
    <row r="19" spans="1:27" x14ac:dyDescent="0.25">
      <c r="A19" s="3" t="s">
        <v>39</v>
      </c>
      <c r="B19" s="4"/>
      <c r="C19" s="5">
        <f>-28143.93</f>
        <v>-28143.93</v>
      </c>
      <c r="D19" s="4"/>
      <c r="E19" s="4"/>
      <c r="F19" s="5">
        <f>-2584.31</f>
        <v>-2584.31</v>
      </c>
      <c r="G19" s="4"/>
      <c r="H19" s="4"/>
      <c r="I19" s="4"/>
      <c r="J19" s="4"/>
      <c r="K19" s="4"/>
      <c r="L19" s="4"/>
      <c r="M19" s="5">
        <f>-22016.58</f>
        <v>-22016.58</v>
      </c>
      <c r="N19" s="4"/>
      <c r="O19" s="4"/>
      <c r="P19" s="4"/>
      <c r="Q19" s="4"/>
      <c r="R19" s="4"/>
      <c r="S19" s="5">
        <f>-9499.87</f>
        <v>-9499.8700000000008</v>
      </c>
      <c r="T19" s="5">
        <f>-14086.02</f>
        <v>-14086.02</v>
      </c>
      <c r="U19" s="4"/>
      <c r="V19" s="5">
        <f>-157210.23</f>
        <v>-157210.23000000001</v>
      </c>
      <c r="W19" s="4"/>
      <c r="X19" s="5">
        <f>4482.87</f>
        <v>4482.87</v>
      </c>
      <c r="Y19" s="5">
        <f>-2663.88</f>
        <v>-2663.88</v>
      </c>
      <c r="Z19" s="5">
        <f>-27646.11</f>
        <v>-27646.11</v>
      </c>
      <c r="AA19" s="5">
        <f t="shared" si="0"/>
        <v>-259368.06</v>
      </c>
    </row>
    <row r="20" spans="1:27" x14ac:dyDescent="0.25">
      <c r="A20" s="3" t="s">
        <v>40</v>
      </c>
      <c r="B20" s="6">
        <f t="shared" ref="B20:Z20" si="2">((B17)+(B18))+(B19)</f>
        <v>0</v>
      </c>
      <c r="C20" s="6">
        <f t="shared" si="2"/>
        <v>-28143.93</v>
      </c>
      <c r="D20" s="6">
        <f t="shared" si="2"/>
        <v>0</v>
      </c>
      <c r="E20" s="6">
        <f t="shared" si="2"/>
        <v>0</v>
      </c>
      <c r="F20" s="6">
        <f t="shared" si="2"/>
        <v>-2584.31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-116.5</v>
      </c>
      <c r="M20" s="6">
        <f t="shared" si="2"/>
        <v>-22016.58</v>
      </c>
      <c r="N20" s="6">
        <f t="shared" si="2"/>
        <v>-1022.29</v>
      </c>
      <c r="O20" s="6">
        <f t="shared" si="2"/>
        <v>0</v>
      </c>
      <c r="P20" s="6">
        <f t="shared" si="2"/>
        <v>0</v>
      </c>
      <c r="Q20" s="6">
        <f t="shared" si="2"/>
        <v>0</v>
      </c>
      <c r="R20" s="6">
        <f t="shared" si="2"/>
        <v>0</v>
      </c>
      <c r="S20" s="6">
        <f t="shared" si="2"/>
        <v>-9499.8700000000008</v>
      </c>
      <c r="T20" s="6">
        <f t="shared" si="2"/>
        <v>-14086.02</v>
      </c>
      <c r="U20" s="6">
        <f t="shared" si="2"/>
        <v>0</v>
      </c>
      <c r="V20" s="6">
        <f t="shared" si="2"/>
        <v>-157210.23000000001</v>
      </c>
      <c r="W20" s="6">
        <f t="shared" si="2"/>
        <v>0</v>
      </c>
      <c r="X20" s="6">
        <f t="shared" si="2"/>
        <v>4482.87</v>
      </c>
      <c r="Y20" s="6">
        <f t="shared" si="2"/>
        <v>-2663.88</v>
      </c>
      <c r="Z20" s="6">
        <f t="shared" si="2"/>
        <v>-27646.11</v>
      </c>
      <c r="AA20" s="6">
        <f t="shared" si="0"/>
        <v>-260506.85000000003</v>
      </c>
    </row>
    <row r="21" spans="1:27" x14ac:dyDescent="0.25">
      <c r="A21" s="3" t="s">
        <v>41</v>
      </c>
      <c r="B21" s="6">
        <f t="shared" ref="B21:Z21" si="3">((B15)+(B16))+(B20)</f>
        <v>416705.78</v>
      </c>
      <c r="C21" s="6">
        <f t="shared" si="3"/>
        <v>-28143.93</v>
      </c>
      <c r="D21" s="6">
        <f t="shared" si="3"/>
        <v>0</v>
      </c>
      <c r="E21" s="6">
        <f t="shared" si="3"/>
        <v>0</v>
      </c>
      <c r="F21" s="6">
        <f t="shared" si="3"/>
        <v>-2584.31</v>
      </c>
      <c r="G21" s="6">
        <f t="shared" si="3"/>
        <v>0</v>
      </c>
      <c r="H21" s="6">
        <f t="shared" si="3"/>
        <v>0</v>
      </c>
      <c r="I21" s="6">
        <f t="shared" si="3"/>
        <v>3980.25</v>
      </c>
      <c r="J21" s="6">
        <f t="shared" si="3"/>
        <v>0</v>
      </c>
      <c r="K21" s="6">
        <f t="shared" si="3"/>
        <v>0</v>
      </c>
      <c r="L21" s="6">
        <f t="shared" si="3"/>
        <v>-116.5</v>
      </c>
      <c r="M21" s="6">
        <f t="shared" si="3"/>
        <v>-22016.58</v>
      </c>
      <c r="N21" s="6">
        <f t="shared" si="3"/>
        <v>-1022.29</v>
      </c>
      <c r="O21" s="6">
        <f t="shared" si="3"/>
        <v>0</v>
      </c>
      <c r="P21" s="6">
        <f t="shared" si="3"/>
        <v>0</v>
      </c>
      <c r="Q21" s="6">
        <f t="shared" si="3"/>
        <v>0</v>
      </c>
      <c r="R21" s="6">
        <f t="shared" si="3"/>
        <v>0</v>
      </c>
      <c r="S21" s="6">
        <f t="shared" si="3"/>
        <v>-9499.8700000000008</v>
      </c>
      <c r="T21" s="6">
        <f t="shared" si="3"/>
        <v>-14086.02</v>
      </c>
      <c r="U21" s="6">
        <f t="shared" si="3"/>
        <v>0</v>
      </c>
      <c r="V21" s="6">
        <f t="shared" si="3"/>
        <v>-157210.23000000001</v>
      </c>
      <c r="W21" s="6">
        <f t="shared" si="3"/>
        <v>0</v>
      </c>
      <c r="X21" s="6">
        <f t="shared" si="3"/>
        <v>4482.87</v>
      </c>
      <c r="Y21" s="6">
        <f t="shared" si="3"/>
        <v>-2663.88</v>
      </c>
      <c r="Z21" s="6">
        <f t="shared" si="3"/>
        <v>-27646.11</v>
      </c>
      <c r="AA21" s="6">
        <f t="shared" si="0"/>
        <v>160179.18</v>
      </c>
    </row>
    <row r="22" spans="1:27" x14ac:dyDescent="0.25">
      <c r="A22" s="3" t="s">
        <v>42</v>
      </c>
      <c r="B22" s="6">
        <f t="shared" ref="B22:Z22" si="4">(B21)-(0)</f>
        <v>416705.78</v>
      </c>
      <c r="C22" s="6">
        <f t="shared" si="4"/>
        <v>-28143.93</v>
      </c>
      <c r="D22" s="6">
        <f t="shared" si="4"/>
        <v>0</v>
      </c>
      <c r="E22" s="6">
        <f t="shared" si="4"/>
        <v>0</v>
      </c>
      <c r="F22" s="6">
        <f t="shared" si="4"/>
        <v>-2584.31</v>
      </c>
      <c r="G22" s="6">
        <f t="shared" si="4"/>
        <v>0</v>
      </c>
      <c r="H22" s="6">
        <f t="shared" si="4"/>
        <v>0</v>
      </c>
      <c r="I22" s="6">
        <f t="shared" si="4"/>
        <v>3980.25</v>
      </c>
      <c r="J22" s="6">
        <f t="shared" si="4"/>
        <v>0</v>
      </c>
      <c r="K22" s="6">
        <f t="shared" si="4"/>
        <v>0</v>
      </c>
      <c r="L22" s="6">
        <f t="shared" si="4"/>
        <v>-116.5</v>
      </c>
      <c r="M22" s="6">
        <f t="shared" si="4"/>
        <v>-22016.58</v>
      </c>
      <c r="N22" s="6">
        <f t="shared" si="4"/>
        <v>-1022.29</v>
      </c>
      <c r="O22" s="6">
        <f t="shared" si="4"/>
        <v>0</v>
      </c>
      <c r="P22" s="6">
        <f t="shared" si="4"/>
        <v>0</v>
      </c>
      <c r="Q22" s="6">
        <f t="shared" si="4"/>
        <v>0</v>
      </c>
      <c r="R22" s="6">
        <f t="shared" si="4"/>
        <v>0</v>
      </c>
      <c r="S22" s="6">
        <f t="shared" si="4"/>
        <v>-9499.8700000000008</v>
      </c>
      <c r="T22" s="6">
        <f t="shared" si="4"/>
        <v>-14086.02</v>
      </c>
      <c r="U22" s="6">
        <f t="shared" si="4"/>
        <v>0</v>
      </c>
      <c r="V22" s="6">
        <f t="shared" si="4"/>
        <v>-157210.23000000001</v>
      </c>
      <c r="W22" s="6">
        <f t="shared" si="4"/>
        <v>0</v>
      </c>
      <c r="X22" s="6">
        <f t="shared" si="4"/>
        <v>4482.87</v>
      </c>
      <c r="Y22" s="6">
        <f t="shared" si="4"/>
        <v>-2663.88</v>
      </c>
      <c r="Z22" s="6">
        <f t="shared" si="4"/>
        <v>-27646.11</v>
      </c>
      <c r="AA22" s="6">
        <f t="shared" si="0"/>
        <v>160179.18</v>
      </c>
    </row>
    <row r="23" spans="1:27" x14ac:dyDescent="0.25">
      <c r="A23" s="3" t="s">
        <v>43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5">
      <c r="A24" s="3" t="s">
        <v>44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>
        <f t="shared" ref="AA24:AA55" si="5">((((((((((((((((((((((((B24)+(C24))+(D24))+(E24))+(F24))+(G24))+(H24))+(I24))+(J24))+(K24))+(L24))+(M24))+(N24))+(O24))+(P24))+(Q24))+(R24))+(S24))+(T24))+(U24))+(V24))+(W24))+(X24))+(Y24))+(Z24)</f>
        <v>0</v>
      </c>
    </row>
    <row r="25" spans="1:27" x14ac:dyDescent="0.25">
      <c r="A25" s="3" t="s">
        <v>45</v>
      </c>
      <c r="B25" s="5">
        <f>2934.8</f>
        <v>2934.8</v>
      </c>
      <c r="C25" s="5">
        <f>22785.59</f>
        <v>22785.59</v>
      </c>
      <c r="D25" s="5">
        <f>44974.08</f>
        <v>44974.080000000002</v>
      </c>
      <c r="E25" s="5">
        <f>13338</f>
        <v>13338</v>
      </c>
      <c r="F25" s="5">
        <f>13678.18</f>
        <v>13678.18</v>
      </c>
      <c r="G25" s="5">
        <f>4126.26</f>
        <v>4126.26</v>
      </c>
      <c r="H25" s="4"/>
      <c r="I25" s="4"/>
      <c r="J25" s="4"/>
      <c r="K25" s="5">
        <f>5192.5</f>
        <v>5192.5</v>
      </c>
      <c r="L25" s="5">
        <f>75178.86</f>
        <v>75178.86</v>
      </c>
      <c r="M25" s="5">
        <f>7659.06</f>
        <v>7659.06</v>
      </c>
      <c r="N25" s="4"/>
      <c r="O25" s="4"/>
      <c r="P25" s="5">
        <f>8583.32</f>
        <v>8583.32</v>
      </c>
      <c r="Q25" s="5">
        <f>8515.74</f>
        <v>8515.74</v>
      </c>
      <c r="R25" s="5">
        <f>3885.62</f>
        <v>3885.62</v>
      </c>
      <c r="S25" s="5">
        <f>37685.46</f>
        <v>37685.46</v>
      </c>
      <c r="T25" s="5">
        <f>12597.57</f>
        <v>12597.57</v>
      </c>
      <c r="U25" s="4"/>
      <c r="V25" s="5">
        <f>38345.38</f>
        <v>38345.379999999997</v>
      </c>
      <c r="W25" s="5">
        <f>728.16</f>
        <v>728.16</v>
      </c>
      <c r="X25" s="4"/>
      <c r="Y25" s="5">
        <f>15844.02</f>
        <v>15844.02</v>
      </c>
      <c r="Z25" s="5">
        <f>35785.24</f>
        <v>35785.24</v>
      </c>
      <c r="AA25" s="5">
        <f t="shared" si="5"/>
        <v>351837.83999999997</v>
      </c>
    </row>
    <row r="26" spans="1:27" x14ac:dyDescent="0.25">
      <c r="A26" s="3" t="s">
        <v>46</v>
      </c>
      <c r="B26" s="5">
        <f>26329.08</f>
        <v>26329.08</v>
      </c>
      <c r="C26" s="5">
        <f>4868.92</f>
        <v>4868.92</v>
      </c>
      <c r="D26" s="5">
        <f>8944.24</f>
        <v>8944.24</v>
      </c>
      <c r="E26" s="4"/>
      <c r="F26" s="4"/>
      <c r="G26" s="4"/>
      <c r="H26" s="5">
        <f>7594.36</f>
        <v>7594.36</v>
      </c>
      <c r="I26" s="4"/>
      <c r="J26" s="4"/>
      <c r="K26" s="4"/>
      <c r="L26" s="5">
        <f>3862.5</f>
        <v>3862.5</v>
      </c>
      <c r="M26" s="5">
        <f>4854.16</f>
        <v>4854.16</v>
      </c>
      <c r="N26" s="5">
        <f>43013.6</f>
        <v>43013.599999999999</v>
      </c>
      <c r="O26" s="5">
        <f>30522.12</f>
        <v>30522.12</v>
      </c>
      <c r="P26" s="4"/>
      <c r="Q26" s="4"/>
      <c r="R26" s="4"/>
      <c r="S26" s="5">
        <f>5593.12</f>
        <v>5593.12</v>
      </c>
      <c r="T26" s="4"/>
      <c r="U26" s="4"/>
      <c r="V26" s="5">
        <f>4519.5</f>
        <v>4519.5</v>
      </c>
      <c r="W26" s="4"/>
      <c r="X26" s="4"/>
      <c r="Y26" s="4"/>
      <c r="Z26" s="5">
        <f>2830.26</f>
        <v>2830.26</v>
      </c>
      <c r="AA26" s="5">
        <f t="shared" si="5"/>
        <v>142931.85999999999</v>
      </c>
    </row>
    <row r="27" spans="1:27" x14ac:dyDescent="0.25">
      <c r="A27" s="3" t="s">
        <v>47</v>
      </c>
      <c r="B27" s="6">
        <f t="shared" ref="B27:Z27" si="6">((B24)+(B25))+(B26)</f>
        <v>29263.88</v>
      </c>
      <c r="C27" s="6">
        <f t="shared" si="6"/>
        <v>27654.510000000002</v>
      </c>
      <c r="D27" s="6">
        <f t="shared" si="6"/>
        <v>53918.32</v>
      </c>
      <c r="E27" s="6">
        <f t="shared" si="6"/>
        <v>13338</v>
      </c>
      <c r="F27" s="6">
        <f t="shared" si="6"/>
        <v>13678.18</v>
      </c>
      <c r="G27" s="6">
        <f t="shared" si="6"/>
        <v>4126.26</v>
      </c>
      <c r="H27" s="6">
        <f t="shared" si="6"/>
        <v>7594.36</v>
      </c>
      <c r="I27" s="6">
        <f t="shared" si="6"/>
        <v>0</v>
      </c>
      <c r="J27" s="6">
        <f t="shared" si="6"/>
        <v>0</v>
      </c>
      <c r="K27" s="6">
        <f t="shared" si="6"/>
        <v>5192.5</v>
      </c>
      <c r="L27" s="6">
        <f t="shared" si="6"/>
        <v>79041.36</v>
      </c>
      <c r="M27" s="6">
        <f t="shared" si="6"/>
        <v>12513.220000000001</v>
      </c>
      <c r="N27" s="6">
        <f t="shared" si="6"/>
        <v>43013.599999999999</v>
      </c>
      <c r="O27" s="6">
        <f t="shared" si="6"/>
        <v>30522.12</v>
      </c>
      <c r="P27" s="6">
        <f t="shared" si="6"/>
        <v>8583.32</v>
      </c>
      <c r="Q27" s="6">
        <f t="shared" si="6"/>
        <v>8515.74</v>
      </c>
      <c r="R27" s="6">
        <f t="shared" si="6"/>
        <v>3885.62</v>
      </c>
      <c r="S27" s="6">
        <f t="shared" si="6"/>
        <v>43278.58</v>
      </c>
      <c r="T27" s="6">
        <f t="shared" si="6"/>
        <v>12597.57</v>
      </c>
      <c r="U27" s="6">
        <f t="shared" si="6"/>
        <v>0</v>
      </c>
      <c r="V27" s="6">
        <f t="shared" si="6"/>
        <v>42864.88</v>
      </c>
      <c r="W27" s="6">
        <f t="shared" si="6"/>
        <v>728.16</v>
      </c>
      <c r="X27" s="6">
        <f t="shared" si="6"/>
        <v>0</v>
      </c>
      <c r="Y27" s="6">
        <f t="shared" si="6"/>
        <v>15844.02</v>
      </c>
      <c r="Z27" s="6">
        <f t="shared" si="6"/>
        <v>38615.5</v>
      </c>
      <c r="AA27" s="6">
        <f t="shared" si="5"/>
        <v>494769.7</v>
      </c>
    </row>
    <row r="28" spans="1:27" x14ac:dyDescent="0.25">
      <c r="A28" s="3" t="s">
        <v>48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>
        <f t="shared" si="5"/>
        <v>0</v>
      </c>
    </row>
    <row r="29" spans="1:27" x14ac:dyDescent="0.25">
      <c r="A29" s="3" t="s">
        <v>49</v>
      </c>
      <c r="B29" s="4"/>
      <c r="C29" s="5">
        <f>3.95</f>
        <v>3.95</v>
      </c>
      <c r="D29" s="4"/>
      <c r="E29" s="5">
        <f>1.69</f>
        <v>1.69</v>
      </c>
      <c r="F29" s="5">
        <f>1.28</f>
        <v>1.28</v>
      </c>
      <c r="G29" s="4"/>
      <c r="H29" s="4"/>
      <c r="I29" s="4"/>
      <c r="J29" s="4"/>
      <c r="K29" s="4"/>
      <c r="L29" s="4"/>
      <c r="M29" s="5">
        <f>2.08</f>
        <v>2.08</v>
      </c>
      <c r="N29" s="5">
        <f>3.9</f>
        <v>3.9</v>
      </c>
      <c r="O29" s="4"/>
      <c r="P29" s="5">
        <f>1.25</f>
        <v>1.25</v>
      </c>
      <c r="Q29" s="4"/>
      <c r="R29" s="4"/>
      <c r="S29" s="5">
        <f>5.16</f>
        <v>5.16</v>
      </c>
      <c r="T29" s="5">
        <f>1.57</f>
        <v>1.57</v>
      </c>
      <c r="U29" s="4"/>
      <c r="V29" s="5">
        <f>3.52</f>
        <v>3.52</v>
      </c>
      <c r="W29" s="5">
        <f>0.15</f>
        <v>0.15</v>
      </c>
      <c r="X29" s="4"/>
      <c r="Y29" s="5">
        <f>1.37</f>
        <v>1.37</v>
      </c>
      <c r="Z29" s="5">
        <f>6.15</f>
        <v>6.15</v>
      </c>
      <c r="AA29" s="5">
        <f t="shared" si="5"/>
        <v>32.07</v>
      </c>
    </row>
    <row r="30" spans="1:27" x14ac:dyDescent="0.25">
      <c r="A30" s="3" t="s">
        <v>50</v>
      </c>
      <c r="B30" s="5">
        <f>230</f>
        <v>230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>
        <f t="shared" si="5"/>
        <v>230</v>
      </c>
    </row>
    <row r="31" spans="1:27" x14ac:dyDescent="0.25">
      <c r="A31" s="3" t="s">
        <v>51</v>
      </c>
      <c r="B31" s="5">
        <f>1565.72</f>
        <v>1565.72</v>
      </c>
      <c r="C31" s="5">
        <f>257.57</f>
        <v>257.57</v>
      </c>
      <c r="D31" s="5">
        <f>521.03</f>
        <v>521.03</v>
      </c>
      <c r="E31" s="4"/>
      <c r="F31" s="4"/>
      <c r="G31" s="4"/>
      <c r="H31" s="5">
        <f>451.88</f>
        <v>451.88</v>
      </c>
      <c r="I31" s="4"/>
      <c r="J31" s="4"/>
      <c r="K31" s="4"/>
      <c r="L31" s="5">
        <f>228.88</f>
        <v>228.88</v>
      </c>
      <c r="M31" s="5">
        <f>290.41</f>
        <v>290.41000000000003</v>
      </c>
      <c r="N31" s="5">
        <f>2603.31</f>
        <v>2603.31</v>
      </c>
      <c r="O31" s="5">
        <f>1788.04</f>
        <v>1788.04</v>
      </c>
      <c r="P31" s="4"/>
      <c r="Q31" s="4"/>
      <c r="R31" s="4"/>
      <c r="S31" s="5">
        <f>339.63</f>
        <v>339.63</v>
      </c>
      <c r="T31" s="4"/>
      <c r="U31" s="4"/>
      <c r="V31" s="5">
        <f>263.02</f>
        <v>263.02</v>
      </c>
      <c r="W31" s="4"/>
      <c r="X31" s="4"/>
      <c r="Y31" s="5">
        <f>0</f>
        <v>0</v>
      </c>
      <c r="Z31" s="5">
        <f>173.31</f>
        <v>173.31</v>
      </c>
      <c r="AA31" s="5">
        <f t="shared" si="5"/>
        <v>8482.7999999999993</v>
      </c>
    </row>
    <row r="32" spans="1:27" x14ac:dyDescent="0.25">
      <c r="A32" s="3" t="s">
        <v>52</v>
      </c>
      <c r="B32" s="5">
        <f>407.17</f>
        <v>407.17</v>
      </c>
      <c r="C32" s="5">
        <f>375.02</f>
        <v>375.02</v>
      </c>
      <c r="D32" s="5">
        <f>747.75</f>
        <v>747.75</v>
      </c>
      <c r="E32" s="5">
        <f>194.33</f>
        <v>194.33</v>
      </c>
      <c r="F32" s="5">
        <f>121.5</f>
        <v>121.5</v>
      </c>
      <c r="G32" s="5">
        <f>53.16</f>
        <v>53.16</v>
      </c>
      <c r="H32" s="5">
        <f>105.68</f>
        <v>105.68</v>
      </c>
      <c r="I32" s="4"/>
      <c r="J32" s="4"/>
      <c r="K32" s="5">
        <f>74.12</f>
        <v>74.12</v>
      </c>
      <c r="L32" s="5">
        <f>1104.44</f>
        <v>1104.44</v>
      </c>
      <c r="M32" s="5">
        <f>171.18</f>
        <v>171.18</v>
      </c>
      <c r="N32" s="5">
        <f>608.87</f>
        <v>608.87</v>
      </c>
      <c r="O32" s="5">
        <f>418.15</f>
        <v>418.15</v>
      </c>
      <c r="P32" s="5">
        <f>120.7</f>
        <v>120.7</v>
      </c>
      <c r="Q32" s="5">
        <f>119.66</f>
        <v>119.66</v>
      </c>
      <c r="R32" s="5">
        <f>56.34</f>
        <v>56.34</v>
      </c>
      <c r="S32" s="5">
        <f>604.52</f>
        <v>604.52</v>
      </c>
      <c r="T32" s="5">
        <f>172.91</f>
        <v>172.91</v>
      </c>
      <c r="U32" s="4"/>
      <c r="V32" s="5">
        <f>607.91</f>
        <v>607.91</v>
      </c>
      <c r="W32" s="5">
        <f>9.38</f>
        <v>9.3800000000000008</v>
      </c>
      <c r="X32" s="4"/>
      <c r="Y32" s="5">
        <f>221.67</f>
        <v>221.67</v>
      </c>
      <c r="Z32" s="5">
        <f>542.55</f>
        <v>542.54999999999995</v>
      </c>
      <c r="AA32" s="5">
        <f t="shared" si="5"/>
        <v>6837.01</v>
      </c>
    </row>
    <row r="33" spans="1:27" x14ac:dyDescent="0.25">
      <c r="A33" s="3" t="s">
        <v>53</v>
      </c>
      <c r="B33" s="5">
        <f>375.9</f>
        <v>375.9</v>
      </c>
      <c r="C33" s="5">
        <f>3705.93</f>
        <v>3705.93</v>
      </c>
      <c r="D33" s="5">
        <f>1875.24</f>
        <v>1875.24</v>
      </c>
      <c r="E33" s="5">
        <f>2283.06</f>
        <v>2283.06</v>
      </c>
      <c r="F33" s="5">
        <f>1415.98</f>
        <v>1415.98</v>
      </c>
      <c r="G33" s="5">
        <f>211.08</f>
        <v>211.08</v>
      </c>
      <c r="H33" s="4"/>
      <c r="I33" s="4"/>
      <c r="J33" s="4"/>
      <c r="K33" s="5">
        <f>155.78</f>
        <v>155.78</v>
      </c>
      <c r="L33" s="5">
        <f>2480.38</f>
        <v>2480.38</v>
      </c>
      <c r="M33" s="5">
        <f>1211.28</f>
        <v>1211.28</v>
      </c>
      <c r="N33" s="4"/>
      <c r="O33" s="4"/>
      <c r="P33" s="5">
        <f>1157.38</f>
        <v>1157.3800000000001</v>
      </c>
      <c r="Q33" s="5">
        <f>255.48</f>
        <v>255.48</v>
      </c>
      <c r="R33" s="5">
        <f>534.28</f>
        <v>534.28</v>
      </c>
      <c r="S33" s="5">
        <f>6069.24</f>
        <v>6069.24</v>
      </c>
      <c r="T33" s="5">
        <f>1943.41</f>
        <v>1943.41</v>
      </c>
      <c r="U33" s="4"/>
      <c r="V33" s="5">
        <f>6273.04</f>
        <v>6273.04</v>
      </c>
      <c r="W33" s="5">
        <f>37.26</f>
        <v>37.26</v>
      </c>
      <c r="X33" s="4"/>
      <c r="Y33" s="5">
        <f>2547.7</f>
        <v>2547.6999999999998</v>
      </c>
      <c r="Z33" s="5">
        <f>5864.5</f>
        <v>5864.5</v>
      </c>
      <c r="AA33" s="5">
        <f t="shared" si="5"/>
        <v>38396.92</v>
      </c>
    </row>
    <row r="34" spans="1:27" x14ac:dyDescent="0.25">
      <c r="A34" s="3" t="s">
        <v>54</v>
      </c>
      <c r="B34" s="5">
        <f>6145.18</f>
        <v>6145.18</v>
      </c>
      <c r="C34" s="5">
        <f>1136.4</f>
        <v>1136.4000000000001</v>
      </c>
      <c r="D34" s="5">
        <f>2087.6</f>
        <v>2087.6</v>
      </c>
      <c r="E34" s="4"/>
      <c r="F34" s="4"/>
      <c r="G34" s="4"/>
      <c r="H34" s="5">
        <f>1772.52</f>
        <v>1772.52</v>
      </c>
      <c r="I34" s="4"/>
      <c r="J34" s="4"/>
      <c r="K34" s="4"/>
      <c r="L34" s="5">
        <f>901.5</f>
        <v>901.5</v>
      </c>
      <c r="M34" s="5">
        <f>1132.96</f>
        <v>1132.96</v>
      </c>
      <c r="N34" s="5">
        <f>9351.66</f>
        <v>9351.66</v>
      </c>
      <c r="O34" s="5">
        <f>7123.84</f>
        <v>7123.84</v>
      </c>
      <c r="P34" s="4"/>
      <c r="Q34" s="4"/>
      <c r="R34" s="4"/>
      <c r="S34" s="5">
        <f>854.8</f>
        <v>854.8</v>
      </c>
      <c r="T34" s="4"/>
      <c r="U34" s="4"/>
      <c r="V34" s="5">
        <f>1054.86</f>
        <v>1054.8599999999999</v>
      </c>
      <c r="W34" s="4"/>
      <c r="X34" s="4"/>
      <c r="Y34" s="4"/>
      <c r="Z34" s="5">
        <f>660.58</f>
        <v>660.58</v>
      </c>
      <c r="AA34" s="5">
        <f t="shared" si="5"/>
        <v>32221.9</v>
      </c>
    </row>
    <row r="35" spans="1:27" x14ac:dyDescent="0.25">
      <c r="A35" s="3" t="s">
        <v>55</v>
      </c>
      <c r="B35" s="4"/>
      <c r="C35" s="5">
        <f>4146.49</f>
        <v>4146.49</v>
      </c>
      <c r="D35" s="4"/>
      <c r="E35" s="5">
        <f>1257.31</f>
        <v>1257.31</v>
      </c>
      <c r="F35" s="5">
        <f>449.9</f>
        <v>449.9</v>
      </c>
      <c r="G35" s="4"/>
      <c r="H35" s="4"/>
      <c r="I35" s="4"/>
      <c r="J35" s="4"/>
      <c r="K35" s="4"/>
      <c r="L35" s="4"/>
      <c r="M35" s="5">
        <f>1983.52</f>
        <v>1983.52</v>
      </c>
      <c r="N35" s="5">
        <f>3136.59</f>
        <v>3136.59</v>
      </c>
      <c r="O35" s="4"/>
      <c r="P35" s="5">
        <f>1466.48</f>
        <v>1466.48</v>
      </c>
      <c r="Q35" s="4"/>
      <c r="R35" s="4"/>
      <c r="S35" s="5">
        <f>4133.32</f>
        <v>4133.32</v>
      </c>
      <c r="T35" s="5">
        <f>1119.81</f>
        <v>1119.81</v>
      </c>
      <c r="U35" s="4"/>
      <c r="V35" s="5">
        <f>2844.22</f>
        <v>2844.22</v>
      </c>
      <c r="W35" s="5">
        <f>251.88</f>
        <v>251.88</v>
      </c>
      <c r="X35" s="4"/>
      <c r="Y35" s="5">
        <f>1126.87</f>
        <v>1126.8699999999999</v>
      </c>
      <c r="Z35" s="5">
        <f>3795.75</f>
        <v>3795.75</v>
      </c>
      <c r="AA35" s="5">
        <f t="shared" si="5"/>
        <v>25712.140000000003</v>
      </c>
    </row>
    <row r="36" spans="1:27" x14ac:dyDescent="0.25">
      <c r="A36" s="3" t="s">
        <v>56</v>
      </c>
      <c r="B36" s="5">
        <f>-343.58</f>
        <v>-343.58</v>
      </c>
      <c r="C36" s="4"/>
      <c r="D36" s="5">
        <f>214.29</f>
        <v>214.29</v>
      </c>
      <c r="E36" s="4"/>
      <c r="F36" s="4"/>
      <c r="G36" s="4"/>
      <c r="H36" s="4"/>
      <c r="I36" s="4"/>
      <c r="J36" s="4"/>
      <c r="K36" s="4"/>
      <c r="L36" s="4"/>
      <c r="M36" s="4"/>
      <c r="N36" s="5">
        <f>115.83</f>
        <v>115.83</v>
      </c>
      <c r="O36" s="4"/>
      <c r="P36" s="4"/>
      <c r="Q36" s="4"/>
      <c r="R36" s="4"/>
      <c r="S36" s="5">
        <f>4.39</f>
        <v>4.3899999999999997</v>
      </c>
      <c r="T36" s="4"/>
      <c r="U36" s="4"/>
      <c r="V36" s="4"/>
      <c r="W36" s="4"/>
      <c r="X36" s="4"/>
      <c r="Y36" s="4"/>
      <c r="Z36" s="5">
        <f>9.07</f>
        <v>9.07</v>
      </c>
      <c r="AA36" s="5">
        <f t="shared" si="5"/>
        <v>0</v>
      </c>
    </row>
    <row r="37" spans="1:27" x14ac:dyDescent="0.25">
      <c r="A37" s="3" t="s">
        <v>57</v>
      </c>
      <c r="B37" s="5">
        <f>50806.29</f>
        <v>50806.29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>
        <f t="shared" si="5"/>
        <v>50806.29</v>
      </c>
    </row>
    <row r="38" spans="1:27" x14ac:dyDescent="0.25">
      <c r="A38" s="3" t="s">
        <v>58</v>
      </c>
      <c r="B38" s="4"/>
      <c r="C38" s="5">
        <f>553.09</f>
        <v>553.09</v>
      </c>
      <c r="D38" s="5">
        <f>539.18</f>
        <v>539.17999999999995</v>
      </c>
      <c r="E38" s="5">
        <f>266.76</f>
        <v>266.76</v>
      </c>
      <c r="F38" s="4"/>
      <c r="G38" s="5">
        <f>82.53</f>
        <v>82.53</v>
      </c>
      <c r="H38" s="5">
        <f>151.89</f>
        <v>151.88999999999999</v>
      </c>
      <c r="I38" s="4"/>
      <c r="J38" s="4"/>
      <c r="K38" s="5">
        <f>51.93</f>
        <v>51.93</v>
      </c>
      <c r="L38" s="5">
        <f>1580.83</f>
        <v>1580.83</v>
      </c>
      <c r="M38" s="5">
        <f>250.26</f>
        <v>250.26</v>
      </c>
      <c r="N38" s="4"/>
      <c r="O38" s="5">
        <f>610.44</f>
        <v>610.44000000000005</v>
      </c>
      <c r="P38" s="5">
        <f>171.67</f>
        <v>171.67</v>
      </c>
      <c r="Q38" s="4"/>
      <c r="R38" s="4"/>
      <c r="S38" s="4"/>
      <c r="T38" s="5">
        <f>251.95</f>
        <v>251.95</v>
      </c>
      <c r="U38" s="4"/>
      <c r="V38" s="5">
        <f>857.3</f>
        <v>857.3</v>
      </c>
      <c r="W38" s="4"/>
      <c r="X38" s="4"/>
      <c r="Y38" s="5">
        <f>316.88</f>
        <v>316.88</v>
      </c>
      <c r="Z38" s="5">
        <f>772.31</f>
        <v>772.31</v>
      </c>
      <c r="AA38" s="5">
        <f t="shared" si="5"/>
        <v>6457.02</v>
      </c>
    </row>
    <row r="39" spans="1:27" x14ac:dyDescent="0.25">
      <c r="A39" s="3" t="s">
        <v>59</v>
      </c>
      <c r="B39" s="4"/>
      <c r="C39" s="5">
        <f>31.6</f>
        <v>31.6</v>
      </c>
      <c r="D39" s="4"/>
      <c r="E39" s="5">
        <f>13.52</f>
        <v>13.52</v>
      </c>
      <c r="F39" s="5">
        <f>10.24</f>
        <v>10.24</v>
      </c>
      <c r="G39" s="4"/>
      <c r="H39" s="4"/>
      <c r="I39" s="4"/>
      <c r="J39" s="4"/>
      <c r="K39" s="4"/>
      <c r="L39" s="4"/>
      <c r="M39" s="5">
        <f>16.64</f>
        <v>16.64</v>
      </c>
      <c r="N39" s="5">
        <f>31.2</f>
        <v>31.2</v>
      </c>
      <c r="O39" s="4"/>
      <c r="P39" s="5">
        <f>10</f>
        <v>10</v>
      </c>
      <c r="Q39" s="4"/>
      <c r="R39" s="4"/>
      <c r="S39" s="5">
        <f>41.28</f>
        <v>41.28</v>
      </c>
      <c r="T39" s="5">
        <f>12.56</f>
        <v>12.56</v>
      </c>
      <c r="U39" s="4"/>
      <c r="V39" s="5">
        <f>28.16</f>
        <v>28.16</v>
      </c>
      <c r="W39" s="5">
        <f>1.2</f>
        <v>1.2</v>
      </c>
      <c r="X39" s="4"/>
      <c r="Y39" s="5">
        <f>10.96</f>
        <v>10.96</v>
      </c>
      <c r="Z39" s="5">
        <f>49.2</f>
        <v>49.2</v>
      </c>
      <c r="AA39" s="5">
        <f t="shared" si="5"/>
        <v>256.56</v>
      </c>
    </row>
    <row r="40" spans="1:27" x14ac:dyDescent="0.25">
      <c r="A40" s="3" t="s">
        <v>60</v>
      </c>
      <c r="B40" s="6">
        <f t="shared" ref="B40:Z40" si="7">(((((((((((B28)+(B29))+(B30))+(B31))+(B32))+(B33))+(B34))+(B35))+(B36))+(B37))+(B38))+(B39)</f>
        <v>59186.68</v>
      </c>
      <c r="C40" s="6">
        <f t="shared" si="7"/>
        <v>10210.049999999999</v>
      </c>
      <c r="D40" s="6">
        <f t="shared" si="7"/>
        <v>5985.09</v>
      </c>
      <c r="E40" s="6">
        <f t="shared" si="7"/>
        <v>4016.6699999999996</v>
      </c>
      <c r="F40" s="6">
        <f t="shared" si="7"/>
        <v>1998.8999999999999</v>
      </c>
      <c r="G40" s="6">
        <f t="shared" si="7"/>
        <v>346.77</v>
      </c>
      <c r="H40" s="6">
        <f t="shared" si="7"/>
        <v>2481.9699999999998</v>
      </c>
      <c r="I40" s="6">
        <f t="shared" si="7"/>
        <v>0</v>
      </c>
      <c r="J40" s="6">
        <f t="shared" si="7"/>
        <v>0</v>
      </c>
      <c r="K40" s="6">
        <f t="shared" si="7"/>
        <v>281.83</v>
      </c>
      <c r="L40" s="6">
        <f t="shared" si="7"/>
        <v>6296.0300000000007</v>
      </c>
      <c r="M40" s="6">
        <f t="shared" si="7"/>
        <v>5058.3300000000008</v>
      </c>
      <c r="N40" s="6">
        <f t="shared" si="7"/>
        <v>15851.36</v>
      </c>
      <c r="O40" s="6">
        <f t="shared" si="7"/>
        <v>9940.4700000000012</v>
      </c>
      <c r="P40" s="6">
        <f t="shared" si="7"/>
        <v>2927.4800000000005</v>
      </c>
      <c r="Q40" s="6">
        <f t="shared" si="7"/>
        <v>375.14</v>
      </c>
      <c r="R40" s="6">
        <f t="shared" si="7"/>
        <v>590.62</v>
      </c>
      <c r="S40" s="6">
        <f t="shared" si="7"/>
        <v>12052.339999999998</v>
      </c>
      <c r="T40" s="6">
        <f t="shared" si="7"/>
        <v>3502.2099999999996</v>
      </c>
      <c r="U40" s="6">
        <f t="shared" si="7"/>
        <v>0</v>
      </c>
      <c r="V40" s="6">
        <f t="shared" si="7"/>
        <v>11932.029999999999</v>
      </c>
      <c r="W40" s="6">
        <f t="shared" si="7"/>
        <v>299.87</v>
      </c>
      <c r="X40" s="6">
        <f t="shared" si="7"/>
        <v>0</v>
      </c>
      <c r="Y40" s="6">
        <f t="shared" si="7"/>
        <v>4225.45</v>
      </c>
      <c r="Z40" s="6">
        <f t="shared" si="7"/>
        <v>11873.42</v>
      </c>
      <c r="AA40" s="6">
        <f t="shared" si="5"/>
        <v>169432.71</v>
      </c>
    </row>
    <row r="41" spans="1:27" x14ac:dyDescent="0.25">
      <c r="A41" s="3" t="s">
        <v>61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>
        <f t="shared" si="5"/>
        <v>0</v>
      </c>
    </row>
    <row r="42" spans="1:27" x14ac:dyDescent="0.25">
      <c r="A42" s="3" t="s">
        <v>62</v>
      </c>
      <c r="B42" s="5">
        <f>5000</f>
        <v>5000</v>
      </c>
      <c r="C42" s="4"/>
      <c r="D42" s="5">
        <f>420.27</f>
        <v>420.27</v>
      </c>
      <c r="E42" s="4"/>
      <c r="F42" s="4"/>
      <c r="G42" s="4"/>
      <c r="H42" s="4"/>
      <c r="I42" s="4"/>
      <c r="J42" s="4"/>
      <c r="K42" s="4"/>
      <c r="L42" s="5">
        <f>10</f>
        <v>10</v>
      </c>
      <c r="M42" s="4"/>
      <c r="N42" s="5">
        <f>-10</f>
        <v>-10</v>
      </c>
      <c r="O42" s="4"/>
      <c r="P42" s="4"/>
      <c r="Q42" s="4"/>
      <c r="R42" s="4"/>
      <c r="S42" s="5">
        <f>0</f>
        <v>0</v>
      </c>
      <c r="T42" s="4"/>
      <c r="U42" s="4"/>
      <c r="V42" s="5">
        <f>0</f>
        <v>0</v>
      </c>
      <c r="W42" s="4"/>
      <c r="X42" s="4"/>
      <c r="Y42" s="5">
        <f>0</f>
        <v>0</v>
      </c>
      <c r="Z42" s="4"/>
      <c r="AA42" s="5">
        <f t="shared" si="5"/>
        <v>5420.27</v>
      </c>
    </row>
    <row r="43" spans="1:27" x14ac:dyDescent="0.25">
      <c r="A43" s="3" t="s">
        <v>63</v>
      </c>
      <c r="B43" s="5">
        <f>834.05</f>
        <v>834.05</v>
      </c>
      <c r="C43" s="4"/>
      <c r="D43" s="5">
        <f>655.33</f>
        <v>655.33000000000004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>
        <f t="shared" si="5"/>
        <v>1489.38</v>
      </c>
    </row>
    <row r="44" spans="1:27" x14ac:dyDescent="0.25">
      <c r="A44" s="3" t="s">
        <v>64</v>
      </c>
      <c r="B44" s="5">
        <f>175.69</f>
        <v>175.69</v>
      </c>
      <c r="C44" s="5">
        <f>78.28</f>
        <v>78.28</v>
      </c>
      <c r="D44" s="5">
        <f>1076.35</f>
        <v>1076.3499999999999</v>
      </c>
      <c r="E44" s="4"/>
      <c r="F44" s="5">
        <f>19.57</f>
        <v>19.57</v>
      </c>
      <c r="G44" s="5">
        <f>19.57</f>
        <v>19.57</v>
      </c>
      <c r="H44" s="4"/>
      <c r="I44" s="4"/>
      <c r="J44" s="4"/>
      <c r="K44" s="5">
        <f>19.57</f>
        <v>19.57</v>
      </c>
      <c r="L44" s="4"/>
      <c r="M44" s="5">
        <f>39.14</f>
        <v>39.14</v>
      </c>
      <c r="N44" s="4"/>
      <c r="O44" s="4"/>
      <c r="P44" s="4"/>
      <c r="Q44" s="4"/>
      <c r="R44" s="4"/>
      <c r="S44" s="5">
        <f>156.56</f>
        <v>156.56</v>
      </c>
      <c r="T44" s="5">
        <f>39.14</f>
        <v>39.14</v>
      </c>
      <c r="U44" s="4"/>
      <c r="V44" s="5">
        <f>58.71</f>
        <v>58.71</v>
      </c>
      <c r="W44" s="4"/>
      <c r="X44" s="4"/>
      <c r="Y44" s="5">
        <f>39.14</f>
        <v>39.14</v>
      </c>
      <c r="Z44" s="5">
        <f>78.28</f>
        <v>78.28</v>
      </c>
      <c r="AA44" s="5">
        <f t="shared" si="5"/>
        <v>1800</v>
      </c>
    </row>
    <row r="45" spans="1:27" x14ac:dyDescent="0.25">
      <c r="A45" s="3" t="s">
        <v>65</v>
      </c>
      <c r="B45" s="6">
        <f t="shared" ref="B45:Z45" si="8">(((B41)+(B42))+(B43))+(B44)</f>
        <v>6009.74</v>
      </c>
      <c r="C45" s="6">
        <f t="shared" si="8"/>
        <v>78.28</v>
      </c>
      <c r="D45" s="6">
        <f t="shared" si="8"/>
        <v>2151.9499999999998</v>
      </c>
      <c r="E45" s="6">
        <f t="shared" si="8"/>
        <v>0</v>
      </c>
      <c r="F45" s="6">
        <f t="shared" si="8"/>
        <v>19.57</v>
      </c>
      <c r="G45" s="6">
        <f t="shared" si="8"/>
        <v>19.57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19.57</v>
      </c>
      <c r="L45" s="6">
        <f t="shared" si="8"/>
        <v>10</v>
      </c>
      <c r="M45" s="6">
        <f t="shared" si="8"/>
        <v>39.14</v>
      </c>
      <c r="N45" s="6">
        <f t="shared" si="8"/>
        <v>-10</v>
      </c>
      <c r="O45" s="6">
        <f t="shared" si="8"/>
        <v>0</v>
      </c>
      <c r="P45" s="6">
        <f t="shared" si="8"/>
        <v>0</v>
      </c>
      <c r="Q45" s="6">
        <f t="shared" si="8"/>
        <v>0</v>
      </c>
      <c r="R45" s="6">
        <f t="shared" si="8"/>
        <v>0</v>
      </c>
      <c r="S45" s="6">
        <f t="shared" si="8"/>
        <v>156.56</v>
      </c>
      <c r="T45" s="6">
        <f t="shared" si="8"/>
        <v>39.14</v>
      </c>
      <c r="U45" s="6">
        <f t="shared" si="8"/>
        <v>0</v>
      </c>
      <c r="V45" s="6">
        <f t="shared" si="8"/>
        <v>58.71</v>
      </c>
      <c r="W45" s="6">
        <f t="shared" si="8"/>
        <v>0</v>
      </c>
      <c r="X45" s="6">
        <f t="shared" si="8"/>
        <v>0</v>
      </c>
      <c r="Y45" s="6">
        <f t="shared" si="8"/>
        <v>39.14</v>
      </c>
      <c r="Z45" s="6">
        <f t="shared" si="8"/>
        <v>78.28</v>
      </c>
      <c r="AA45" s="6">
        <f t="shared" si="5"/>
        <v>8709.649999999996</v>
      </c>
    </row>
    <row r="46" spans="1:27" x14ac:dyDescent="0.25">
      <c r="A46" s="3" t="s">
        <v>66</v>
      </c>
      <c r="B46" s="5">
        <f>10567.25</f>
        <v>10567.25</v>
      </c>
      <c r="C46" s="5">
        <f>0</f>
        <v>0</v>
      </c>
      <c r="D46" s="5">
        <f>83.75</f>
        <v>83.75</v>
      </c>
      <c r="E46" s="4"/>
      <c r="F46" s="5">
        <f>0</f>
        <v>0</v>
      </c>
      <c r="G46" s="4"/>
      <c r="H46" s="4"/>
      <c r="I46" s="5">
        <f>59500</f>
        <v>59500</v>
      </c>
      <c r="J46" s="4"/>
      <c r="K46" s="4"/>
      <c r="L46" s="4"/>
      <c r="M46" s="5">
        <f>0</f>
        <v>0</v>
      </c>
      <c r="N46" s="4"/>
      <c r="O46" s="4"/>
      <c r="P46" s="4"/>
      <c r="Q46" s="4"/>
      <c r="R46" s="4"/>
      <c r="S46" s="4"/>
      <c r="T46" s="5">
        <f>0</f>
        <v>0</v>
      </c>
      <c r="U46" s="4"/>
      <c r="V46" s="5">
        <f>0</f>
        <v>0</v>
      </c>
      <c r="W46" s="4"/>
      <c r="X46" s="4"/>
      <c r="Y46" s="4"/>
      <c r="Z46" s="4"/>
      <c r="AA46" s="5">
        <f t="shared" si="5"/>
        <v>70151</v>
      </c>
    </row>
    <row r="47" spans="1:27" x14ac:dyDescent="0.25">
      <c r="A47" s="3" t="s">
        <v>67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>
        <f t="shared" si="5"/>
        <v>0</v>
      </c>
    </row>
    <row r="48" spans="1:27" x14ac:dyDescent="0.25">
      <c r="A48" s="3" t="s">
        <v>68</v>
      </c>
      <c r="B48" s="5">
        <f>0</f>
        <v>0</v>
      </c>
      <c r="C48" s="4"/>
      <c r="D48" s="5">
        <f>0</f>
        <v>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>
        <f t="shared" si="5"/>
        <v>0</v>
      </c>
    </row>
    <row r="49" spans="1:27" x14ac:dyDescent="0.25">
      <c r="A49" s="3" t="s">
        <v>69</v>
      </c>
      <c r="B49" s="5">
        <f>138.11</f>
        <v>138.11000000000001</v>
      </c>
      <c r="C49" s="4"/>
      <c r="D49" s="5">
        <f>280.4</f>
        <v>280.39999999999998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>
        <f t="shared" si="5"/>
        <v>418.51</v>
      </c>
    </row>
    <row r="50" spans="1:27" x14ac:dyDescent="0.25">
      <c r="A50" s="3" t="s">
        <v>70</v>
      </c>
      <c r="B50" s="5">
        <f>247.38</f>
        <v>247.38</v>
      </c>
      <c r="C50" s="4"/>
      <c r="D50" s="5">
        <f>7755.26</f>
        <v>7755.26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>
        <f t="shared" si="5"/>
        <v>8002.64</v>
      </c>
    </row>
    <row r="51" spans="1:27" x14ac:dyDescent="0.25">
      <c r="A51" s="3" t="s">
        <v>71</v>
      </c>
      <c r="B51" s="5">
        <f>0</f>
        <v>0</v>
      </c>
      <c r="C51" s="4"/>
      <c r="D51" s="5">
        <f>0</f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>
        <f t="shared" si="5"/>
        <v>0</v>
      </c>
    </row>
    <row r="52" spans="1:27" x14ac:dyDescent="0.25">
      <c r="A52" s="3" t="s">
        <v>72</v>
      </c>
      <c r="B52" s="5">
        <f>277.1</f>
        <v>277.10000000000002</v>
      </c>
      <c r="C52" s="5">
        <f>55.44</f>
        <v>55.44</v>
      </c>
      <c r="D52" s="5">
        <f>18.48</f>
        <v>18.48</v>
      </c>
      <c r="E52" s="4"/>
      <c r="F52" s="4"/>
      <c r="G52" s="5">
        <f>36.96</f>
        <v>36.96</v>
      </c>
      <c r="H52" s="4"/>
      <c r="I52" s="4"/>
      <c r="J52" s="4"/>
      <c r="K52" s="4"/>
      <c r="L52" s="4"/>
      <c r="M52" s="5">
        <f>36.96</f>
        <v>36.96</v>
      </c>
      <c r="N52" s="4"/>
      <c r="O52" s="4"/>
      <c r="P52" s="4"/>
      <c r="Q52" s="4"/>
      <c r="R52" s="5">
        <f>18.48</f>
        <v>18.48</v>
      </c>
      <c r="S52" s="5">
        <f>166.32</f>
        <v>166.32</v>
      </c>
      <c r="T52" s="5">
        <f>36.96</f>
        <v>36.96</v>
      </c>
      <c r="U52" s="4"/>
      <c r="V52" s="5">
        <f>73.92</f>
        <v>73.92</v>
      </c>
      <c r="W52" s="4"/>
      <c r="X52" s="4"/>
      <c r="Y52" s="5">
        <f>36.96</f>
        <v>36.96</v>
      </c>
      <c r="Z52" s="5">
        <f>73.92</f>
        <v>73.92</v>
      </c>
      <c r="AA52" s="5">
        <f t="shared" si="5"/>
        <v>831.5</v>
      </c>
    </row>
    <row r="53" spans="1:27" x14ac:dyDescent="0.25">
      <c r="A53" s="3" t="s">
        <v>73</v>
      </c>
      <c r="B53" s="5">
        <f>0</f>
        <v>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>
        <f t="shared" si="5"/>
        <v>0</v>
      </c>
    </row>
    <row r="54" spans="1:27" x14ac:dyDescent="0.25">
      <c r="A54" s="3" t="s">
        <v>74</v>
      </c>
      <c r="B54" s="6">
        <f t="shared" ref="B54:Z54" si="9">((((((B47)+(B48))+(B49))+(B50))+(B51))+(B52))+(B53)</f>
        <v>662.59</v>
      </c>
      <c r="C54" s="6">
        <f t="shared" si="9"/>
        <v>55.44</v>
      </c>
      <c r="D54" s="6">
        <f t="shared" si="9"/>
        <v>8054.1399999999994</v>
      </c>
      <c r="E54" s="6">
        <f t="shared" si="9"/>
        <v>0</v>
      </c>
      <c r="F54" s="6">
        <f t="shared" si="9"/>
        <v>0</v>
      </c>
      <c r="G54" s="6">
        <f t="shared" si="9"/>
        <v>36.96</v>
      </c>
      <c r="H54" s="6">
        <f t="shared" si="9"/>
        <v>0</v>
      </c>
      <c r="I54" s="6">
        <f t="shared" si="9"/>
        <v>0</v>
      </c>
      <c r="J54" s="6">
        <f t="shared" si="9"/>
        <v>0</v>
      </c>
      <c r="K54" s="6">
        <f t="shared" si="9"/>
        <v>0</v>
      </c>
      <c r="L54" s="6">
        <f t="shared" si="9"/>
        <v>0</v>
      </c>
      <c r="M54" s="6">
        <f t="shared" si="9"/>
        <v>36.96</v>
      </c>
      <c r="N54" s="6">
        <f t="shared" si="9"/>
        <v>0</v>
      </c>
      <c r="O54" s="6">
        <f t="shared" si="9"/>
        <v>0</v>
      </c>
      <c r="P54" s="6">
        <f t="shared" si="9"/>
        <v>0</v>
      </c>
      <c r="Q54" s="6">
        <f t="shared" si="9"/>
        <v>0</v>
      </c>
      <c r="R54" s="6">
        <f t="shared" si="9"/>
        <v>18.48</v>
      </c>
      <c r="S54" s="6">
        <f t="shared" si="9"/>
        <v>166.32</v>
      </c>
      <c r="T54" s="6">
        <f t="shared" si="9"/>
        <v>36.96</v>
      </c>
      <c r="U54" s="6">
        <f t="shared" si="9"/>
        <v>0</v>
      </c>
      <c r="V54" s="6">
        <f t="shared" si="9"/>
        <v>73.92</v>
      </c>
      <c r="W54" s="6">
        <f t="shared" si="9"/>
        <v>0</v>
      </c>
      <c r="X54" s="6">
        <f t="shared" si="9"/>
        <v>0</v>
      </c>
      <c r="Y54" s="6">
        <f t="shared" si="9"/>
        <v>36.96</v>
      </c>
      <c r="Z54" s="6">
        <f t="shared" si="9"/>
        <v>73.92</v>
      </c>
      <c r="AA54" s="6">
        <f t="shared" si="5"/>
        <v>9252.649999999996</v>
      </c>
    </row>
    <row r="55" spans="1:27" x14ac:dyDescent="0.25">
      <c r="A55" s="3" t="s">
        <v>75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>
        <f t="shared" si="5"/>
        <v>0</v>
      </c>
    </row>
    <row r="56" spans="1:27" x14ac:dyDescent="0.25">
      <c r="A56" s="3" t="s">
        <v>76</v>
      </c>
      <c r="B56" s="5">
        <f>39123.58</f>
        <v>39123.58</v>
      </c>
      <c r="C56" s="4"/>
      <c r="D56" s="5">
        <f>32702</f>
        <v>32702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>
        <f t="shared" ref="AA56:AA87" si="10">((((((((((((((((((((((((B56)+(C56))+(D56))+(E56))+(F56))+(G56))+(H56))+(I56))+(J56))+(K56))+(L56))+(M56))+(N56))+(O56))+(P56))+(Q56))+(R56))+(S56))+(T56))+(U56))+(V56))+(W56))+(X56))+(Y56))+(Z56)</f>
        <v>71825.58</v>
      </c>
    </row>
    <row r="57" spans="1:27" x14ac:dyDescent="0.25">
      <c r="A57" s="3" t="s">
        <v>77</v>
      </c>
      <c r="B57" s="5">
        <f>24124.5</f>
        <v>24124.5</v>
      </c>
      <c r="C57" s="4"/>
      <c r="D57" s="5">
        <f>18374.5</f>
        <v>18374.5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>
        <f t="shared" si="10"/>
        <v>42499</v>
      </c>
    </row>
    <row r="58" spans="1:27" x14ac:dyDescent="0.25">
      <c r="A58" s="3" t="s">
        <v>78</v>
      </c>
      <c r="B58" s="6">
        <f t="shared" ref="B58:Z58" si="11">((B55)+(B56))+(B57)</f>
        <v>63248.08</v>
      </c>
      <c r="C58" s="6">
        <f t="shared" si="11"/>
        <v>0</v>
      </c>
      <c r="D58" s="6">
        <f t="shared" si="11"/>
        <v>51076.5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 t="shared" si="11"/>
        <v>0</v>
      </c>
      <c r="J58" s="6">
        <f t="shared" si="11"/>
        <v>0</v>
      </c>
      <c r="K58" s="6">
        <f t="shared" si="11"/>
        <v>0</v>
      </c>
      <c r="L58" s="6">
        <f t="shared" si="11"/>
        <v>0</v>
      </c>
      <c r="M58" s="6">
        <f t="shared" si="11"/>
        <v>0</v>
      </c>
      <c r="N58" s="6">
        <f t="shared" si="11"/>
        <v>0</v>
      </c>
      <c r="O58" s="6">
        <f t="shared" si="11"/>
        <v>0</v>
      </c>
      <c r="P58" s="6">
        <f t="shared" si="11"/>
        <v>0</v>
      </c>
      <c r="Q58" s="6">
        <f t="shared" si="11"/>
        <v>0</v>
      </c>
      <c r="R58" s="6">
        <f t="shared" si="11"/>
        <v>0</v>
      </c>
      <c r="S58" s="6">
        <f t="shared" si="11"/>
        <v>0</v>
      </c>
      <c r="T58" s="6">
        <f t="shared" si="11"/>
        <v>0</v>
      </c>
      <c r="U58" s="6">
        <f t="shared" si="11"/>
        <v>0</v>
      </c>
      <c r="V58" s="6">
        <f t="shared" si="11"/>
        <v>0</v>
      </c>
      <c r="W58" s="6">
        <f t="shared" si="11"/>
        <v>0</v>
      </c>
      <c r="X58" s="6">
        <f t="shared" si="11"/>
        <v>0</v>
      </c>
      <c r="Y58" s="6">
        <f t="shared" si="11"/>
        <v>0</v>
      </c>
      <c r="Z58" s="6">
        <f t="shared" si="11"/>
        <v>0</v>
      </c>
      <c r="AA58" s="6">
        <f t="shared" si="10"/>
        <v>114324.58</v>
      </c>
    </row>
    <row r="59" spans="1:27" x14ac:dyDescent="0.25">
      <c r="A59" s="3" t="s">
        <v>79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>
        <f t="shared" si="10"/>
        <v>0</v>
      </c>
    </row>
    <row r="60" spans="1:27" x14ac:dyDescent="0.25">
      <c r="A60" s="3" t="s">
        <v>80</v>
      </c>
      <c r="B60" s="5">
        <f>6.3</f>
        <v>6.3</v>
      </c>
      <c r="C60" s="5">
        <f>4.74</f>
        <v>4.74</v>
      </c>
      <c r="D60" s="5">
        <f>42.99</f>
        <v>42.99</v>
      </c>
      <c r="E60" s="4"/>
      <c r="F60" s="4"/>
      <c r="G60" s="4"/>
      <c r="H60" s="4"/>
      <c r="I60" s="4"/>
      <c r="J60" s="4"/>
      <c r="K60" s="4"/>
      <c r="L60" s="4"/>
      <c r="M60" s="5">
        <f>1.62</f>
        <v>1.62</v>
      </c>
      <c r="N60" s="4"/>
      <c r="O60" s="4"/>
      <c r="P60" s="4"/>
      <c r="Q60" s="4"/>
      <c r="R60" s="4"/>
      <c r="S60" s="5">
        <f>6.3</f>
        <v>6.3</v>
      </c>
      <c r="T60" s="5">
        <f>1.62</f>
        <v>1.62</v>
      </c>
      <c r="U60" s="4"/>
      <c r="V60" s="5">
        <f>1.62</f>
        <v>1.62</v>
      </c>
      <c r="W60" s="4"/>
      <c r="X60" s="4"/>
      <c r="Y60" s="5">
        <f>1.62</f>
        <v>1.62</v>
      </c>
      <c r="Z60" s="5">
        <f>3.18</f>
        <v>3.18</v>
      </c>
      <c r="AA60" s="5">
        <f t="shared" si="10"/>
        <v>69.990000000000009</v>
      </c>
    </row>
    <row r="61" spans="1:27" x14ac:dyDescent="0.25">
      <c r="A61" s="3" t="s">
        <v>81</v>
      </c>
      <c r="B61" s="5">
        <f>0</f>
        <v>0</v>
      </c>
      <c r="C61" s="5">
        <f>0</f>
        <v>0</v>
      </c>
      <c r="D61" s="5">
        <f>0</f>
        <v>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">
        <f>0</f>
        <v>0</v>
      </c>
      <c r="T61" s="4"/>
      <c r="U61" s="4"/>
      <c r="V61" s="5">
        <f>0</f>
        <v>0</v>
      </c>
      <c r="W61" s="4"/>
      <c r="X61" s="4"/>
      <c r="Y61" s="5">
        <f>0</f>
        <v>0</v>
      </c>
      <c r="Z61" s="5">
        <f>0</f>
        <v>0</v>
      </c>
      <c r="AA61" s="5">
        <f t="shared" si="10"/>
        <v>0</v>
      </c>
    </row>
    <row r="62" spans="1:27" x14ac:dyDescent="0.25">
      <c r="A62" s="3" t="s">
        <v>82</v>
      </c>
      <c r="B62" s="5">
        <f>103.26</f>
        <v>103.26</v>
      </c>
      <c r="C62" s="5">
        <f>0</f>
        <v>0</v>
      </c>
      <c r="D62" s="4"/>
      <c r="E62" s="4"/>
      <c r="F62" s="4"/>
      <c r="G62" s="4"/>
      <c r="H62" s="4"/>
      <c r="I62" s="4"/>
      <c r="J62" s="5">
        <f>0</f>
        <v>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>
        <f t="shared" si="10"/>
        <v>103.26</v>
      </c>
    </row>
    <row r="63" spans="1:27" x14ac:dyDescent="0.25">
      <c r="A63" s="3" t="s">
        <v>83</v>
      </c>
      <c r="B63" s="5">
        <f>-2856.08</f>
        <v>-2856.08</v>
      </c>
      <c r="C63" s="5">
        <f>0</f>
        <v>0</v>
      </c>
      <c r="D63" s="5">
        <f>100</f>
        <v>100</v>
      </c>
      <c r="E63" s="4"/>
      <c r="F63" s="5">
        <f>1300</f>
        <v>1300</v>
      </c>
      <c r="G63" s="4"/>
      <c r="H63" s="4"/>
      <c r="I63" s="4"/>
      <c r="J63" s="5">
        <f>0</f>
        <v>0</v>
      </c>
      <c r="K63" s="4"/>
      <c r="L63" s="4"/>
      <c r="M63" s="5">
        <f>0</f>
        <v>0</v>
      </c>
      <c r="N63" s="4"/>
      <c r="O63" s="4"/>
      <c r="P63" s="4"/>
      <c r="Q63" s="4"/>
      <c r="R63" s="4"/>
      <c r="S63" s="5">
        <f>-103.05</f>
        <v>-103.05</v>
      </c>
      <c r="T63" s="5">
        <f>0</f>
        <v>0</v>
      </c>
      <c r="U63" s="4"/>
      <c r="V63" s="5">
        <f>-18455.52</f>
        <v>-18455.52</v>
      </c>
      <c r="W63" s="4"/>
      <c r="X63" s="5">
        <f>4075.34</f>
        <v>4075.34</v>
      </c>
      <c r="Y63" s="5">
        <f>0</f>
        <v>0</v>
      </c>
      <c r="Z63" s="5">
        <f>731.98</f>
        <v>731.98</v>
      </c>
      <c r="AA63" s="5">
        <f t="shared" si="10"/>
        <v>-15207.330000000002</v>
      </c>
    </row>
    <row r="64" spans="1:27" x14ac:dyDescent="0.25">
      <c r="A64" s="3" t="s">
        <v>84</v>
      </c>
      <c r="B64" s="6">
        <f t="shared" ref="B64:Z64" si="12">((((B59)+(B60))+(B61))+(B62))+(B63)</f>
        <v>-2746.52</v>
      </c>
      <c r="C64" s="6">
        <f t="shared" si="12"/>
        <v>4.74</v>
      </c>
      <c r="D64" s="6">
        <f t="shared" si="12"/>
        <v>142.99</v>
      </c>
      <c r="E64" s="6">
        <f t="shared" si="12"/>
        <v>0</v>
      </c>
      <c r="F64" s="6">
        <f t="shared" si="12"/>
        <v>1300</v>
      </c>
      <c r="G64" s="6">
        <f t="shared" si="12"/>
        <v>0</v>
      </c>
      <c r="H64" s="6">
        <f t="shared" si="12"/>
        <v>0</v>
      </c>
      <c r="I64" s="6">
        <f t="shared" si="12"/>
        <v>0</v>
      </c>
      <c r="J64" s="6">
        <f t="shared" si="12"/>
        <v>0</v>
      </c>
      <c r="K64" s="6">
        <f t="shared" si="12"/>
        <v>0</v>
      </c>
      <c r="L64" s="6">
        <f t="shared" si="12"/>
        <v>0</v>
      </c>
      <c r="M64" s="6">
        <f t="shared" si="12"/>
        <v>1.62</v>
      </c>
      <c r="N64" s="6">
        <f t="shared" si="12"/>
        <v>0</v>
      </c>
      <c r="O64" s="6">
        <f t="shared" si="12"/>
        <v>0</v>
      </c>
      <c r="P64" s="6">
        <f t="shared" si="12"/>
        <v>0</v>
      </c>
      <c r="Q64" s="6">
        <f t="shared" si="12"/>
        <v>0</v>
      </c>
      <c r="R64" s="6">
        <f t="shared" si="12"/>
        <v>0</v>
      </c>
      <c r="S64" s="6">
        <f t="shared" si="12"/>
        <v>-96.75</v>
      </c>
      <c r="T64" s="6">
        <f t="shared" si="12"/>
        <v>1.62</v>
      </c>
      <c r="U64" s="6">
        <f t="shared" si="12"/>
        <v>0</v>
      </c>
      <c r="V64" s="6">
        <f t="shared" si="12"/>
        <v>-18453.900000000001</v>
      </c>
      <c r="W64" s="6">
        <f t="shared" si="12"/>
        <v>0</v>
      </c>
      <c r="X64" s="6">
        <f t="shared" si="12"/>
        <v>4075.34</v>
      </c>
      <c r="Y64" s="6">
        <f t="shared" si="12"/>
        <v>1.62</v>
      </c>
      <c r="Z64" s="6">
        <f t="shared" si="12"/>
        <v>735.16</v>
      </c>
      <c r="AA64" s="6">
        <f t="shared" si="10"/>
        <v>-15034.08</v>
      </c>
    </row>
    <row r="65" spans="1:27" x14ac:dyDescent="0.25">
      <c r="A65" s="3" t="s">
        <v>85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>
        <f t="shared" si="10"/>
        <v>0</v>
      </c>
    </row>
    <row r="66" spans="1:27" x14ac:dyDescent="0.25">
      <c r="A66" s="3" t="s">
        <v>86</v>
      </c>
      <c r="B66" s="4"/>
      <c r="C66" s="5">
        <f>2494.44</f>
        <v>2494.44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5">
        <f>9344.14</f>
        <v>9344.14</v>
      </c>
      <c r="T66" s="4"/>
      <c r="U66" s="4"/>
      <c r="V66" s="5">
        <f>-2494.44</f>
        <v>-2494.44</v>
      </c>
      <c r="W66" s="4"/>
      <c r="X66" s="4"/>
      <c r="Y66" s="4"/>
      <c r="Z66" s="5">
        <f>0</f>
        <v>0</v>
      </c>
      <c r="AA66" s="5">
        <f t="shared" si="10"/>
        <v>9344.14</v>
      </c>
    </row>
    <row r="67" spans="1:27" x14ac:dyDescent="0.25">
      <c r="A67" s="3" t="s">
        <v>87</v>
      </c>
      <c r="B67" s="5">
        <f>2139.81</f>
        <v>2139.81</v>
      </c>
      <c r="C67" s="4"/>
      <c r="D67" s="4"/>
      <c r="E67" s="4"/>
      <c r="F67" s="4"/>
      <c r="G67" s="4"/>
      <c r="H67" s="4"/>
      <c r="I67" s="4"/>
      <c r="J67" s="5">
        <f>-228.75</f>
        <v>-228.75</v>
      </c>
      <c r="K67" s="4"/>
      <c r="L67" s="4"/>
      <c r="M67" s="4"/>
      <c r="N67" s="4"/>
      <c r="O67" s="4"/>
      <c r="P67" s="4"/>
      <c r="Q67" s="4"/>
      <c r="R67" s="4"/>
      <c r="S67" s="5">
        <f>738</f>
        <v>738</v>
      </c>
      <c r="T67" s="4"/>
      <c r="U67" s="4"/>
      <c r="V67" s="5">
        <f>0</f>
        <v>0</v>
      </c>
      <c r="W67" s="4"/>
      <c r="X67" s="4"/>
      <c r="Y67" s="4"/>
      <c r="Z67" s="5">
        <f>0</f>
        <v>0</v>
      </c>
      <c r="AA67" s="5">
        <f t="shared" si="10"/>
        <v>2649.06</v>
      </c>
    </row>
    <row r="68" spans="1:27" x14ac:dyDescent="0.25">
      <c r="A68" s="3" t="s">
        <v>88</v>
      </c>
      <c r="B68" s="5">
        <f>2437.65</f>
        <v>2437.65</v>
      </c>
      <c r="C68" s="5">
        <f>2193.68</f>
        <v>2193.6799999999998</v>
      </c>
      <c r="D68" s="5">
        <f>1247.95</f>
        <v>1247.95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>
        <f>103898.06</f>
        <v>103898.06</v>
      </c>
      <c r="Q68" s="4"/>
      <c r="R68" s="4"/>
      <c r="S68" s="5">
        <f>1077.76</f>
        <v>1077.76</v>
      </c>
      <c r="T68" s="5">
        <f>0</f>
        <v>0</v>
      </c>
      <c r="U68" s="4"/>
      <c r="V68" s="5">
        <f>22599.19</f>
        <v>22599.19</v>
      </c>
      <c r="W68" s="4"/>
      <c r="X68" s="4"/>
      <c r="Y68" s="5">
        <f>0</f>
        <v>0</v>
      </c>
      <c r="Z68" s="5">
        <f>1077.76</f>
        <v>1077.76</v>
      </c>
      <c r="AA68" s="5">
        <f t="shared" si="10"/>
        <v>134532.04999999999</v>
      </c>
    </row>
    <row r="69" spans="1:27" x14ac:dyDescent="0.25">
      <c r="A69" s="3" t="s">
        <v>89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5">
        <f>103.05</f>
        <v>103.05</v>
      </c>
      <c r="T69" s="4"/>
      <c r="U69" s="4"/>
      <c r="V69" s="5">
        <f>71.97</f>
        <v>71.97</v>
      </c>
      <c r="W69" s="4"/>
      <c r="X69" s="4"/>
      <c r="Y69" s="4"/>
      <c r="Z69" s="4"/>
      <c r="AA69" s="5">
        <f t="shared" si="10"/>
        <v>175.01999999999998</v>
      </c>
    </row>
    <row r="70" spans="1:27" x14ac:dyDescent="0.25">
      <c r="A70" s="3" t="s">
        <v>90</v>
      </c>
      <c r="B70" s="5">
        <f>1387.77</f>
        <v>1387.77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>
        <f t="shared" si="10"/>
        <v>1387.77</v>
      </c>
    </row>
    <row r="71" spans="1:27" x14ac:dyDescent="0.25">
      <c r="A71" s="3" t="s">
        <v>91</v>
      </c>
      <c r="B71" s="6">
        <f t="shared" ref="B71:Z71" si="13">(((((B65)+(B66))+(B67))+(B68))+(B69))+(B70)</f>
        <v>5965.23</v>
      </c>
      <c r="C71" s="6">
        <f t="shared" si="13"/>
        <v>4688.12</v>
      </c>
      <c r="D71" s="6">
        <f t="shared" si="13"/>
        <v>1247.95</v>
      </c>
      <c r="E71" s="6">
        <f t="shared" si="13"/>
        <v>0</v>
      </c>
      <c r="F71" s="6">
        <f t="shared" si="13"/>
        <v>0</v>
      </c>
      <c r="G71" s="6">
        <f t="shared" si="13"/>
        <v>0</v>
      </c>
      <c r="H71" s="6">
        <f t="shared" si="13"/>
        <v>0</v>
      </c>
      <c r="I71" s="6">
        <f t="shared" si="13"/>
        <v>0</v>
      </c>
      <c r="J71" s="6">
        <f t="shared" si="13"/>
        <v>-228.75</v>
      </c>
      <c r="K71" s="6">
        <f t="shared" si="13"/>
        <v>0</v>
      </c>
      <c r="L71" s="6">
        <f t="shared" si="13"/>
        <v>0</v>
      </c>
      <c r="M71" s="6">
        <f t="shared" si="13"/>
        <v>0</v>
      </c>
      <c r="N71" s="6">
        <f t="shared" si="13"/>
        <v>0</v>
      </c>
      <c r="O71" s="6">
        <f t="shared" si="13"/>
        <v>0</v>
      </c>
      <c r="P71" s="6">
        <f t="shared" si="13"/>
        <v>103898.06</v>
      </c>
      <c r="Q71" s="6">
        <f t="shared" si="13"/>
        <v>0</v>
      </c>
      <c r="R71" s="6">
        <f t="shared" si="13"/>
        <v>0</v>
      </c>
      <c r="S71" s="6">
        <f t="shared" si="13"/>
        <v>11262.949999999999</v>
      </c>
      <c r="T71" s="6">
        <f t="shared" si="13"/>
        <v>0</v>
      </c>
      <c r="U71" s="6">
        <f t="shared" si="13"/>
        <v>0</v>
      </c>
      <c r="V71" s="6">
        <f t="shared" si="13"/>
        <v>20176.72</v>
      </c>
      <c r="W71" s="6">
        <f t="shared" si="13"/>
        <v>0</v>
      </c>
      <c r="X71" s="6">
        <f t="shared" si="13"/>
        <v>0</v>
      </c>
      <c r="Y71" s="6">
        <f t="shared" si="13"/>
        <v>0</v>
      </c>
      <c r="Z71" s="6">
        <f t="shared" si="13"/>
        <v>1077.76</v>
      </c>
      <c r="AA71" s="6">
        <f t="shared" si="10"/>
        <v>148088.04</v>
      </c>
    </row>
    <row r="72" spans="1:27" x14ac:dyDescent="0.25">
      <c r="A72" s="3" t="s">
        <v>92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>
        <f t="shared" si="10"/>
        <v>0</v>
      </c>
    </row>
    <row r="73" spans="1:27" x14ac:dyDescent="0.25">
      <c r="A73" s="3" t="s">
        <v>93</v>
      </c>
      <c r="B73" s="4"/>
      <c r="C73" s="5">
        <f>3415.29</f>
        <v>3415.29</v>
      </c>
      <c r="D73" s="5">
        <f>12266.07</f>
        <v>12266.07</v>
      </c>
      <c r="E73" s="5">
        <f>1735.47</f>
        <v>1735.47</v>
      </c>
      <c r="F73" s="5">
        <f>1699.67</f>
        <v>1699.67</v>
      </c>
      <c r="G73" s="5">
        <f>452.96</f>
        <v>452.96</v>
      </c>
      <c r="H73" s="5">
        <f>806.11</f>
        <v>806.11</v>
      </c>
      <c r="I73" s="4"/>
      <c r="J73" s="5">
        <f>0</f>
        <v>0</v>
      </c>
      <c r="K73" s="5">
        <f>549.39</f>
        <v>549.39</v>
      </c>
      <c r="L73" s="5">
        <f>8534.74</f>
        <v>8534.74</v>
      </c>
      <c r="M73" s="5">
        <f>2312.05</f>
        <v>2312.0500000000002</v>
      </c>
      <c r="N73" s="5">
        <f>7062.6</f>
        <v>7062.6</v>
      </c>
      <c r="O73" s="5">
        <f>4855.51</f>
        <v>4855.51</v>
      </c>
      <c r="P73" s="5">
        <f>11475.89</f>
        <v>11475.89</v>
      </c>
      <c r="Q73" s="5">
        <f>711.27</f>
        <v>711.27</v>
      </c>
      <c r="R73" s="5">
        <f>359.58</f>
        <v>359.58</v>
      </c>
      <c r="S73" s="5">
        <f>5345.6</f>
        <v>5345.6</v>
      </c>
      <c r="T73" s="5">
        <f>2264.85</f>
        <v>2264.85</v>
      </c>
      <c r="U73" s="5">
        <f>0</f>
        <v>0</v>
      </c>
      <c r="V73" s="5">
        <f>5665.24</f>
        <v>5665.24</v>
      </c>
      <c r="W73" s="5">
        <f>20.56</f>
        <v>20.56</v>
      </c>
      <c r="X73" s="5">
        <f>407.53</f>
        <v>407.53</v>
      </c>
      <c r="Y73" s="5">
        <f>2820.61</f>
        <v>2820.61</v>
      </c>
      <c r="Z73" s="5">
        <f>7343.57</f>
        <v>7343.57</v>
      </c>
      <c r="AA73" s="5">
        <f t="shared" si="10"/>
        <v>80104.56</v>
      </c>
    </row>
    <row r="74" spans="1:27" x14ac:dyDescent="0.25">
      <c r="A74" s="3" t="s">
        <v>94</v>
      </c>
      <c r="B74" s="6">
        <f t="shared" ref="B74:Z74" si="14">(B72)+(B73)</f>
        <v>0</v>
      </c>
      <c r="C74" s="6">
        <f t="shared" si="14"/>
        <v>3415.29</v>
      </c>
      <c r="D74" s="6">
        <f t="shared" si="14"/>
        <v>12266.07</v>
      </c>
      <c r="E74" s="6">
        <f t="shared" si="14"/>
        <v>1735.47</v>
      </c>
      <c r="F74" s="6">
        <f t="shared" si="14"/>
        <v>1699.67</v>
      </c>
      <c r="G74" s="6">
        <f t="shared" si="14"/>
        <v>452.96</v>
      </c>
      <c r="H74" s="6">
        <f t="shared" si="14"/>
        <v>806.11</v>
      </c>
      <c r="I74" s="6">
        <f t="shared" si="14"/>
        <v>0</v>
      </c>
      <c r="J74" s="6">
        <f t="shared" si="14"/>
        <v>0</v>
      </c>
      <c r="K74" s="6">
        <f t="shared" si="14"/>
        <v>549.39</v>
      </c>
      <c r="L74" s="6">
        <f t="shared" si="14"/>
        <v>8534.74</v>
      </c>
      <c r="M74" s="6">
        <f t="shared" si="14"/>
        <v>2312.0500000000002</v>
      </c>
      <c r="N74" s="6">
        <f t="shared" si="14"/>
        <v>7062.6</v>
      </c>
      <c r="O74" s="6">
        <f t="shared" si="14"/>
        <v>4855.51</v>
      </c>
      <c r="P74" s="6">
        <f t="shared" si="14"/>
        <v>11475.89</v>
      </c>
      <c r="Q74" s="6">
        <f t="shared" si="14"/>
        <v>711.27</v>
      </c>
      <c r="R74" s="6">
        <f t="shared" si="14"/>
        <v>359.58</v>
      </c>
      <c r="S74" s="6">
        <f t="shared" si="14"/>
        <v>5345.6</v>
      </c>
      <c r="T74" s="6">
        <f t="shared" si="14"/>
        <v>2264.85</v>
      </c>
      <c r="U74" s="6">
        <f t="shared" si="14"/>
        <v>0</v>
      </c>
      <c r="V74" s="6">
        <f t="shared" si="14"/>
        <v>5665.24</v>
      </c>
      <c r="W74" s="6">
        <f t="shared" si="14"/>
        <v>20.56</v>
      </c>
      <c r="X74" s="6">
        <f t="shared" si="14"/>
        <v>407.53</v>
      </c>
      <c r="Y74" s="6">
        <f t="shared" si="14"/>
        <v>2820.61</v>
      </c>
      <c r="Z74" s="6">
        <f t="shared" si="14"/>
        <v>7343.57</v>
      </c>
      <c r="AA74" s="6">
        <f t="shared" si="10"/>
        <v>80104.56</v>
      </c>
    </row>
    <row r="75" spans="1:27" x14ac:dyDescent="0.25">
      <c r="A75" s="3" t="s">
        <v>95</v>
      </c>
      <c r="B75" s="6">
        <f t="shared" ref="B75:Z75" si="15">((((((((B27)+(B40))+(B45))+(B46))+(B54))+(B58))+(B64))+(B71))+(B74)</f>
        <v>172156.93000000002</v>
      </c>
      <c r="C75" s="6">
        <f t="shared" si="15"/>
        <v>46106.43</v>
      </c>
      <c r="D75" s="6">
        <f t="shared" si="15"/>
        <v>134926.76</v>
      </c>
      <c r="E75" s="6">
        <f t="shared" si="15"/>
        <v>19090.14</v>
      </c>
      <c r="F75" s="6">
        <f t="shared" si="15"/>
        <v>18696.32</v>
      </c>
      <c r="G75" s="6">
        <f t="shared" si="15"/>
        <v>4982.5200000000004</v>
      </c>
      <c r="H75" s="6">
        <f t="shared" si="15"/>
        <v>10882.44</v>
      </c>
      <c r="I75" s="6">
        <f t="shared" si="15"/>
        <v>59500</v>
      </c>
      <c r="J75" s="6">
        <f t="shared" si="15"/>
        <v>-228.75</v>
      </c>
      <c r="K75" s="6">
        <f t="shared" si="15"/>
        <v>6043.29</v>
      </c>
      <c r="L75" s="6">
        <f t="shared" si="15"/>
        <v>93882.13</v>
      </c>
      <c r="M75" s="6">
        <f t="shared" si="15"/>
        <v>19961.32</v>
      </c>
      <c r="N75" s="6">
        <f t="shared" si="15"/>
        <v>65917.56</v>
      </c>
      <c r="O75" s="6">
        <f t="shared" si="15"/>
        <v>45318.1</v>
      </c>
      <c r="P75" s="6">
        <f t="shared" si="15"/>
        <v>126884.75</v>
      </c>
      <c r="Q75" s="6">
        <f t="shared" si="15"/>
        <v>9602.15</v>
      </c>
      <c r="R75" s="6">
        <f t="shared" si="15"/>
        <v>4854.2999999999993</v>
      </c>
      <c r="S75" s="6">
        <f t="shared" si="15"/>
        <v>72165.600000000006</v>
      </c>
      <c r="T75" s="6">
        <f t="shared" si="15"/>
        <v>18442.349999999999</v>
      </c>
      <c r="U75" s="6">
        <f t="shared" si="15"/>
        <v>0</v>
      </c>
      <c r="V75" s="6">
        <f t="shared" si="15"/>
        <v>62317.599999999991</v>
      </c>
      <c r="W75" s="6">
        <f t="shared" si="15"/>
        <v>1048.5899999999999</v>
      </c>
      <c r="X75" s="6">
        <f t="shared" si="15"/>
        <v>4482.87</v>
      </c>
      <c r="Y75" s="6">
        <f t="shared" si="15"/>
        <v>22967.8</v>
      </c>
      <c r="Z75" s="6">
        <f t="shared" si="15"/>
        <v>59797.61</v>
      </c>
      <c r="AA75" s="6">
        <f t="shared" si="10"/>
        <v>1079798.8099999998</v>
      </c>
    </row>
    <row r="76" spans="1:27" x14ac:dyDescent="0.25">
      <c r="A76" s="3" t="s">
        <v>96</v>
      </c>
      <c r="B76" s="6">
        <f t="shared" ref="B76:Z76" si="16">(B22)-(B75)</f>
        <v>244548.85</v>
      </c>
      <c r="C76" s="6">
        <f t="shared" si="16"/>
        <v>-74250.36</v>
      </c>
      <c r="D76" s="6">
        <f t="shared" si="16"/>
        <v>-134926.76</v>
      </c>
      <c r="E76" s="6">
        <f t="shared" si="16"/>
        <v>-19090.14</v>
      </c>
      <c r="F76" s="6">
        <f t="shared" si="16"/>
        <v>-21280.63</v>
      </c>
      <c r="G76" s="6">
        <f t="shared" si="16"/>
        <v>-4982.5200000000004</v>
      </c>
      <c r="H76" s="6">
        <f t="shared" si="16"/>
        <v>-10882.44</v>
      </c>
      <c r="I76" s="6">
        <f t="shared" si="16"/>
        <v>-55519.75</v>
      </c>
      <c r="J76" s="6">
        <f t="shared" si="16"/>
        <v>228.75</v>
      </c>
      <c r="K76" s="6">
        <f t="shared" si="16"/>
        <v>-6043.29</v>
      </c>
      <c r="L76" s="6">
        <f t="shared" si="16"/>
        <v>-93998.63</v>
      </c>
      <c r="M76" s="6">
        <f t="shared" si="16"/>
        <v>-41977.9</v>
      </c>
      <c r="N76" s="6">
        <f t="shared" si="16"/>
        <v>-66939.849999999991</v>
      </c>
      <c r="O76" s="6">
        <f t="shared" si="16"/>
        <v>-45318.1</v>
      </c>
      <c r="P76" s="6">
        <f t="shared" si="16"/>
        <v>-126884.75</v>
      </c>
      <c r="Q76" s="6">
        <f t="shared" si="16"/>
        <v>-9602.15</v>
      </c>
      <c r="R76" s="6">
        <f t="shared" si="16"/>
        <v>-4854.2999999999993</v>
      </c>
      <c r="S76" s="6">
        <f t="shared" si="16"/>
        <v>-81665.47</v>
      </c>
      <c r="T76" s="6">
        <f t="shared" si="16"/>
        <v>-32528.37</v>
      </c>
      <c r="U76" s="6">
        <f t="shared" si="16"/>
        <v>0</v>
      </c>
      <c r="V76" s="6">
        <f t="shared" si="16"/>
        <v>-219527.83000000002</v>
      </c>
      <c r="W76" s="6">
        <f t="shared" si="16"/>
        <v>-1048.5899999999999</v>
      </c>
      <c r="X76" s="6">
        <f t="shared" si="16"/>
        <v>0</v>
      </c>
      <c r="Y76" s="6">
        <f t="shared" si="16"/>
        <v>-25631.68</v>
      </c>
      <c r="Z76" s="6">
        <f t="shared" si="16"/>
        <v>-87443.72</v>
      </c>
      <c r="AA76" s="6">
        <f t="shared" si="10"/>
        <v>-919619.63000000012</v>
      </c>
    </row>
    <row r="77" spans="1:27" x14ac:dyDescent="0.25">
      <c r="A77" s="3" t="s">
        <v>97</v>
      </c>
      <c r="B77" s="7">
        <f t="shared" ref="B77:Z77" si="17">(B76)+(0)</f>
        <v>244548.85</v>
      </c>
      <c r="C77" s="7">
        <f t="shared" si="17"/>
        <v>-74250.36</v>
      </c>
      <c r="D77" s="7">
        <f t="shared" si="17"/>
        <v>-134926.76</v>
      </c>
      <c r="E77" s="7">
        <f t="shared" si="17"/>
        <v>-19090.14</v>
      </c>
      <c r="F77" s="7">
        <f t="shared" si="17"/>
        <v>-21280.63</v>
      </c>
      <c r="G77" s="7">
        <f t="shared" si="17"/>
        <v>-4982.5200000000004</v>
      </c>
      <c r="H77" s="7">
        <f t="shared" si="17"/>
        <v>-10882.44</v>
      </c>
      <c r="I77" s="7">
        <f t="shared" si="17"/>
        <v>-55519.75</v>
      </c>
      <c r="J77" s="7">
        <f t="shared" si="17"/>
        <v>228.75</v>
      </c>
      <c r="K77" s="7">
        <f t="shared" si="17"/>
        <v>-6043.29</v>
      </c>
      <c r="L77" s="7">
        <f t="shared" si="17"/>
        <v>-93998.63</v>
      </c>
      <c r="M77" s="7">
        <f t="shared" si="17"/>
        <v>-41977.9</v>
      </c>
      <c r="N77" s="7">
        <f t="shared" si="17"/>
        <v>-66939.849999999991</v>
      </c>
      <c r="O77" s="7">
        <f t="shared" si="17"/>
        <v>-45318.1</v>
      </c>
      <c r="P77" s="7">
        <f t="shared" si="17"/>
        <v>-126884.75</v>
      </c>
      <c r="Q77" s="7">
        <f t="shared" si="17"/>
        <v>-9602.15</v>
      </c>
      <c r="R77" s="7">
        <f t="shared" si="17"/>
        <v>-4854.2999999999993</v>
      </c>
      <c r="S77" s="7">
        <f t="shared" si="17"/>
        <v>-81665.47</v>
      </c>
      <c r="T77" s="7">
        <f t="shared" si="17"/>
        <v>-32528.37</v>
      </c>
      <c r="U77" s="7">
        <f t="shared" si="17"/>
        <v>0</v>
      </c>
      <c r="V77" s="7">
        <f t="shared" si="17"/>
        <v>-219527.83000000002</v>
      </c>
      <c r="W77" s="7">
        <f t="shared" si="17"/>
        <v>-1048.5899999999999</v>
      </c>
      <c r="X77" s="7">
        <f t="shared" si="17"/>
        <v>0</v>
      </c>
      <c r="Y77" s="7">
        <f t="shared" si="17"/>
        <v>-25631.68</v>
      </c>
      <c r="Z77" s="7">
        <f t="shared" si="17"/>
        <v>-87443.72</v>
      </c>
      <c r="AA77" s="7">
        <f t="shared" si="10"/>
        <v>-919619.63000000012</v>
      </c>
    </row>
    <row r="78" spans="1:27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81" spans="1:27" x14ac:dyDescent="0.2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</sheetData>
  <sheetProtection algorithmName="SHA-512" hashValue="43C/cWoayy0CHw8DgXZif9WUndKHBWV/4BxlOSipeJrUs0Wty1rAR42knFfECcboV3/6tba61+6NGZb2BjmCSg==" saltValue="2mfG8OPgyIoFYaKzAAZAzg==" spinCount="100000" sheet="1" objects="1" scenarios="1"/>
  <mergeCells count="4">
    <mergeCell ref="A81:AA81"/>
    <mergeCell ref="A1:AA1"/>
    <mergeCell ref="A2:AA2"/>
    <mergeCell ref="A3:AA3"/>
  </mergeCells>
  <pageMargins left="0.7" right="0.7" top="0.75" bottom="0.7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2024-08-09T16:58:41Z</cp:lastPrinted>
  <dcterms:created xsi:type="dcterms:W3CDTF">2024-08-09T16:57:25Z</dcterms:created>
  <dcterms:modified xsi:type="dcterms:W3CDTF">2024-08-09T16:59:33Z</dcterms:modified>
</cp:coreProperties>
</file>