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3E41ADF7-BE3C-48B5-A69D-1276B7D7FDE7}" xr6:coauthVersionLast="47" xr6:coauthVersionMax="47" xr10:uidLastSave="{00000000-0000-0000-0000-000000000000}"/>
  <bookViews>
    <workbookView xWindow="7515" yWindow="2385" windowWidth="17265" windowHeight="13365" xr2:uid="{00000000-000D-0000-FFFF-FFFF00000000}"/>
  </bookViews>
  <sheets>
    <sheet name="Profit and Loss by Cla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3" i="1" l="1"/>
  <c r="Z93" i="1"/>
  <c r="W93" i="1"/>
  <c r="S93" i="1"/>
  <c r="L93" i="1"/>
  <c r="D93" i="1"/>
  <c r="C93" i="1"/>
  <c r="B93" i="1"/>
  <c r="AG92" i="1"/>
  <c r="AF92" i="1"/>
  <c r="AF93" i="1" s="1"/>
  <c r="AE92" i="1"/>
  <c r="AD92" i="1"/>
  <c r="AD93" i="1" s="1"/>
  <c r="AC92" i="1"/>
  <c r="AC93" i="1" s="1"/>
  <c r="AB92" i="1"/>
  <c r="AA92" i="1"/>
  <c r="AA93" i="1" s="1"/>
  <c r="Z92" i="1"/>
  <c r="Y92" i="1"/>
  <c r="X92" i="1"/>
  <c r="V92" i="1"/>
  <c r="U92" i="1"/>
  <c r="U93" i="1" s="1"/>
  <c r="T92" i="1"/>
  <c r="T93" i="1" s="1"/>
  <c r="S92" i="1"/>
  <c r="R92" i="1"/>
  <c r="Q92" i="1"/>
  <c r="Q93" i="1" s="1"/>
  <c r="P92" i="1"/>
  <c r="O92" i="1"/>
  <c r="O93" i="1" s="1"/>
  <c r="N92" i="1"/>
  <c r="N93" i="1" s="1"/>
  <c r="M92" i="1"/>
  <c r="M93" i="1" s="1"/>
  <c r="K92" i="1"/>
  <c r="K93" i="1" s="1"/>
  <c r="J92" i="1"/>
  <c r="J93" i="1" s="1"/>
  <c r="I92" i="1"/>
  <c r="I93" i="1" s="1"/>
  <c r="H92" i="1"/>
  <c r="H93" i="1" s="1"/>
  <c r="G92" i="1"/>
  <c r="F92" i="1"/>
  <c r="F93" i="1" s="1"/>
  <c r="E92" i="1"/>
  <c r="G91" i="1"/>
  <c r="AG90" i="1"/>
  <c r="AE90" i="1"/>
  <c r="AE93" i="1" s="1"/>
  <c r="AB90" i="1"/>
  <c r="Z90" i="1"/>
  <c r="Y90" i="1"/>
  <c r="Y93" i="1" s="1"/>
  <c r="X90" i="1"/>
  <c r="X93" i="1" s="1"/>
  <c r="V90" i="1"/>
  <c r="V93" i="1" s="1"/>
  <c r="R90" i="1"/>
  <c r="R93" i="1" s="1"/>
  <c r="P90" i="1"/>
  <c r="P93" i="1" s="1"/>
  <c r="J90" i="1"/>
  <c r="E90" i="1"/>
  <c r="E93" i="1" s="1"/>
  <c r="B90" i="1"/>
  <c r="AI89" i="1"/>
  <c r="AH88" i="1"/>
  <c r="AF88" i="1"/>
  <c r="AD88" i="1"/>
  <c r="W88" i="1"/>
  <c r="U88" i="1"/>
  <c r="S88" i="1"/>
  <c r="Q88" i="1"/>
  <c r="N88" i="1"/>
  <c r="K88" i="1"/>
  <c r="J88" i="1"/>
  <c r="I88" i="1"/>
  <c r="F88" i="1"/>
  <c r="D88" i="1"/>
  <c r="C88" i="1"/>
  <c r="B87" i="1"/>
  <c r="AI87" i="1" s="1"/>
  <c r="AG86" i="1"/>
  <c r="AF86" i="1"/>
  <c r="AE86" i="1"/>
  <c r="AC86" i="1"/>
  <c r="AC88" i="1" s="1"/>
  <c r="AB86" i="1"/>
  <c r="Y86" i="1"/>
  <c r="X86" i="1"/>
  <c r="V86" i="1"/>
  <c r="M86" i="1"/>
  <c r="L86" i="1"/>
  <c r="H86" i="1"/>
  <c r="E86" i="1"/>
  <c r="B86" i="1"/>
  <c r="AG85" i="1"/>
  <c r="AF85" i="1"/>
  <c r="AE85" i="1"/>
  <c r="AB85" i="1"/>
  <c r="AA85" i="1"/>
  <c r="AA88" i="1" s="1"/>
  <c r="Z85" i="1"/>
  <c r="Y85" i="1"/>
  <c r="X85" i="1"/>
  <c r="V85" i="1"/>
  <c r="T85" i="1"/>
  <c r="T88" i="1" s="1"/>
  <c r="R85" i="1"/>
  <c r="P85" i="1"/>
  <c r="L85" i="1"/>
  <c r="L88" i="1" s="1"/>
  <c r="J85" i="1"/>
  <c r="H85" i="1"/>
  <c r="G85" i="1"/>
  <c r="E85" i="1"/>
  <c r="AI85" i="1" s="1"/>
  <c r="B85" i="1"/>
  <c r="AG84" i="1"/>
  <c r="AF84" i="1"/>
  <c r="AE84" i="1"/>
  <c r="AB84" i="1"/>
  <c r="Z84" i="1"/>
  <c r="Z88" i="1" s="1"/>
  <c r="Y84" i="1"/>
  <c r="X84" i="1"/>
  <c r="R84" i="1"/>
  <c r="P84" i="1"/>
  <c r="M84" i="1"/>
  <c r="H84" i="1"/>
  <c r="H88" i="1" s="1"/>
  <c r="G84" i="1"/>
  <c r="E84" i="1"/>
  <c r="B84" i="1"/>
  <c r="AG83" i="1"/>
  <c r="AF83" i="1"/>
  <c r="AE83" i="1"/>
  <c r="AE88" i="1" s="1"/>
  <c r="AB83" i="1"/>
  <c r="Y83" i="1"/>
  <c r="Y88" i="1" s="1"/>
  <c r="X83" i="1"/>
  <c r="X88" i="1" s="1"/>
  <c r="V83" i="1"/>
  <c r="R83" i="1"/>
  <c r="R88" i="1" s="1"/>
  <c r="P83" i="1"/>
  <c r="P88" i="1" s="1"/>
  <c r="O83" i="1"/>
  <c r="O88" i="1" s="1"/>
  <c r="M83" i="1"/>
  <c r="H83" i="1"/>
  <c r="G83" i="1"/>
  <c r="E83" i="1"/>
  <c r="B83" i="1"/>
  <c r="AI82" i="1"/>
  <c r="AH81" i="1"/>
  <c r="AD81" i="1"/>
  <c r="AC81" i="1"/>
  <c r="W81" i="1"/>
  <c r="U81" i="1"/>
  <c r="T81" i="1"/>
  <c r="S81" i="1"/>
  <c r="Q81" i="1"/>
  <c r="O81" i="1"/>
  <c r="N81" i="1"/>
  <c r="K81" i="1"/>
  <c r="F81" i="1"/>
  <c r="C81" i="1"/>
  <c r="G80" i="1"/>
  <c r="B80" i="1"/>
  <c r="AI80" i="1" s="1"/>
  <c r="AG79" i="1"/>
  <c r="AF79" i="1"/>
  <c r="AE79" i="1"/>
  <c r="AB79" i="1"/>
  <c r="AA79" i="1"/>
  <c r="Z79" i="1"/>
  <c r="Y79" i="1"/>
  <c r="X79" i="1"/>
  <c r="V79" i="1"/>
  <c r="V81" i="1" s="1"/>
  <c r="R79" i="1"/>
  <c r="P79" i="1"/>
  <c r="M79" i="1"/>
  <c r="M81" i="1" s="1"/>
  <c r="L79" i="1"/>
  <c r="L81" i="1" s="1"/>
  <c r="J79" i="1"/>
  <c r="J81" i="1" s="1"/>
  <c r="I79" i="1"/>
  <c r="I81" i="1" s="1"/>
  <c r="H79" i="1"/>
  <c r="G79" i="1"/>
  <c r="E79" i="1"/>
  <c r="D79" i="1"/>
  <c r="D81" i="1" s="1"/>
  <c r="B79" i="1"/>
  <c r="AG78" i="1"/>
  <c r="AF78" i="1"/>
  <c r="AA78" i="1"/>
  <c r="AA81" i="1" s="1"/>
  <c r="P78" i="1"/>
  <c r="M78" i="1"/>
  <c r="H78" i="1"/>
  <c r="G78" i="1"/>
  <c r="E78" i="1"/>
  <c r="B78" i="1"/>
  <c r="AG77" i="1"/>
  <c r="AE77" i="1"/>
  <c r="AB77" i="1"/>
  <c r="Z77" i="1"/>
  <c r="Y77" i="1"/>
  <c r="X77" i="1"/>
  <c r="G77" i="1"/>
  <c r="E77" i="1"/>
  <c r="B77" i="1"/>
  <c r="AI76" i="1"/>
  <c r="AE76" i="1"/>
  <c r="AG75" i="1"/>
  <c r="AE75" i="1"/>
  <c r="AB75" i="1"/>
  <c r="Z75" i="1"/>
  <c r="Y75" i="1"/>
  <c r="X75" i="1"/>
  <c r="R75" i="1"/>
  <c r="P75" i="1"/>
  <c r="P81" i="1" s="1"/>
  <c r="H75" i="1"/>
  <c r="G75" i="1"/>
  <c r="E75" i="1"/>
  <c r="E81" i="1" s="1"/>
  <c r="B75" i="1"/>
  <c r="Y74" i="1"/>
  <c r="X74" i="1"/>
  <c r="R74" i="1"/>
  <c r="G74" i="1"/>
  <c r="B74" i="1"/>
  <c r="Y73" i="1"/>
  <c r="X73" i="1"/>
  <c r="G73" i="1"/>
  <c r="G81" i="1" s="1"/>
  <c r="B73" i="1"/>
  <c r="AI72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0" i="1"/>
  <c r="AI70" i="1" s="1"/>
  <c r="AI69" i="1"/>
  <c r="G69" i="1"/>
  <c r="B69" i="1"/>
  <c r="G68" i="1"/>
  <c r="B68" i="1"/>
  <c r="B71" i="1" s="1"/>
  <c r="AI67" i="1"/>
  <c r="AH66" i="1"/>
  <c r="AD66" i="1"/>
  <c r="AA66" i="1"/>
  <c r="Z66" i="1"/>
  <c r="W66" i="1"/>
  <c r="U66" i="1"/>
  <c r="T66" i="1"/>
  <c r="S66" i="1"/>
  <c r="Q66" i="1"/>
  <c r="O66" i="1"/>
  <c r="N66" i="1"/>
  <c r="M66" i="1"/>
  <c r="L66" i="1"/>
  <c r="K66" i="1"/>
  <c r="J66" i="1"/>
  <c r="I66" i="1"/>
  <c r="H66" i="1"/>
  <c r="F66" i="1"/>
  <c r="C66" i="1"/>
  <c r="AG65" i="1"/>
  <c r="AE65" i="1"/>
  <c r="AE66" i="1" s="1"/>
  <c r="AB65" i="1"/>
  <c r="X65" i="1"/>
  <c r="G65" i="1"/>
  <c r="B65" i="1"/>
  <c r="AI65" i="1" s="1"/>
  <c r="G64" i="1"/>
  <c r="AI64" i="1" s="1"/>
  <c r="AG63" i="1"/>
  <c r="AG66" i="1" s="1"/>
  <c r="AE63" i="1"/>
  <c r="AC63" i="1"/>
  <c r="AC66" i="1" s="1"/>
  <c r="AB63" i="1"/>
  <c r="Z63" i="1"/>
  <c r="Y63" i="1"/>
  <c r="X63" i="1"/>
  <c r="X66" i="1" s="1"/>
  <c r="V63" i="1"/>
  <c r="V66" i="1" s="1"/>
  <c r="R63" i="1"/>
  <c r="R66" i="1" s="1"/>
  <c r="P63" i="1"/>
  <c r="J63" i="1"/>
  <c r="G63" i="1"/>
  <c r="E63" i="1"/>
  <c r="D63" i="1"/>
  <c r="D66" i="1" s="1"/>
  <c r="B63" i="1"/>
  <c r="G62" i="1"/>
  <c r="B62" i="1"/>
  <c r="AI62" i="1" s="1"/>
  <c r="AB61" i="1"/>
  <c r="AB66" i="1" s="1"/>
  <c r="Y61" i="1"/>
  <c r="P61" i="1"/>
  <c r="P66" i="1" s="1"/>
  <c r="E61" i="1"/>
  <c r="AF60" i="1"/>
  <c r="AF66" i="1" s="1"/>
  <c r="G60" i="1"/>
  <c r="B60" i="1"/>
  <c r="AI60" i="1" s="1"/>
  <c r="G59" i="1"/>
  <c r="B59" i="1"/>
  <c r="AI58" i="1"/>
  <c r="G58" i="1"/>
  <c r="B58" i="1"/>
  <c r="G57" i="1"/>
  <c r="B57" i="1"/>
  <c r="AI57" i="1" s="1"/>
  <c r="AI56" i="1"/>
  <c r="AG55" i="1"/>
  <c r="AF55" i="1"/>
  <c r="AE55" i="1"/>
  <c r="AD55" i="1"/>
  <c r="AB55" i="1"/>
  <c r="AA55" i="1"/>
  <c r="V55" i="1"/>
  <c r="R55" i="1"/>
  <c r="P55" i="1"/>
  <c r="L55" i="1"/>
  <c r="I55" i="1"/>
  <c r="H55" i="1"/>
  <c r="G55" i="1"/>
  <c r="E55" i="1"/>
  <c r="B55" i="1"/>
  <c r="AH54" i="1"/>
  <c r="AF54" i="1"/>
  <c r="AD54" i="1"/>
  <c r="AC54" i="1"/>
  <c r="W54" i="1"/>
  <c r="U54" i="1"/>
  <c r="T54" i="1"/>
  <c r="Q54" i="1"/>
  <c r="M54" i="1"/>
  <c r="L54" i="1"/>
  <c r="K54" i="1"/>
  <c r="J54" i="1"/>
  <c r="F54" i="1"/>
  <c r="D54" i="1"/>
  <c r="C54" i="1"/>
  <c r="AG53" i="1"/>
  <c r="AE53" i="1"/>
  <c r="AB53" i="1"/>
  <c r="AB54" i="1" s="1"/>
  <c r="Z53" i="1"/>
  <c r="Y53" i="1"/>
  <c r="X53" i="1"/>
  <c r="R53" i="1"/>
  <c r="R54" i="1" s="1"/>
  <c r="N53" i="1"/>
  <c r="N54" i="1" s="1"/>
  <c r="J53" i="1"/>
  <c r="I53" i="1"/>
  <c r="I54" i="1" s="1"/>
  <c r="H53" i="1"/>
  <c r="H54" i="1" s="1"/>
  <c r="G53" i="1"/>
  <c r="E53" i="1"/>
  <c r="B53" i="1"/>
  <c r="G52" i="1"/>
  <c r="B52" i="1"/>
  <c r="AI52" i="1" s="1"/>
  <c r="B51" i="1"/>
  <c r="AI51" i="1" s="1"/>
  <c r="AG50" i="1"/>
  <c r="AG54" i="1" s="1"/>
  <c r="AE50" i="1"/>
  <c r="AE54" i="1" s="1"/>
  <c r="AA50" i="1"/>
  <c r="AA54" i="1" s="1"/>
  <c r="Z50" i="1"/>
  <c r="Z54" i="1" s="1"/>
  <c r="Y50" i="1"/>
  <c r="Y54" i="1" s="1"/>
  <c r="X50" i="1"/>
  <c r="V50" i="1"/>
  <c r="V54" i="1" s="1"/>
  <c r="S50" i="1"/>
  <c r="S54" i="1" s="1"/>
  <c r="R50" i="1"/>
  <c r="P50" i="1"/>
  <c r="P54" i="1" s="1"/>
  <c r="O50" i="1"/>
  <c r="O54" i="1" s="1"/>
  <c r="J50" i="1"/>
  <c r="G50" i="1"/>
  <c r="E50" i="1"/>
  <c r="B50" i="1"/>
  <c r="AI49" i="1"/>
  <c r="AH48" i="1"/>
  <c r="AF48" i="1"/>
  <c r="AA48" i="1"/>
  <c r="D48" i="1"/>
  <c r="C48" i="1"/>
  <c r="AG47" i="1"/>
  <c r="AE47" i="1"/>
  <c r="AD47" i="1"/>
  <c r="AC47" i="1"/>
  <c r="AB47" i="1"/>
  <c r="Z47" i="1"/>
  <c r="Y47" i="1"/>
  <c r="X47" i="1"/>
  <c r="W47" i="1"/>
  <c r="T47" i="1"/>
  <c r="R47" i="1"/>
  <c r="M47" i="1"/>
  <c r="L47" i="1"/>
  <c r="I47" i="1"/>
  <c r="H47" i="1"/>
  <c r="E47" i="1"/>
  <c r="AI47" i="1" s="1"/>
  <c r="AG46" i="1"/>
  <c r="AE46" i="1"/>
  <c r="AB46" i="1"/>
  <c r="Z46" i="1"/>
  <c r="T46" i="1"/>
  <c r="R46" i="1"/>
  <c r="P46" i="1"/>
  <c r="O46" i="1"/>
  <c r="N46" i="1"/>
  <c r="K46" i="1"/>
  <c r="J46" i="1"/>
  <c r="H46" i="1"/>
  <c r="G46" i="1"/>
  <c r="E46" i="1"/>
  <c r="AG45" i="1"/>
  <c r="AE45" i="1"/>
  <c r="AD45" i="1"/>
  <c r="AB45" i="1"/>
  <c r="Z45" i="1"/>
  <c r="Y45" i="1"/>
  <c r="U45" i="1"/>
  <c r="T45" i="1"/>
  <c r="S45" i="1"/>
  <c r="R45" i="1"/>
  <c r="P45" i="1"/>
  <c r="O45" i="1"/>
  <c r="N45" i="1"/>
  <c r="K45" i="1"/>
  <c r="J45" i="1"/>
  <c r="I45" i="1"/>
  <c r="H45" i="1"/>
  <c r="G45" i="1"/>
  <c r="F45" i="1"/>
  <c r="E45" i="1"/>
  <c r="B45" i="1"/>
  <c r="AH44" i="1"/>
  <c r="AG44" i="1"/>
  <c r="AE44" i="1"/>
  <c r="Y44" i="1"/>
  <c r="V44" i="1"/>
  <c r="S44" i="1"/>
  <c r="O44" i="1"/>
  <c r="G44" i="1"/>
  <c r="E44" i="1"/>
  <c r="B44" i="1"/>
  <c r="AG43" i="1"/>
  <c r="AE43" i="1"/>
  <c r="AD43" i="1"/>
  <c r="AC43" i="1"/>
  <c r="AB43" i="1"/>
  <c r="Z43" i="1"/>
  <c r="Y43" i="1"/>
  <c r="X43" i="1"/>
  <c r="W43" i="1"/>
  <c r="T43" i="1"/>
  <c r="R43" i="1"/>
  <c r="M43" i="1"/>
  <c r="L43" i="1"/>
  <c r="I43" i="1"/>
  <c r="H43" i="1"/>
  <c r="E43" i="1"/>
  <c r="AG42" i="1"/>
  <c r="AB42" i="1"/>
  <c r="Y42" i="1"/>
  <c r="X42" i="1"/>
  <c r="U42" i="1"/>
  <c r="S42" i="1"/>
  <c r="R42" i="1"/>
  <c r="O42" i="1"/>
  <c r="K42" i="1"/>
  <c r="G42" i="1"/>
  <c r="E42" i="1"/>
  <c r="B42" i="1"/>
  <c r="AG41" i="1"/>
  <c r="AE41" i="1"/>
  <c r="AD41" i="1"/>
  <c r="AC41" i="1"/>
  <c r="AB41" i="1"/>
  <c r="Z41" i="1"/>
  <c r="Y41" i="1"/>
  <c r="X41" i="1"/>
  <c r="W41" i="1"/>
  <c r="V41" i="1"/>
  <c r="U41" i="1"/>
  <c r="T41" i="1"/>
  <c r="R41" i="1"/>
  <c r="P41" i="1"/>
  <c r="O41" i="1"/>
  <c r="O48" i="1" s="1"/>
  <c r="N41" i="1"/>
  <c r="M41" i="1"/>
  <c r="L41" i="1"/>
  <c r="J41" i="1"/>
  <c r="I41" i="1"/>
  <c r="H41" i="1"/>
  <c r="G41" i="1"/>
  <c r="E41" i="1"/>
  <c r="B41" i="1"/>
  <c r="AG40" i="1"/>
  <c r="AE40" i="1"/>
  <c r="AD40" i="1"/>
  <c r="AC40" i="1"/>
  <c r="AB40" i="1"/>
  <c r="Z40" i="1"/>
  <c r="Y40" i="1"/>
  <c r="X40" i="1"/>
  <c r="W40" i="1"/>
  <c r="V40" i="1"/>
  <c r="V48" i="1" s="1"/>
  <c r="U40" i="1"/>
  <c r="T40" i="1"/>
  <c r="S40" i="1"/>
  <c r="R40" i="1"/>
  <c r="Q40" i="1"/>
  <c r="Q48" i="1" s="1"/>
  <c r="P40" i="1"/>
  <c r="O40" i="1"/>
  <c r="N40" i="1"/>
  <c r="M40" i="1"/>
  <c r="L40" i="1"/>
  <c r="K40" i="1"/>
  <c r="J40" i="1"/>
  <c r="J48" i="1" s="1"/>
  <c r="I40" i="1"/>
  <c r="H40" i="1"/>
  <c r="G40" i="1"/>
  <c r="F40" i="1"/>
  <c r="E40" i="1"/>
  <c r="B40" i="1"/>
  <c r="AG39" i="1"/>
  <c r="AB39" i="1"/>
  <c r="Y39" i="1"/>
  <c r="X39" i="1"/>
  <c r="U39" i="1"/>
  <c r="S39" i="1"/>
  <c r="R39" i="1"/>
  <c r="O39" i="1"/>
  <c r="K39" i="1"/>
  <c r="G39" i="1"/>
  <c r="F39" i="1"/>
  <c r="F48" i="1" s="1"/>
  <c r="E39" i="1"/>
  <c r="B39" i="1"/>
  <c r="B38" i="1"/>
  <c r="AI38" i="1" s="1"/>
  <c r="AG37" i="1"/>
  <c r="AE37" i="1"/>
  <c r="AD37" i="1"/>
  <c r="AC37" i="1"/>
  <c r="AC48" i="1" s="1"/>
  <c r="AB37" i="1"/>
  <c r="Z37" i="1"/>
  <c r="Z48" i="1" s="1"/>
  <c r="Y37" i="1"/>
  <c r="Y48" i="1" s="1"/>
  <c r="X37" i="1"/>
  <c r="W37" i="1"/>
  <c r="T37" i="1"/>
  <c r="T48" i="1" s="1"/>
  <c r="R37" i="1"/>
  <c r="M37" i="1"/>
  <c r="M48" i="1" s="1"/>
  <c r="L37" i="1"/>
  <c r="I37" i="1"/>
  <c r="H37" i="1"/>
  <c r="E37" i="1"/>
  <c r="AI36" i="1"/>
  <c r="AH35" i="1"/>
  <c r="AF35" i="1"/>
  <c r="AA35" i="1"/>
  <c r="S35" i="1"/>
  <c r="K35" i="1"/>
  <c r="J35" i="1"/>
  <c r="D35" i="1"/>
  <c r="C35" i="1"/>
  <c r="AG34" i="1"/>
  <c r="AB34" i="1"/>
  <c r="AB35" i="1" s="1"/>
  <c r="Y34" i="1"/>
  <c r="X34" i="1"/>
  <c r="U34" i="1"/>
  <c r="S34" i="1"/>
  <c r="R34" i="1"/>
  <c r="O34" i="1"/>
  <c r="K34" i="1"/>
  <c r="G34" i="1"/>
  <c r="F34" i="1"/>
  <c r="F35" i="1" s="1"/>
  <c r="E34" i="1"/>
  <c r="B34" i="1"/>
  <c r="AG33" i="1"/>
  <c r="AG35" i="1" s="1"/>
  <c r="AF33" i="1"/>
  <c r="AE33" i="1"/>
  <c r="AE35" i="1" s="1"/>
  <c r="AD33" i="1"/>
  <c r="AD35" i="1" s="1"/>
  <c r="AC33" i="1"/>
  <c r="AC35" i="1" s="1"/>
  <c r="AB33" i="1"/>
  <c r="Z33" i="1"/>
  <c r="Z35" i="1" s="1"/>
  <c r="Y33" i="1"/>
  <c r="Y35" i="1" s="1"/>
  <c r="X33" i="1"/>
  <c r="X35" i="1" s="1"/>
  <c r="W33" i="1"/>
  <c r="W35" i="1" s="1"/>
  <c r="V33" i="1"/>
  <c r="V35" i="1" s="1"/>
  <c r="U33" i="1"/>
  <c r="U35" i="1" s="1"/>
  <c r="T33" i="1"/>
  <c r="T35" i="1" s="1"/>
  <c r="R33" i="1"/>
  <c r="R35" i="1" s="1"/>
  <c r="Q33" i="1"/>
  <c r="Q35" i="1" s="1"/>
  <c r="P33" i="1"/>
  <c r="P35" i="1" s="1"/>
  <c r="O33" i="1"/>
  <c r="N33" i="1"/>
  <c r="N35" i="1" s="1"/>
  <c r="M33" i="1"/>
  <c r="M35" i="1" s="1"/>
  <c r="L33" i="1"/>
  <c r="L35" i="1" s="1"/>
  <c r="J33" i="1"/>
  <c r="I33" i="1"/>
  <c r="I35" i="1" s="1"/>
  <c r="H33" i="1"/>
  <c r="H35" i="1" s="1"/>
  <c r="G33" i="1"/>
  <c r="G35" i="1" s="1"/>
  <c r="E33" i="1"/>
  <c r="E35" i="1" s="1"/>
  <c r="B33" i="1"/>
  <c r="B35" i="1" s="1"/>
  <c r="AI32" i="1"/>
  <c r="Q29" i="1"/>
  <c r="Q30" i="1" s="1"/>
  <c r="AH28" i="1"/>
  <c r="AH29" i="1" s="1"/>
  <c r="AH30" i="1" s="1"/>
  <c r="AA28" i="1"/>
  <c r="W28" i="1"/>
  <c r="P28" i="1"/>
  <c r="O28" i="1"/>
  <c r="N28" i="1"/>
  <c r="M28" i="1"/>
  <c r="L28" i="1"/>
  <c r="K28" i="1"/>
  <c r="J28" i="1"/>
  <c r="G28" i="1"/>
  <c r="F28" i="1"/>
  <c r="D28" i="1"/>
  <c r="C28" i="1"/>
  <c r="B28" i="1"/>
  <c r="AG27" i="1"/>
  <c r="AG28" i="1" s="1"/>
  <c r="AF27" i="1"/>
  <c r="AF28" i="1" s="1"/>
  <c r="AE27" i="1"/>
  <c r="AE28" i="1" s="1"/>
  <c r="AD27" i="1"/>
  <c r="AD28" i="1" s="1"/>
  <c r="AC27" i="1"/>
  <c r="AC28" i="1" s="1"/>
  <c r="AC29" i="1" s="1"/>
  <c r="AC30" i="1" s="1"/>
  <c r="AB27" i="1"/>
  <c r="AB28" i="1" s="1"/>
  <c r="Z27" i="1"/>
  <c r="Z28" i="1" s="1"/>
  <c r="Y27" i="1"/>
  <c r="Y28" i="1" s="1"/>
  <c r="X27" i="1"/>
  <c r="X28" i="1" s="1"/>
  <c r="V27" i="1"/>
  <c r="V28" i="1" s="1"/>
  <c r="T27" i="1"/>
  <c r="T28" i="1" s="1"/>
  <c r="R27" i="1"/>
  <c r="R28" i="1" s="1"/>
  <c r="R29" i="1" s="1"/>
  <c r="R30" i="1" s="1"/>
  <c r="Q27" i="1"/>
  <c r="Q28" i="1" s="1"/>
  <c r="I27" i="1"/>
  <c r="I28" i="1" s="1"/>
  <c r="H27" i="1"/>
  <c r="H28" i="1" s="1"/>
  <c r="E27" i="1"/>
  <c r="U26" i="1"/>
  <c r="U28" i="1" s="1"/>
  <c r="S26" i="1"/>
  <c r="S28" i="1" s="1"/>
  <c r="O26" i="1"/>
  <c r="AI25" i="1"/>
  <c r="B24" i="1"/>
  <c r="AI24" i="1" s="1"/>
  <c r="B23" i="1"/>
  <c r="AI23" i="1" s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M22" i="1"/>
  <c r="L22" i="1"/>
  <c r="K22" i="1"/>
  <c r="I22" i="1"/>
  <c r="H22" i="1"/>
  <c r="G22" i="1"/>
  <c r="F22" i="1"/>
  <c r="E22" i="1"/>
  <c r="D22" i="1"/>
  <c r="C22" i="1"/>
  <c r="B22" i="1"/>
  <c r="G21" i="1"/>
  <c r="AI21" i="1" s="1"/>
  <c r="N20" i="1"/>
  <c r="J20" i="1"/>
  <c r="J22" i="1" s="1"/>
  <c r="G20" i="1"/>
  <c r="AH19" i="1"/>
  <c r="AG19" i="1"/>
  <c r="AF19" i="1"/>
  <c r="AE19" i="1"/>
  <c r="AD19" i="1"/>
  <c r="AD29" i="1" s="1"/>
  <c r="AD30" i="1" s="1"/>
  <c r="AC19" i="1"/>
  <c r="AB19" i="1"/>
  <c r="Y19" i="1"/>
  <c r="X19" i="1"/>
  <c r="W19" i="1"/>
  <c r="V19" i="1"/>
  <c r="U19" i="1"/>
  <c r="T19" i="1"/>
  <c r="S19" i="1"/>
  <c r="R19" i="1"/>
  <c r="Q19" i="1"/>
  <c r="O19" i="1"/>
  <c r="N19" i="1"/>
  <c r="J19" i="1"/>
  <c r="I19" i="1"/>
  <c r="I29" i="1" s="1"/>
  <c r="I30" i="1" s="1"/>
  <c r="F19" i="1"/>
  <c r="F29" i="1" s="1"/>
  <c r="F30" i="1" s="1"/>
  <c r="E19" i="1"/>
  <c r="D19" i="1"/>
  <c r="C19" i="1"/>
  <c r="G18" i="1"/>
  <c r="AI18" i="1" s="1"/>
  <c r="G17" i="1"/>
  <c r="C17" i="1"/>
  <c r="B17" i="1"/>
  <c r="B16" i="1"/>
  <c r="AI16" i="1" s="1"/>
  <c r="B15" i="1"/>
  <c r="AI15" i="1" s="1"/>
  <c r="B14" i="1"/>
  <c r="AI14" i="1" s="1"/>
  <c r="M13" i="1"/>
  <c r="L13" i="1"/>
  <c r="H13" i="1"/>
  <c r="H19" i="1" s="1"/>
  <c r="H29" i="1" s="1"/>
  <c r="H30" i="1" s="1"/>
  <c r="G13" i="1"/>
  <c r="B13" i="1"/>
  <c r="AA12" i="1"/>
  <c r="Z12" i="1"/>
  <c r="Z19" i="1" s="1"/>
  <c r="M12" i="1"/>
  <c r="G12" i="1"/>
  <c r="AI12" i="1" s="1"/>
  <c r="AA11" i="1"/>
  <c r="P11" i="1"/>
  <c r="K11" i="1"/>
  <c r="K19" i="1" s="1"/>
  <c r="F11" i="1"/>
  <c r="B11" i="1"/>
  <c r="P10" i="1"/>
  <c r="M10" i="1"/>
  <c r="M19" i="1" s="1"/>
  <c r="M29" i="1" s="1"/>
  <c r="M30" i="1" s="1"/>
  <c r="L10" i="1"/>
  <c r="B9" i="1"/>
  <c r="AI9" i="1" s="1"/>
  <c r="L8" i="1"/>
  <c r="B8" i="1"/>
  <c r="AI8" i="1" s="1"/>
  <c r="AI7" i="1"/>
  <c r="U29" i="1" l="1"/>
  <c r="U30" i="1" s="1"/>
  <c r="W48" i="1"/>
  <c r="W94" i="1" s="1"/>
  <c r="W95" i="1" s="1"/>
  <c r="W96" i="1" s="1"/>
  <c r="AD48" i="1"/>
  <c r="AD94" i="1" s="1"/>
  <c r="AD95" i="1" s="1"/>
  <c r="AD96" i="1" s="1"/>
  <c r="Y66" i="1"/>
  <c r="AI71" i="1"/>
  <c r="AI74" i="1"/>
  <c r="AI79" i="1"/>
  <c r="AB93" i="1"/>
  <c r="L19" i="1"/>
  <c r="L29" i="1" s="1"/>
  <c r="L30" i="1" s="1"/>
  <c r="D29" i="1"/>
  <c r="D30" i="1" s="1"/>
  <c r="D95" i="1" s="1"/>
  <c r="D96" i="1" s="1"/>
  <c r="O35" i="1"/>
  <c r="O94" i="1" s="1"/>
  <c r="AC94" i="1"/>
  <c r="AE48" i="1"/>
  <c r="G48" i="1"/>
  <c r="AI42" i="1"/>
  <c r="AI44" i="1"/>
  <c r="AI50" i="1"/>
  <c r="AI55" i="1"/>
  <c r="AF81" i="1"/>
  <c r="AG93" i="1"/>
  <c r="M94" i="1"/>
  <c r="AI11" i="1"/>
  <c r="AI17" i="1"/>
  <c r="O29" i="1"/>
  <c r="O30" i="1" s="1"/>
  <c r="X29" i="1"/>
  <c r="X30" i="1" s="1"/>
  <c r="F94" i="1"/>
  <c r="C94" i="1"/>
  <c r="L48" i="1"/>
  <c r="L94" i="1" s="1"/>
  <c r="K48" i="1"/>
  <c r="AG48" i="1"/>
  <c r="E54" i="1"/>
  <c r="AF94" i="1"/>
  <c r="G66" i="1"/>
  <c r="AI68" i="1"/>
  <c r="AI84" i="1"/>
  <c r="G93" i="1"/>
  <c r="AI10" i="1"/>
  <c r="F95" i="1"/>
  <c r="F96" i="1" s="1"/>
  <c r="V29" i="1"/>
  <c r="V30" i="1" s="1"/>
  <c r="AF29" i="1"/>
  <c r="AF30" i="1" s="1"/>
  <c r="AI40" i="1"/>
  <c r="AI41" i="1"/>
  <c r="S48" i="1"/>
  <c r="B48" i="1"/>
  <c r="M95" i="1"/>
  <c r="M96" i="1" s="1"/>
  <c r="AH95" i="1"/>
  <c r="AH96" i="1" s="1"/>
  <c r="AC95" i="1"/>
  <c r="AC96" i="1" s="1"/>
  <c r="K29" i="1"/>
  <c r="K30" i="1" s="1"/>
  <c r="AA19" i="1"/>
  <c r="AA29" i="1" s="1"/>
  <c r="AA30" i="1" s="1"/>
  <c r="P19" i="1"/>
  <c r="P29" i="1" s="1"/>
  <c r="P30" i="1" s="1"/>
  <c r="Y29" i="1"/>
  <c r="Y30" i="1" s="1"/>
  <c r="D94" i="1"/>
  <c r="AH94" i="1"/>
  <c r="N48" i="1"/>
  <c r="N94" i="1" s="1"/>
  <c r="AI43" i="1"/>
  <c r="G54" i="1"/>
  <c r="AI63" i="1"/>
  <c r="Z81" i="1"/>
  <c r="Z94" i="1" s="1"/>
  <c r="M88" i="1"/>
  <c r="AG88" i="1"/>
  <c r="W29" i="1"/>
  <c r="W30" i="1" s="1"/>
  <c r="AE29" i="1"/>
  <c r="AE30" i="1" s="1"/>
  <c r="AI20" i="1"/>
  <c r="AG29" i="1"/>
  <c r="AG30" i="1" s="1"/>
  <c r="R48" i="1"/>
  <c r="R94" i="1" s="1"/>
  <c r="R95" i="1" s="1"/>
  <c r="R96" i="1" s="1"/>
  <c r="AB48" i="1"/>
  <c r="AB94" i="1" s="1"/>
  <c r="I48" i="1"/>
  <c r="I94" i="1" s="1"/>
  <c r="I95" i="1" s="1"/>
  <c r="I96" i="1" s="1"/>
  <c r="AI45" i="1"/>
  <c r="X54" i="1"/>
  <c r="B54" i="1"/>
  <c r="AI59" i="1"/>
  <c r="B81" i="1"/>
  <c r="R81" i="1"/>
  <c r="H81" i="1"/>
  <c r="AB81" i="1"/>
  <c r="AE81" i="1"/>
  <c r="AB88" i="1"/>
  <c r="O95" i="1"/>
  <c r="O96" i="1" s="1"/>
  <c r="AI93" i="1"/>
  <c r="N29" i="1"/>
  <c r="N30" i="1" s="1"/>
  <c r="Q94" i="1"/>
  <c r="AI26" i="1"/>
  <c r="B66" i="1"/>
  <c r="AI77" i="1"/>
  <c r="G19" i="1"/>
  <c r="G29" i="1" s="1"/>
  <c r="G30" i="1" s="1"/>
  <c r="AI27" i="1"/>
  <c r="AI33" i="1"/>
  <c r="T94" i="1"/>
  <c r="AI78" i="1"/>
  <c r="AI35" i="1"/>
  <c r="B19" i="1"/>
  <c r="Z29" i="1"/>
  <c r="Z30" i="1" s="1"/>
  <c r="AI34" i="1"/>
  <c r="E48" i="1"/>
  <c r="E94" i="1" s="1"/>
  <c r="X48" i="1"/>
  <c r="X94" i="1" s="1"/>
  <c r="X95" i="1" s="1"/>
  <c r="X96" i="1" s="1"/>
  <c r="AI46" i="1"/>
  <c r="AI53" i="1"/>
  <c r="E66" i="1"/>
  <c r="AI61" i="1"/>
  <c r="X81" i="1"/>
  <c r="AI75" i="1"/>
  <c r="AI83" i="1"/>
  <c r="B88" i="1"/>
  <c r="V88" i="1"/>
  <c r="V94" i="1" s="1"/>
  <c r="AI86" i="1"/>
  <c r="AI90" i="1"/>
  <c r="Q95" i="1"/>
  <c r="Q96" i="1" s="1"/>
  <c r="S29" i="1"/>
  <c r="S30" i="1" s="1"/>
  <c r="AB29" i="1"/>
  <c r="AB30" i="1" s="1"/>
  <c r="N22" i="1"/>
  <c r="AI22" i="1" s="1"/>
  <c r="H48" i="1"/>
  <c r="AI39" i="1"/>
  <c r="U48" i="1"/>
  <c r="U94" i="1" s="1"/>
  <c r="U95" i="1" s="1"/>
  <c r="U96" i="1" s="1"/>
  <c r="Y81" i="1"/>
  <c r="E88" i="1"/>
  <c r="C29" i="1"/>
  <c r="C30" i="1" s="1"/>
  <c r="T29" i="1"/>
  <c r="T30" i="1" s="1"/>
  <c r="J29" i="1"/>
  <c r="J30" i="1" s="1"/>
  <c r="J94" i="1"/>
  <c r="AA94" i="1"/>
  <c r="P48" i="1"/>
  <c r="P94" i="1" s="1"/>
  <c r="G88" i="1"/>
  <c r="AI92" i="1"/>
  <c r="S94" i="1"/>
  <c r="AI13" i="1"/>
  <c r="K94" i="1"/>
  <c r="K95" i="1" s="1"/>
  <c r="K96" i="1" s="1"/>
  <c r="AE94" i="1"/>
  <c r="AG81" i="1"/>
  <c r="AG94" i="1" s="1"/>
  <c r="AG95" i="1" s="1"/>
  <c r="AG96" i="1" s="1"/>
  <c r="E28" i="1"/>
  <c r="AI37" i="1"/>
  <c r="AI73" i="1"/>
  <c r="AI91" i="1"/>
  <c r="L95" i="1" l="1"/>
  <c r="L96" i="1" s="1"/>
  <c r="AE95" i="1"/>
  <c r="AE96" i="1" s="1"/>
  <c r="H94" i="1"/>
  <c r="H95" i="1" s="1"/>
  <c r="H96" i="1" s="1"/>
  <c r="P95" i="1"/>
  <c r="P96" i="1" s="1"/>
  <c r="C95" i="1"/>
  <c r="C96" i="1" s="1"/>
  <c r="S95" i="1"/>
  <c r="S96" i="1" s="1"/>
  <c r="AI66" i="1"/>
  <c r="AA95" i="1"/>
  <c r="AA96" i="1" s="1"/>
  <c r="V95" i="1"/>
  <c r="V96" i="1" s="1"/>
  <c r="AI54" i="1"/>
  <c r="N95" i="1"/>
  <c r="N96" i="1" s="1"/>
  <c r="G94" i="1"/>
  <c r="G95" i="1" s="1"/>
  <c r="G96" i="1" s="1"/>
  <c r="AI81" i="1"/>
  <c r="Y94" i="1"/>
  <c r="Y95" i="1" s="1"/>
  <c r="Y96" i="1" s="1"/>
  <c r="AB95" i="1"/>
  <c r="AB96" i="1" s="1"/>
  <c r="AF95" i="1"/>
  <c r="AF96" i="1" s="1"/>
  <c r="AI48" i="1"/>
  <c r="Z95" i="1"/>
  <c r="Z96" i="1" s="1"/>
  <c r="B29" i="1"/>
  <c r="AI19" i="1"/>
  <c r="B94" i="1"/>
  <c r="E29" i="1"/>
  <c r="E30" i="1" s="1"/>
  <c r="E95" i="1" s="1"/>
  <c r="E96" i="1" s="1"/>
  <c r="AI28" i="1"/>
  <c r="J95" i="1"/>
  <c r="J96" i="1" s="1"/>
  <c r="T95" i="1"/>
  <c r="T96" i="1" s="1"/>
  <c r="AI88" i="1"/>
  <c r="AI94" i="1" l="1"/>
  <c r="B30" i="1"/>
  <c r="AI29" i="1"/>
  <c r="B95" i="1" l="1"/>
  <c r="AI30" i="1"/>
  <c r="B96" i="1" l="1"/>
  <c r="AI96" i="1" s="1"/>
  <c r="AI95" i="1"/>
</calcChain>
</file>

<file path=xl/sharedStrings.xml><?xml version="1.0" encoding="utf-8"?>
<sst xmlns="http://schemas.openxmlformats.org/spreadsheetml/2006/main" count="128" uniqueCount="128">
  <si>
    <t>0010 - Operations</t>
  </si>
  <si>
    <t>0025 - Staff Account</t>
  </si>
  <si>
    <t>0060 - WHS Crusade for Children</t>
  </si>
  <si>
    <t>0065 - CRRSA</t>
  </si>
  <si>
    <t>0110 - NKYEC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</si>
  <si>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</si>
  <si>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</si>
  <si>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</si>
  <si>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</si>
  <si>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</si>
  <si>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</si>
  <si>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</si>
  <si>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</si>
  <si>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</si>
  <si>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2200 - Mandarin Program</t>
  </si>
  <si>
    <t>2310 - KDE Intern</t>
  </si>
  <si>
    <t>2800 - Arts in Education</t>
  </si>
  <si>
    <t>2910 - DAIL</t>
  </si>
  <si>
    <t>3010 - FRYSC - Fed</t>
  </si>
  <si>
    <t>3220 - PERS Effectiveness Coach</t>
  </si>
  <si>
    <t>3299 - ARP</t>
  </si>
  <si>
    <t>336I - IDEA-B 21-22</t>
  </si>
  <si>
    <t>336J - IDEA B 22-23</t>
  </si>
  <si>
    <t>336K - IDEA B 23-24</t>
  </si>
  <si>
    <t>3416- SPF</t>
  </si>
  <si>
    <t>3420 - Interact for Health</t>
  </si>
  <si>
    <t>3425 - Deeper Learning</t>
  </si>
  <si>
    <t>345J - Title III  EL 22-23</t>
  </si>
  <si>
    <t>345K - Title III EL 23-24</t>
  </si>
  <si>
    <t>3800 - Trauma Informed</t>
  </si>
  <si>
    <t>3900 - New Teacher</t>
  </si>
  <si>
    <t>3925 - Mental Health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</si>
  <si>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</si>
  <si>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</si>
  <si>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</si>
  <si>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</si>
  <si>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</si>
  <si>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</si>
  <si>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</si>
  <si>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</si>
  <si>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</si>
  <si>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</si>
  <si>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</si>
  <si>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</si>
  <si>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</si>
  <si>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</si>
  <si>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</si>
  <si>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</si>
  <si>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</si>
  <si>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</si>
  <si>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</si>
  <si>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</si>
  <si>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</si>
  <si>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</si>
  <si>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</si>
  <si>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</si>
  <si>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</si>
  <si>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</si>
  <si>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</si>
  <si>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</si>
  <si>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</si>
  <si>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</si>
  <si>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</si>
  <si>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</si>
  <si>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</si>
  <si>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</si>
  <si>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</si>
  <si>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</si>
  <si>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</si>
  <si>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</si>
  <si>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</si>
  <si>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</si>
  <si>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</si>
  <si>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</si>
  <si>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</si>
  <si>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</si>
  <si>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</si>
  <si>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</si>
  <si>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</si>
  <si>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</si>
  <si>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</si>
  <si>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</si>
  <si>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</si>
  <si>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</si>
  <si>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</si>
  <si>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</si>
  <si>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</si>
  <si>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</si>
  <si>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</si>
  <si>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</si>
  <si>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</si>
  <si>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</si>
  <si>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</si>
  <si>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</si>
  <si>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</si>
  <si>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</si>
  <si>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</si>
  <si>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</si>
  <si>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</si>
  <si>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</si>
  <si>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</si>
  <si>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</si>
  <si>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</si>
  <si>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</si>
  <si>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40540 ADVERTISING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</si>
  <si>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</si>
  <si>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</si>
  <si>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</si>
  <si>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</si>
  <si>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</si>
  <si>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</si>
  <si>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</si>
  <si>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</si>
  <si>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</si>
  <si>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</si>
  <si>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</si>
  <si>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</si>
  <si>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</si>
  <si>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</si>
  <si>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</si>
  <si>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</si>
  <si>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</si>
  <si>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</si>
  <si>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</si>
  <si>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</si>
  <si>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</si>
  <si>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</si>
  <si>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2023 -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</si>
</sst>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"/>
  <sheetViews>
    <sheetView tabSelected="1" workbookViewId="0">
      <selection activeCell="AH5" sqref="AH5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0.28515625" customWidth="1"/>
    <col min="5" max="5" width="12" customWidth="1"/>
    <col min="6" max="6" width="10.28515625" customWidth="1"/>
    <col min="7" max="7" width="12" customWidth="1"/>
    <col min="8" max="9" width="11.140625" customWidth="1"/>
    <col min="10" max="10" width="10.28515625" customWidth="1"/>
    <col min="11" max="11" width="11.140625" customWidth="1"/>
    <col min="12" max="12" width="10.28515625" customWidth="1"/>
    <col min="13" max="13" width="11.140625" customWidth="1"/>
    <col min="14" max="14" width="9.42578125" customWidth="1"/>
    <col min="15" max="16" width="10.28515625" customWidth="1"/>
    <col min="17" max="17" width="8.5703125" customWidth="1"/>
    <col min="18" max="19" width="12" customWidth="1"/>
    <col min="20" max="20" width="10.28515625" customWidth="1"/>
    <col min="21" max="22" width="11.140625" customWidth="1"/>
    <col min="23" max="23" width="7.7109375" customWidth="1"/>
    <col min="24" max="24" width="10.28515625" customWidth="1"/>
    <col min="25" max="26" width="11.140625" customWidth="1"/>
    <col min="27" max="27" width="9.42578125" customWidth="1"/>
    <col min="28" max="28" width="12" customWidth="1"/>
    <col min="29" max="29" width="8.5703125" customWidth="1"/>
    <col min="30" max="30" width="10.28515625" customWidth="1"/>
    <col min="31" max="31" width="11.140625" customWidth="1"/>
    <col min="32" max="32" width="10.28515625" customWidth="1"/>
    <col min="33" max="33" width="11.140625" customWidth="1"/>
    <col min="34" max="34" width="7.7109375" hidden="1" customWidth="1"/>
    <col min="35" max="35" width="12.85546875" customWidth="1"/>
  </cols>
  <sheetData>
    <row r="1" spans="1:35" ht="18" x14ac:dyDescent="0.25">
      <c r="A1" s="10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18" x14ac:dyDescent="0.25">
      <c r="A2" s="10" t="s">
        <v>126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x14ac:dyDescent="0.25">
      <c r="A3" s="11" t="s">
        <v>127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5" spans="1:35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</row>
    <row r="6" spans="1:35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3" t="s">
        <v>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ref="AI7:AI30" si="0">((((((((((((((((((((((((((((((((B7)+(C7))+(D7))+(E7))+(F7))+(G7))+(H7))+(I7))+(J7))+(K7))+(L7))+(M7))+(N7))+(O7))+(P7))+(Q7))+(R7))+(S7))+(T7))+(U7))+(V7))+(W7))+(X7))+(Y7))+(Z7))+(AA7))+(AB7))+(AC7))+(AD7))+(AE7))+(AF7))+(AG7))+(AH7)</f>
        <v>0</v>
      </c>
    </row>
    <row r="8" spans="1:35" x14ac:dyDescent="0.25">
      <c r="A8" s="3" t="s">
        <v>36</v>
      </c>
      <c r="B8" s="5">
        <f>272122.23</f>
        <v>272122.23</v>
      </c>
      <c r="C8" s="4"/>
      <c r="D8" s="4"/>
      <c r="E8" s="4"/>
      <c r="F8" s="4"/>
      <c r="G8" s="4"/>
      <c r="H8" s="4"/>
      <c r="I8" s="4"/>
      <c r="J8" s="4"/>
      <c r="K8" s="4"/>
      <c r="L8" s="5">
        <f>400</f>
        <v>400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272522.23</v>
      </c>
    </row>
    <row r="9" spans="1:35" x14ac:dyDescent="0.25">
      <c r="A9" s="3" t="s">
        <v>37</v>
      </c>
      <c r="B9" s="5">
        <f>93344.95</f>
        <v>93344.95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93344.95</v>
      </c>
    </row>
    <row r="10" spans="1:35" x14ac:dyDescent="0.25">
      <c r="A10" s="3" t="s">
        <v>38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5">
        <f>340691.67</f>
        <v>340691.67</v>
      </c>
      <c r="M10" s="5">
        <f>11400</f>
        <v>11400</v>
      </c>
      <c r="N10" s="4"/>
      <c r="O10" s="4"/>
      <c r="P10" s="5">
        <f>80000</f>
        <v>80000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432091.67</v>
      </c>
    </row>
    <row r="11" spans="1:35" x14ac:dyDescent="0.25">
      <c r="A11" s="3" t="s">
        <v>39</v>
      </c>
      <c r="B11" s="5">
        <f>50000</f>
        <v>50000</v>
      </c>
      <c r="C11" s="4"/>
      <c r="D11" s="4"/>
      <c r="E11" s="4"/>
      <c r="F11" s="5">
        <f>25865.75</f>
        <v>25865.75</v>
      </c>
      <c r="G11" s="4"/>
      <c r="H11" s="4"/>
      <c r="I11" s="4"/>
      <c r="J11" s="4"/>
      <c r="K11" s="5">
        <f>64019.36</f>
        <v>64019.360000000001</v>
      </c>
      <c r="L11" s="4"/>
      <c r="M11" s="4"/>
      <c r="N11" s="4"/>
      <c r="O11" s="4"/>
      <c r="P11" s="5">
        <f>99903.3</f>
        <v>99903.3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5">
        <f>45065</f>
        <v>45065</v>
      </c>
      <c r="AB11" s="4"/>
      <c r="AC11" s="4"/>
      <c r="AD11" s="4"/>
      <c r="AE11" s="4"/>
      <c r="AF11" s="4"/>
      <c r="AG11" s="4"/>
      <c r="AH11" s="4"/>
      <c r="AI11" s="5">
        <f t="shared" si="0"/>
        <v>284853.40999999997</v>
      </c>
    </row>
    <row r="12" spans="1:35" x14ac:dyDescent="0.25">
      <c r="A12" s="3" t="s">
        <v>40</v>
      </c>
      <c r="B12" s="4"/>
      <c r="C12" s="4"/>
      <c r="D12" s="4"/>
      <c r="E12" s="4"/>
      <c r="F12" s="4"/>
      <c r="G12" s="5">
        <f>10025</f>
        <v>10025</v>
      </c>
      <c r="H12" s="4"/>
      <c r="I12" s="4"/>
      <c r="J12" s="4"/>
      <c r="K12" s="4"/>
      <c r="L12" s="4"/>
      <c r="M12" s="5">
        <f>970</f>
        <v>970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>
        <f>-1000</f>
        <v>-1000</v>
      </c>
      <c r="AA12" s="5">
        <f>5000</f>
        <v>5000</v>
      </c>
      <c r="AB12" s="4"/>
      <c r="AC12" s="4"/>
      <c r="AD12" s="4"/>
      <c r="AE12" s="4"/>
      <c r="AF12" s="4"/>
      <c r="AG12" s="4"/>
      <c r="AH12" s="4"/>
      <c r="AI12" s="5">
        <f t="shared" si="0"/>
        <v>14995</v>
      </c>
    </row>
    <row r="13" spans="1:35" x14ac:dyDescent="0.25">
      <c r="A13" s="3" t="s">
        <v>41</v>
      </c>
      <c r="B13" s="5">
        <f>1369.71</f>
        <v>1369.71</v>
      </c>
      <c r="C13" s="4"/>
      <c r="D13" s="4"/>
      <c r="E13" s="4"/>
      <c r="F13" s="4"/>
      <c r="G13" s="5">
        <f>314.98</f>
        <v>314.98</v>
      </c>
      <c r="H13" s="5">
        <f>-97.68</f>
        <v>-97.68</v>
      </c>
      <c r="I13" s="4"/>
      <c r="J13" s="4"/>
      <c r="K13" s="4"/>
      <c r="L13" s="5">
        <f>1952.15</f>
        <v>1952.15</v>
      </c>
      <c r="M13" s="5">
        <f>787.5</f>
        <v>787.5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4326.66</v>
      </c>
    </row>
    <row r="14" spans="1:35" x14ac:dyDescent="0.25">
      <c r="A14" s="3" t="s">
        <v>42</v>
      </c>
      <c r="B14" s="5">
        <f>109701.36</f>
        <v>109701.36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109701.36</v>
      </c>
    </row>
    <row r="15" spans="1:35" x14ac:dyDescent="0.25">
      <c r="A15" s="3" t="s">
        <v>43</v>
      </c>
      <c r="B15" s="5">
        <f>900710.64</f>
        <v>900710.64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900710.64</v>
      </c>
    </row>
    <row r="16" spans="1:35" x14ac:dyDescent="0.25">
      <c r="A16" s="3" t="s">
        <v>44</v>
      </c>
      <c r="B16" s="5">
        <f>61700</f>
        <v>61700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61700</v>
      </c>
    </row>
    <row r="17" spans="1:35" x14ac:dyDescent="0.25">
      <c r="A17" s="3" t="s">
        <v>45</v>
      </c>
      <c r="B17" s="5">
        <f>135</f>
        <v>135</v>
      </c>
      <c r="C17" s="5">
        <f>275</f>
        <v>275</v>
      </c>
      <c r="D17" s="4"/>
      <c r="E17" s="4"/>
      <c r="F17" s="4"/>
      <c r="G17" s="5">
        <f>0</f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410</v>
      </c>
    </row>
    <row r="18" spans="1:35" x14ac:dyDescent="0.25">
      <c r="A18" s="3" t="s">
        <v>46</v>
      </c>
      <c r="B18" s="4"/>
      <c r="C18" s="4"/>
      <c r="D18" s="4"/>
      <c r="E18" s="4"/>
      <c r="F18" s="4"/>
      <c r="G18" s="5">
        <f>93240</f>
        <v>93240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93240</v>
      </c>
    </row>
    <row r="19" spans="1:35" x14ac:dyDescent="0.25">
      <c r="A19" s="3" t="s">
        <v>47</v>
      </c>
      <c r="B19" s="6">
        <f t="shared" ref="B19:AH19" si="1">(((((((((((B7)+(B8))+(B9))+(B10))+(B11))+(B12))+(B13))+(B14))+(B15))+(B16))+(B17))+(B18)</f>
        <v>1489083.8900000001</v>
      </c>
      <c r="C19" s="6">
        <f t="shared" si="1"/>
        <v>275</v>
      </c>
      <c r="D19" s="6">
        <f t="shared" si="1"/>
        <v>0</v>
      </c>
      <c r="E19" s="6">
        <f t="shared" si="1"/>
        <v>0</v>
      </c>
      <c r="F19" s="6">
        <f t="shared" si="1"/>
        <v>25865.75</v>
      </c>
      <c r="G19" s="6">
        <f t="shared" si="1"/>
        <v>103579.98</v>
      </c>
      <c r="H19" s="6">
        <f t="shared" si="1"/>
        <v>-97.68</v>
      </c>
      <c r="I19" s="6">
        <f t="shared" si="1"/>
        <v>0</v>
      </c>
      <c r="J19" s="6">
        <f t="shared" si="1"/>
        <v>0</v>
      </c>
      <c r="K19" s="6">
        <f t="shared" si="1"/>
        <v>64019.360000000001</v>
      </c>
      <c r="L19" s="6">
        <f t="shared" si="1"/>
        <v>343043.82</v>
      </c>
      <c r="M19" s="6">
        <f t="shared" si="1"/>
        <v>13157.5</v>
      </c>
      <c r="N19" s="6">
        <f t="shared" si="1"/>
        <v>0</v>
      </c>
      <c r="O19" s="6">
        <f t="shared" si="1"/>
        <v>0</v>
      </c>
      <c r="P19" s="6">
        <f t="shared" si="1"/>
        <v>179903.3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-1000</v>
      </c>
      <c r="AA19" s="6">
        <f t="shared" si="1"/>
        <v>50065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1"/>
        <v>0</v>
      </c>
      <c r="AH19" s="6">
        <f t="shared" si="1"/>
        <v>0</v>
      </c>
      <c r="AI19" s="6">
        <f t="shared" si="0"/>
        <v>2267895.9200000004</v>
      </c>
    </row>
    <row r="20" spans="1:35" x14ac:dyDescent="0.25">
      <c r="A20" s="3" t="s">
        <v>48</v>
      </c>
      <c r="B20" s="4"/>
      <c r="C20" s="4"/>
      <c r="D20" s="4"/>
      <c r="E20" s="4"/>
      <c r="F20" s="4"/>
      <c r="G20" s="5">
        <f>2048584.65</f>
        <v>2048584.65</v>
      </c>
      <c r="H20" s="4"/>
      <c r="I20" s="4"/>
      <c r="J20" s="5">
        <f>104557.6</f>
        <v>104557.6</v>
      </c>
      <c r="K20" s="4"/>
      <c r="L20" s="4"/>
      <c r="M20" s="4"/>
      <c r="N20" s="5">
        <f>64256.54</f>
        <v>64256.54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  <c r="AI20" s="5">
        <f t="shared" si="0"/>
        <v>2217398.79</v>
      </c>
    </row>
    <row r="21" spans="1:35" x14ac:dyDescent="0.25">
      <c r="A21" s="3" t="s">
        <v>49</v>
      </c>
      <c r="B21" s="4"/>
      <c r="C21" s="4"/>
      <c r="D21" s="4"/>
      <c r="E21" s="4"/>
      <c r="F21" s="4"/>
      <c r="G21" s="5">
        <f>35104.35</f>
        <v>35104.35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35104.35</v>
      </c>
    </row>
    <row r="22" spans="1:35" x14ac:dyDescent="0.25">
      <c r="A22" s="3" t="s">
        <v>50</v>
      </c>
      <c r="B22" s="6">
        <f t="shared" ref="B22:AH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0</v>
      </c>
      <c r="G22" s="6">
        <f t="shared" si="2"/>
        <v>2083689</v>
      </c>
      <c r="H22" s="6">
        <f t="shared" si="2"/>
        <v>0</v>
      </c>
      <c r="I22" s="6">
        <f t="shared" si="2"/>
        <v>0</v>
      </c>
      <c r="J22" s="6">
        <f t="shared" si="2"/>
        <v>104557.6</v>
      </c>
      <c r="K22" s="6">
        <f t="shared" si="2"/>
        <v>0</v>
      </c>
      <c r="L22" s="6">
        <f t="shared" si="2"/>
        <v>0</v>
      </c>
      <c r="M22" s="6">
        <f t="shared" si="2"/>
        <v>0</v>
      </c>
      <c r="N22" s="6">
        <f t="shared" si="2"/>
        <v>64256.54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2"/>
        <v>0</v>
      </c>
      <c r="AI22" s="6">
        <f t="shared" si="0"/>
        <v>2252503.14</v>
      </c>
    </row>
    <row r="23" spans="1:35" x14ac:dyDescent="0.25">
      <c r="A23" s="3" t="s">
        <v>51</v>
      </c>
      <c r="B23" s="5">
        <f>58653</f>
        <v>58653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58653</v>
      </c>
    </row>
    <row r="24" spans="1:35" x14ac:dyDescent="0.25">
      <c r="A24" s="3" t="s">
        <v>52</v>
      </c>
      <c r="B24" s="5">
        <f>46008.62</f>
        <v>46008.62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46008.62</v>
      </c>
    </row>
    <row r="25" spans="1:35" x14ac:dyDescent="0.25">
      <c r="A25" s="3" t="s">
        <v>53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0</v>
      </c>
    </row>
    <row r="26" spans="1:35" x14ac:dyDescent="0.25">
      <c r="A26" s="3" t="s">
        <v>54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>
        <f>844775.51</f>
        <v>844775.51</v>
      </c>
      <c r="P26" s="4"/>
      <c r="Q26" s="4"/>
      <c r="R26" s="4"/>
      <c r="S26" s="5">
        <f>568858.6</f>
        <v>568858.6</v>
      </c>
      <c r="T26" s="4"/>
      <c r="U26" s="5">
        <f>108290</f>
        <v>108290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1521924.1099999999</v>
      </c>
    </row>
    <row r="27" spans="1:35" x14ac:dyDescent="0.25">
      <c r="A27" s="3" t="s">
        <v>55</v>
      </c>
      <c r="B27" s="4"/>
      <c r="C27" s="4"/>
      <c r="D27" s="4"/>
      <c r="E27" s="5">
        <f>416740.81</f>
        <v>416740.81</v>
      </c>
      <c r="F27" s="4"/>
      <c r="G27" s="4"/>
      <c r="H27" s="5">
        <f>79425.17</f>
        <v>79425.17</v>
      </c>
      <c r="I27" s="5">
        <f>124262.1</f>
        <v>124262.1</v>
      </c>
      <c r="J27" s="4"/>
      <c r="K27" s="4"/>
      <c r="L27" s="4"/>
      <c r="M27" s="4"/>
      <c r="N27" s="4"/>
      <c r="O27" s="4"/>
      <c r="P27" s="4"/>
      <c r="Q27" s="5">
        <f>1095.66</f>
        <v>1095.6600000000001</v>
      </c>
      <c r="R27" s="5">
        <f>1222517.91</f>
        <v>1222517.9099999999</v>
      </c>
      <c r="S27" s="4"/>
      <c r="T27" s="5">
        <f>254751.84</f>
        <v>254751.84</v>
      </c>
      <c r="U27" s="4"/>
      <c r="V27" s="5">
        <f>35058.25</f>
        <v>35058.25</v>
      </c>
      <c r="W27" s="4"/>
      <c r="X27" s="5">
        <f>257714.97</f>
        <v>257714.97</v>
      </c>
      <c r="Y27" s="5">
        <f>422086</f>
        <v>422086</v>
      </c>
      <c r="Z27" s="5">
        <f>179231.53</f>
        <v>179231.53</v>
      </c>
      <c r="AA27" s="4"/>
      <c r="AB27" s="5">
        <f>591092.94</f>
        <v>591092.93999999994</v>
      </c>
      <c r="AC27" s="5">
        <f>6515.45</f>
        <v>6515.45</v>
      </c>
      <c r="AD27" s="5">
        <f>2938</f>
        <v>2938</v>
      </c>
      <c r="AE27" s="5">
        <f>374398.04</f>
        <v>374398.04</v>
      </c>
      <c r="AF27" s="5">
        <f>295178.5</f>
        <v>295178.5</v>
      </c>
      <c r="AG27" s="5">
        <f>700021.5</f>
        <v>700021.5</v>
      </c>
      <c r="AH27" s="4"/>
      <c r="AI27" s="5">
        <f t="shared" si="0"/>
        <v>4963028.67</v>
      </c>
    </row>
    <row r="28" spans="1:35" x14ac:dyDescent="0.25">
      <c r="A28" s="3" t="s">
        <v>56</v>
      </c>
      <c r="B28" s="6">
        <f t="shared" ref="B28:AH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416740.81</v>
      </c>
      <c r="F28" s="6">
        <f t="shared" si="3"/>
        <v>0</v>
      </c>
      <c r="G28" s="6">
        <f t="shared" si="3"/>
        <v>0</v>
      </c>
      <c r="H28" s="6">
        <f t="shared" si="3"/>
        <v>79425.17</v>
      </c>
      <c r="I28" s="6">
        <f t="shared" si="3"/>
        <v>124262.1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0</v>
      </c>
      <c r="O28" s="6">
        <f t="shared" si="3"/>
        <v>844775.51</v>
      </c>
      <c r="P28" s="6">
        <f t="shared" si="3"/>
        <v>0</v>
      </c>
      <c r="Q28" s="6">
        <f t="shared" si="3"/>
        <v>1095.6600000000001</v>
      </c>
      <c r="R28" s="6">
        <f t="shared" si="3"/>
        <v>1222517.9099999999</v>
      </c>
      <c r="S28" s="6">
        <f t="shared" si="3"/>
        <v>568858.6</v>
      </c>
      <c r="T28" s="6">
        <f t="shared" si="3"/>
        <v>254751.84</v>
      </c>
      <c r="U28" s="6">
        <f t="shared" si="3"/>
        <v>108290</v>
      </c>
      <c r="V28" s="6">
        <f t="shared" si="3"/>
        <v>35058.25</v>
      </c>
      <c r="W28" s="6">
        <f t="shared" si="3"/>
        <v>0</v>
      </c>
      <c r="X28" s="6">
        <f t="shared" si="3"/>
        <v>257714.97</v>
      </c>
      <c r="Y28" s="6">
        <f t="shared" si="3"/>
        <v>422086</v>
      </c>
      <c r="Z28" s="6">
        <f t="shared" si="3"/>
        <v>179231.53</v>
      </c>
      <c r="AA28" s="6">
        <f t="shared" si="3"/>
        <v>0</v>
      </c>
      <c r="AB28" s="6">
        <f t="shared" si="3"/>
        <v>591092.93999999994</v>
      </c>
      <c r="AC28" s="6">
        <f t="shared" si="3"/>
        <v>6515.45</v>
      </c>
      <c r="AD28" s="6">
        <f t="shared" si="3"/>
        <v>2938</v>
      </c>
      <c r="AE28" s="6">
        <f t="shared" si="3"/>
        <v>374398.04</v>
      </c>
      <c r="AF28" s="6">
        <f t="shared" si="3"/>
        <v>295178.5</v>
      </c>
      <c r="AG28" s="6">
        <f t="shared" si="3"/>
        <v>700021.5</v>
      </c>
      <c r="AH28" s="6">
        <f t="shared" si="3"/>
        <v>0</v>
      </c>
      <c r="AI28" s="6">
        <f t="shared" si="0"/>
        <v>6484952.7800000012</v>
      </c>
    </row>
    <row r="29" spans="1:35" x14ac:dyDescent="0.25">
      <c r="A29" s="3" t="s">
        <v>57</v>
      </c>
      <c r="B29" s="6">
        <f t="shared" ref="B29:AH29" si="4">((((B19)+(B22))+(B23))+(B24))+(B28)</f>
        <v>1593745.5100000002</v>
      </c>
      <c r="C29" s="6">
        <f t="shared" si="4"/>
        <v>275</v>
      </c>
      <c r="D29" s="6">
        <f t="shared" si="4"/>
        <v>0</v>
      </c>
      <c r="E29" s="6">
        <f t="shared" si="4"/>
        <v>416740.81</v>
      </c>
      <c r="F29" s="6">
        <f t="shared" si="4"/>
        <v>25865.75</v>
      </c>
      <c r="G29" s="6">
        <f t="shared" si="4"/>
        <v>2187268.98</v>
      </c>
      <c r="H29" s="6">
        <f t="shared" si="4"/>
        <v>79327.490000000005</v>
      </c>
      <c r="I29" s="6">
        <f t="shared" si="4"/>
        <v>124262.1</v>
      </c>
      <c r="J29" s="6">
        <f t="shared" si="4"/>
        <v>104557.6</v>
      </c>
      <c r="K29" s="6">
        <f t="shared" si="4"/>
        <v>64019.360000000001</v>
      </c>
      <c r="L29" s="6">
        <f t="shared" si="4"/>
        <v>343043.82</v>
      </c>
      <c r="M29" s="6">
        <f t="shared" si="4"/>
        <v>13157.5</v>
      </c>
      <c r="N29" s="6">
        <f t="shared" si="4"/>
        <v>64256.54</v>
      </c>
      <c r="O29" s="6">
        <f t="shared" si="4"/>
        <v>844775.51</v>
      </c>
      <c r="P29" s="6">
        <f t="shared" si="4"/>
        <v>179903.3</v>
      </c>
      <c r="Q29" s="6">
        <f t="shared" si="4"/>
        <v>1095.6600000000001</v>
      </c>
      <c r="R29" s="6">
        <f t="shared" si="4"/>
        <v>1222517.9099999999</v>
      </c>
      <c r="S29" s="6">
        <f t="shared" si="4"/>
        <v>568858.6</v>
      </c>
      <c r="T29" s="6">
        <f t="shared" si="4"/>
        <v>254751.84</v>
      </c>
      <c r="U29" s="6">
        <f t="shared" si="4"/>
        <v>108290</v>
      </c>
      <c r="V29" s="6">
        <f t="shared" si="4"/>
        <v>35058.25</v>
      </c>
      <c r="W29" s="6">
        <f t="shared" si="4"/>
        <v>0</v>
      </c>
      <c r="X29" s="6">
        <f t="shared" si="4"/>
        <v>257714.97</v>
      </c>
      <c r="Y29" s="6">
        <f t="shared" si="4"/>
        <v>422086</v>
      </c>
      <c r="Z29" s="6">
        <f t="shared" si="4"/>
        <v>178231.53</v>
      </c>
      <c r="AA29" s="6">
        <f t="shared" si="4"/>
        <v>50065</v>
      </c>
      <c r="AB29" s="6">
        <f t="shared" si="4"/>
        <v>591092.93999999994</v>
      </c>
      <c r="AC29" s="6">
        <f t="shared" si="4"/>
        <v>6515.45</v>
      </c>
      <c r="AD29" s="6">
        <f t="shared" si="4"/>
        <v>2938</v>
      </c>
      <c r="AE29" s="6">
        <f t="shared" si="4"/>
        <v>374398.04</v>
      </c>
      <c r="AF29" s="6">
        <f t="shared" si="4"/>
        <v>295178.5</v>
      </c>
      <c r="AG29" s="6">
        <f t="shared" si="4"/>
        <v>700021.5</v>
      </c>
      <c r="AH29" s="6">
        <f t="shared" si="4"/>
        <v>0</v>
      </c>
      <c r="AI29" s="6">
        <f t="shared" si="0"/>
        <v>11110013.459999997</v>
      </c>
    </row>
    <row r="30" spans="1:35" x14ac:dyDescent="0.25">
      <c r="A30" s="3" t="s">
        <v>58</v>
      </c>
      <c r="B30" s="6">
        <f t="shared" ref="B30:AH30" si="5">(B29)-(0)</f>
        <v>1593745.5100000002</v>
      </c>
      <c r="C30" s="6">
        <f t="shared" si="5"/>
        <v>275</v>
      </c>
      <c r="D30" s="6">
        <f t="shared" si="5"/>
        <v>0</v>
      </c>
      <c r="E30" s="6">
        <f t="shared" si="5"/>
        <v>416740.81</v>
      </c>
      <c r="F30" s="6">
        <f t="shared" si="5"/>
        <v>25865.75</v>
      </c>
      <c r="G30" s="6">
        <f t="shared" si="5"/>
        <v>2187268.98</v>
      </c>
      <c r="H30" s="6">
        <f t="shared" si="5"/>
        <v>79327.490000000005</v>
      </c>
      <c r="I30" s="6">
        <f t="shared" si="5"/>
        <v>124262.1</v>
      </c>
      <c r="J30" s="6">
        <f t="shared" si="5"/>
        <v>104557.6</v>
      </c>
      <c r="K30" s="6">
        <f t="shared" si="5"/>
        <v>64019.360000000001</v>
      </c>
      <c r="L30" s="6">
        <f t="shared" si="5"/>
        <v>343043.82</v>
      </c>
      <c r="M30" s="6">
        <f t="shared" si="5"/>
        <v>13157.5</v>
      </c>
      <c r="N30" s="6">
        <f t="shared" si="5"/>
        <v>64256.54</v>
      </c>
      <c r="O30" s="6">
        <f t="shared" si="5"/>
        <v>844775.51</v>
      </c>
      <c r="P30" s="6">
        <f t="shared" si="5"/>
        <v>179903.3</v>
      </c>
      <c r="Q30" s="6">
        <f t="shared" si="5"/>
        <v>1095.6600000000001</v>
      </c>
      <c r="R30" s="6">
        <f t="shared" si="5"/>
        <v>1222517.9099999999</v>
      </c>
      <c r="S30" s="6">
        <f t="shared" si="5"/>
        <v>568858.6</v>
      </c>
      <c r="T30" s="6">
        <f t="shared" si="5"/>
        <v>254751.84</v>
      </c>
      <c r="U30" s="6">
        <f t="shared" si="5"/>
        <v>108290</v>
      </c>
      <c r="V30" s="6">
        <f t="shared" si="5"/>
        <v>35058.25</v>
      </c>
      <c r="W30" s="6">
        <f t="shared" si="5"/>
        <v>0</v>
      </c>
      <c r="X30" s="6">
        <f t="shared" si="5"/>
        <v>257714.97</v>
      </c>
      <c r="Y30" s="6">
        <f t="shared" si="5"/>
        <v>422086</v>
      </c>
      <c r="Z30" s="6">
        <f t="shared" si="5"/>
        <v>178231.53</v>
      </c>
      <c r="AA30" s="6">
        <f t="shared" si="5"/>
        <v>50065</v>
      </c>
      <c r="AB30" s="6">
        <f t="shared" si="5"/>
        <v>591092.93999999994</v>
      </c>
      <c r="AC30" s="6">
        <f t="shared" si="5"/>
        <v>6515.45</v>
      </c>
      <c r="AD30" s="6">
        <f t="shared" si="5"/>
        <v>2938</v>
      </c>
      <c r="AE30" s="6">
        <f t="shared" si="5"/>
        <v>374398.04</v>
      </c>
      <c r="AF30" s="6">
        <f t="shared" si="5"/>
        <v>295178.5</v>
      </c>
      <c r="AG30" s="6">
        <f t="shared" si="5"/>
        <v>700021.5</v>
      </c>
      <c r="AH30" s="6">
        <f t="shared" si="5"/>
        <v>0</v>
      </c>
      <c r="AI30" s="6">
        <f t="shared" si="0"/>
        <v>11110013.459999997</v>
      </c>
    </row>
    <row r="31" spans="1:35" x14ac:dyDescent="0.25">
      <c r="A31" s="3" t="s">
        <v>59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25">
      <c r="A32" s="3" t="s">
        <v>60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5">
        <f t="shared" ref="AI32:AI63" si="6">((((((((((((((((((((((((((((((((B32)+(C32))+(D32))+(E32))+(F32))+(G32))+(H32))+(I32))+(J32))+(K32))+(L32))+(M32))+(N32))+(O32))+(P32))+(Q32))+(R32))+(S32))+(T32))+(U32))+(V32))+(W32))+(X32))+(Y32))+(Z32))+(AA32))+(AB32))+(AC32))+(AD32))+(AE32))+(AF32))+(AG32))+(AH32)</f>
        <v>0</v>
      </c>
    </row>
    <row r="33" spans="1:35" x14ac:dyDescent="0.25">
      <c r="A33" s="3" t="s">
        <v>61</v>
      </c>
      <c r="B33" s="5">
        <f>134148.68</f>
        <v>134148.68</v>
      </c>
      <c r="C33" s="4"/>
      <c r="D33" s="4"/>
      <c r="E33" s="5">
        <f>245105.97</f>
        <v>245105.97</v>
      </c>
      <c r="F33" s="4"/>
      <c r="G33" s="5">
        <f>608806.46</f>
        <v>608806.46</v>
      </c>
      <c r="H33" s="5">
        <f>25250.4</f>
        <v>25250.400000000001</v>
      </c>
      <c r="I33" s="5">
        <f>55507.57</f>
        <v>55507.57</v>
      </c>
      <c r="J33" s="5">
        <f>77169.12</f>
        <v>77169.119999999995</v>
      </c>
      <c r="K33" s="4"/>
      <c r="L33" s="5">
        <f>0</f>
        <v>0</v>
      </c>
      <c r="M33" s="5">
        <f>-4484.2</f>
        <v>-4484.2</v>
      </c>
      <c r="N33" s="5">
        <f>37268.64</f>
        <v>37268.639999999999</v>
      </c>
      <c r="O33" s="5">
        <f>550097.02</f>
        <v>550097.02</v>
      </c>
      <c r="P33" s="5">
        <f>27725.68</f>
        <v>27725.68</v>
      </c>
      <c r="Q33" s="5">
        <f>1000</f>
        <v>1000</v>
      </c>
      <c r="R33" s="5">
        <f>69992.32</f>
        <v>69992.320000000007</v>
      </c>
      <c r="S33" s="4"/>
      <c r="T33" s="5">
        <f>51666.56</f>
        <v>51666.559999999998</v>
      </c>
      <c r="U33" s="5">
        <f>65411.68</f>
        <v>65411.68</v>
      </c>
      <c r="V33" s="5">
        <f>23788.57</f>
        <v>23788.57</v>
      </c>
      <c r="W33" s="5">
        <f>0</f>
        <v>0</v>
      </c>
      <c r="X33" s="5">
        <f>131918.9</f>
        <v>131918.9</v>
      </c>
      <c r="Y33" s="5">
        <f>224264.2</f>
        <v>224264.2</v>
      </c>
      <c r="Z33" s="5">
        <f>115814.07</f>
        <v>115814.07</v>
      </c>
      <c r="AA33" s="4"/>
      <c r="AB33" s="5">
        <f>207837.26</f>
        <v>207837.26</v>
      </c>
      <c r="AC33" s="5">
        <f>3217.14</f>
        <v>3217.14</v>
      </c>
      <c r="AD33" s="5">
        <f>3110.22</f>
        <v>3110.22</v>
      </c>
      <c r="AE33" s="5">
        <f>118988.16</f>
        <v>118988.16</v>
      </c>
      <c r="AF33" s="5">
        <f>10000</f>
        <v>10000</v>
      </c>
      <c r="AG33" s="5">
        <f>201436.66</f>
        <v>201436.66</v>
      </c>
      <c r="AH33" s="4"/>
      <c r="AI33" s="5">
        <f t="shared" si="6"/>
        <v>2985041.080000001</v>
      </c>
    </row>
    <row r="34" spans="1:35" x14ac:dyDescent="0.25">
      <c r="A34" s="3" t="s">
        <v>62</v>
      </c>
      <c r="B34" s="5">
        <f>157254.14</f>
        <v>157254.14000000001</v>
      </c>
      <c r="C34" s="4"/>
      <c r="D34" s="4"/>
      <c r="E34" s="5">
        <f>33311.85</f>
        <v>33311.85</v>
      </c>
      <c r="F34" s="5">
        <f>30750.08</f>
        <v>30750.080000000002</v>
      </c>
      <c r="G34" s="5">
        <f>193418.21</f>
        <v>193418.21</v>
      </c>
      <c r="H34" s="4"/>
      <c r="I34" s="4"/>
      <c r="J34" s="4"/>
      <c r="K34" s="5">
        <f>59597.12</f>
        <v>59597.120000000003</v>
      </c>
      <c r="L34" s="4"/>
      <c r="M34" s="4"/>
      <c r="N34" s="4"/>
      <c r="O34" s="5">
        <f>30000</f>
        <v>30000</v>
      </c>
      <c r="P34" s="4"/>
      <c r="Q34" s="4"/>
      <c r="R34" s="5">
        <f>35956.64</f>
        <v>35956.639999999999</v>
      </c>
      <c r="S34" s="5">
        <f>464694.54</f>
        <v>464694.54</v>
      </c>
      <c r="T34" s="4"/>
      <c r="U34" s="5">
        <f>50000</f>
        <v>50000</v>
      </c>
      <c r="V34" s="4"/>
      <c r="W34" s="4"/>
      <c r="X34" s="5">
        <f>11753.72</f>
        <v>11753.72</v>
      </c>
      <c r="Y34" s="5">
        <f>27149.68</f>
        <v>27149.68</v>
      </c>
      <c r="Z34" s="4"/>
      <c r="AA34" s="4"/>
      <c r="AB34" s="5">
        <f>30921.9</f>
        <v>30921.9</v>
      </c>
      <c r="AC34" s="4"/>
      <c r="AD34" s="4"/>
      <c r="AE34" s="4"/>
      <c r="AF34" s="4"/>
      <c r="AG34" s="5">
        <f>2546.58</f>
        <v>2546.58</v>
      </c>
      <c r="AH34" s="4"/>
      <c r="AI34" s="5">
        <f t="shared" si="6"/>
        <v>1127354.46</v>
      </c>
    </row>
    <row r="35" spans="1:35" x14ac:dyDescent="0.25">
      <c r="A35" s="3" t="s">
        <v>63</v>
      </c>
      <c r="B35" s="6">
        <f t="shared" ref="B35:AH35" si="7">((B32)+(B33))+(B34)</f>
        <v>291402.82</v>
      </c>
      <c r="C35" s="6">
        <f t="shared" si="7"/>
        <v>0</v>
      </c>
      <c r="D35" s="6">
        <f t="shared" si="7"/>
        <v>0</v>
      </c>
      <c r="E35" s="6">
        <f t="shared" si="7"/>
        <v>278417.82</v>
      </c>
      <c r="F35" s="6">
        <f t="shared" si="7"/>
        <v>30750.080000000002</v>
      </c>
      <c r="G35" s="6">
        <f t="shared" si="7"/>
        <v>802224.66999999993</v>
      </c>
      <c r="H35" s="6">
        <f t="shared" si="7"/>
        <v>25250.400000000001</v>
      </c>
      <c r="I35" s="6">
        <f t="shared" si="7"/>
        <v>55507.57</v>
      </c>
      <c r="J35" s="6">
        <f t="shared" si="7"/>
        <v>77169.119999999995</v>
      </c>
      <c r="K35" s="6">
        <f t="shared" si="7"/>
        <v>59597.120000000003</v>
      </c>
      <c r="L35" s="6">
        <f t="shared" si="7"/>
        <v>0</v>
      </c>
      <c r="M35" s="6">
        <f t="shared" si="7"/>
        <v>-4484.2</v>
      </c>
      <c r="N35" s="6">
        <f t="shared" si="7"/>
        <v>37268.639999999999</v>
      </c>
      <c r="O35" s="6">
        <f t="shared" si="7"/>
        <v>580097.02</v>
      </c>
      <c r="P35" s="6">
        <f t="shared" si="7"/>
        <v>27725.68</v>
      </c>
      <c r="Q35" s="6">
        <f t="shared" si="7"/>
        <v>1000</v>
      </c>
      <c r="R35" s="6">
        <f t="shared" si="7"/>
        <v>105948.96</v>
      </c>
      <c r="S35" s="6">
        <f t="shared" si="7"/>
        <v>464694.54</v>
      </c>
      <c r="T35" s="6">
        <f t="shared" si="7"/>
        <v>51666.559999999998</v>
      </c>
      <c r="U35" s="6">
        <f t="shared" si="7"/>
        <v>115411.68</v>
      </c>
      <c r="V35" s="6">
        <f t="shared" si="7"/>
        <v>23788.57</v>
      </c>
      <c r="W35" s="6">
        <f t="shared" si="7"/>
        <v>0</v>
      </c>
      <c r="X35" s="6">
        <f t="shared" si="7"/>
        <v>143672.62</v>
      </c>
      <c r="Y35" s="6">
        <f t="shared" si="7"/>
        <v>251413.88</v>
      </c>
      <c r="Z35" s="6">
        <f t="shared" si="7"/>
        <v>115814.07</v>
      </c>
      <c r="AA35" s="6">
        <f t="shared" si="7"/>
        <v>0</v>
      </c>
      <c r="AB35" s="6">
        <f t="shared" si="7"/>
        <v>238759.16</v>
      </c>
      <c r="AC35" s="6">
        <f t="shared" si="7"/>
        <v>3217.14</v>
      </c>
      <c r="AD35" s="6">
        <f t="shared" si="7"/>
        <v>3110.22</v>
      </c>
      <c r="AE35" s="6">
        <f t="shared" si="7"/>
        <v>118988.16</v>
      </c>
      <c r="AF35" s="6">
        <f t="shared" si="7"/>
        <v>10000</v>
      </c>
      <c r="AG35" s="6">
        <f t="shared" si="7"/>
        <v>203983.24</v>
      </c>
      <c r="AH35" s="6">
        <f t="shared" si="7"/>
        <v>0</v>
      </c>
      <c r="AI35" s="6">
        <f t="shared" si="6"/>
        <v>4112395.540000001</v>
      </c>
    </row>
    <row r="36" spans="1:35" x14ac:dyDescent="0.25">
      <c r="A36" s="3" t="s">
        <v>64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>
        <f t="shared" si="6"/>
        <v>0</v>
      </c>
    </row>
    <row r="37" spans="1:35" x14ac:dyDescent="0.25">
      <c r="A37" s="3" t="s">
        <v>65</v>
      </c>
      <c r="B37" s="4"/>
      <c r="C37" s="4"/>
      <c r="D37" s="4"/>
      <c r="E37" s="5">
        <f>38.77</f>
        <v>38.770000000000003</v>
      </c>
      <c r="F37" s="4"/>
      <c r="G37" s="4"/>
      <c r="H37" s="5">
        <f>1.85</f>
        <v>1.85</v>
      </c>
      <c r="I37" s="5">
        <f>8.56</f>
        <v>8.56</v>
      </c>
      <c r="J37" s="4"/>
      <c r="K37" s="4"/>
      <c r="L37" s="5">
        <f>0</f>
        <v>0</v>
      </c>
      <c r="M37" s="5">
        <f>-0.64</f>
        <v>-0.64</v>
      </c>
      <c r="N37" s="4"/>
      <c r="O37" s="4"/>
      <c r="P37" s="4"/>
      <c r="Q37" s="4"/>
      <c r="R37" s="5">
        <f>17.92</f>
        <v>17.920000000000002</v>
      </c>
      <c r="S37" s="4"/>
      <c r="T37" s="5">
        <f>10</f>
        <v>10</v>
      </c>
      <c r="U37" s="4"/>
      <c r="V37" s="4"/>
      <c r="W37" s="5">
        <f>0</f>
        <v>0</v>
      </c>
      <c r="X37" s="5">
        <f>21.76</f>
        <v>21.76</v>
      </c>
      <c r="Y37" s="5">
        <f>36.48</f>
        <v>36.479999999999997</v>
      </c>
      <c r="Z37" s="5">
        <f>14.92</f>
        <v>14.92</v>
      </c>
      <c r="AA37" s="4"/>
      <c r="AB37" s="5">
        <f>33.94</f>
        <v>33.94</v>
      </c>
      <c r="AC37" s="5">
        <f>0.75</f>
        <v>0.75</v>
      </c>
      <c r="AD37" s="5">
        <f>0.45</f>
        <v>0.45</v>
      </c>
      <c r="AE37" s="5">
        <f>15.96</f>
        <v>15.96</v>
      </c>
      <c r="AF37" s="4"/>
      <c r="AG37" s="5">
        <f>20.88</f>
        <v>20.88</v>
      </c>
      <c r="AH37" s="4"/>
      <c r="AI37" s="5">
        <f t="shared" si="6"/>
        <v>221.6</v>
      </c>
    </row>
    <row r="38" spans="1:35" x14ac:dyDescent="0.25">
      <c r="A38" s="3" t="s">
        <v>66</v>
      </c>
      <c r="B38" s="5">
        <f>3728.73</f>
        <v>3728.73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>
        <f t="shared" si="6"/>
        <v>3728.73</v>
      </c>
    </row>
    <row r="39" spans="1:35" x14ac:dyDescent="0.25">
      <c r="A39" s="3" t="s">
        <v>67</v>
      </c>
      <c r="B39" s="5">
        <f>9167.56</f>
        <v>9167.56</v>
      </c>
      <c r="C39" s="4"/>
      <c r="D39" s="4"/>
      <c r="E39" s="5">
        <f>1732.43</f>
        <v>1732.43</v>
      </c>
      <c r="F39" s="5">
        <f>1698.21</f>
        <v>1698.21</v>
      </c>
      <c r="G39" s="5">
        <f>11449.99</f>
        <v>11449.99</v>
      </c>
      <c r="H39" s="4"/>
      <c r="I39" s="4"/>
      <c r="J39" s="4"/>
      <c r="K39" s="5">
        <f>3524.67</f>
        <v>3524.67</v>
      </c>
      <c r="L39" s="4"/>
      <c r="M39" s="4"/>
      <c r="N39" s="4"/>
      <c r="O39" s="5">
        <f>1777.76</f>
        <v>1777.76</v>
      </c>
      <c r="P39" s="4"/>
      <c r="Q39" s="4"/>
      <c r="R39" s="5">
        <f>2144.97</f>
        <v>2144.9699999999998</v>
      </c>
      <c r="S39" s="5">
        <f>27582.87</f>
        <v>27582.87</v>
      </c>
      <c r="T39" s="4"/>
      <c r="U39" s="5">
        <f>3019.94</f>
        <v>3019.94</v>
      </c>
      <c r="V39" s="4"/>
      <c r="W39" s="4"/>
      <c r="X39" s="5">
        <f>715.19</f>
        <v>715.19</v>
      </c>
      <c r="Y39" s="5">
        <f>1659.77</f>
        <v>1659.77</v>
      </c>
      <c r="Z39" s="4"/>
      <c r="AA39" s="4"/>
      <c r="AB39" s="5">
        <f>1789.71</f>
        <v>1789.71</v>
      </c>
      <c r="AC39" s="4"/>
      <c r="AD39" s="4"/>
      <c r="AE39" s="4"/>
      <c r="AF39" s="4"/>
      <c r="AG39" s="5">
        <f>157.89</f>
        <v>157.88999999999999</v>
      </c>
      <c r="AH39" s="4"/>
      <c r="AI39" s="5">
        <f t="shared" si="6"/>
        <v>66420.960000000006</v>
      </c>
    </row>
    <row r="40" spans="1:35" x14ac:dyDescent="0.25">
      <c r="A40" s="3" t="s">
        <v>68</v>
      </c>
      <c r="B40" s="5">
        <f>4055.46</f>
        <v>4055.46</v>
      </c>
      <c r="C40" s="4"/>
      <c r="D40" s="4"/>
      <c r="E40" s="5">
        <f>3855.16</f>
        <v>3855.16</v>
      </c>
      <c r="F40" s="5">
        <f>397.15</f>
        <v>397.15</v>
      </c>
      <c r="G40" s="5">
        <f>11115.61</f>
        <v>11115.61</v>
      </c>
      <c r="H40" s="5">
        <f>356.62</f>
        <v>356.62</v>
      </c>
      <c r="I40" s="5">
        <f>568.04</f>
        <v>568.04</v>
      </c>
      <c r="J40" s="5">
        <f>1009.16</f>
        <v>1009.16</v>
      </c>
      <c r="K40" s="5">
        <f>824.32</f>
        <v>824.32</v>
      </c>
      <c r="L40" s="5">
        <f>0</f>
        <v>0</v>
      </c>
      <c r="M40" s="5">
        <f>-62.72</f>
        <v>-62.72</v>
      </c>
      <c r="N40" s="5">
        <f>530.94</f>
        <v>530.94000000000005</v>
      </c>
      <c r="O40" s="5">
        <f>8418.06</f>
        <v>8418.06</v>
      </c>
      <c r="P40" s="5">
        <f>391.24</f>
        <v>391.24</v>
      </c>
      <c r="Q40" s="5">
        <f>14.5</f>
        <v>14.5</v>
      </c>
      <c r="R40" s="5">
        <f>1451.2</f>
        <v>1451.2</v>
      </c>
      <c r="S40" s="5">
        <f>6450.85</f>
        <v>6450.85</v>
      </c>
      <c r="T40" s="5">
        <f>724.2</f>
        <v>724.2</v>
      </c>
      <c r="U40" s="5">
        <f>1624.2</f>
        <v>1624.2</v>
      </c>
      <c r="V40" s="5">
        <f>344.91</f>
        <v>344.91</v>
      </c>
      <c r="W40" s="5">
        <f>0</f>
        <v>0</v>
      </c>
      <c r="X40" s="5">
        <f>1896.46</f>
        <v>1896.46</v>
      </c>
      <c r="Y40" s="5">
        <f>3588.38</f>
        <v>3588.38</v>
      </c>
      <c r="Z40" s="5">
        <f>1449.39</f>
        <v>1449.39</v>
      </c>
      <c r="AA40" s="4"/>
      <c r="AB40" s="5">
        <f>3508.51</f>
        <v>3508.51</v>
      </c>
      <c r="AC40" s="5">
        <f>52.1</f>
        <v>52.1</v>
      </c>
      <c r="AD40" s="5">
        <f>31.32</f>
        <v>31.32</v>
      </c>
      <c r="AE40" s="5">
        <f>1636.68</f>
        <v>1636.68</v>
      </c>
      <c r="AF40" s="4"/>
      <c r="AG40" s="5">
        <f>2858.14</f>
        <v>2858.14</v>
      </c>
      <c r="AH40" s="4"/>
      <c r="AI40" s="5">
        <f t="shared" si="6"/>
        <v>57089.87999999999</v>
      </c>
    </row>
    <row r="41" spans="1:35" x14ac:dyDescent="0.25">
      <c r="A41" s="3" t="s">
        <v>69</v>
      </c>
      <c r="B41" s="5">
        <f>8729.28</f>
        <v>8729.2800000000007</v>
      </c>
      <c r="C41" s="4"/>
      <c r="D41" s="4"/>
      <c r="E41" s="5">
        <f>40504.02</f>
        <v>40504.019999999997</v>
      </c>
      <c r="F41" s="4"/>
      <c r="G41" s="5">
        <f>17712.17</f>
        <v>17712.169999999998</v>
      </c>
      <c r="H41" s="5">
        <f>4211.73</f>
        <v>4211.7299999999996</v>
      </c>
      <c r="I41" s="5">
        <f>6672.32</f>
        <v>6672.32</v>
      </c>
      <c r="J41" s="5">
        <f>3073.6</f>
        <v>3073.6</v>
      </c>
      <c r="K41" s="4"/>
      <c r="L41" s="5">
        <f>0</f>
        <v>0</v>
      </c>
      <c r="M41" s="5">
        <f>-722.17</f>
        <v>-722.17</v>
      </c>
      <c r="N41" s="5">
        <f>1118.08</f>
        <v>1118.08</v>
      </c>
      <c r="O41" s="5">
        <f>19030.43</f>
        <v>19030.43</v>
      </c>
      <c r="P41" s="5">
        <f>831.8</f>
        <v>831.8</v>
      </c>
      <c r="Q41" s="4"/>
      <c r="R41" s="5">
        <f>10573.44</f>
        <v>10573.44</v>
      </c>
      <c r="S41" s="4"/>
      <c r="T41" s="5">
        <f>5918.4</f>
        <v>5918.4</v>
      </c>
      <c r="U41" s="5">
        <f>1962.4</f>
        <v>1962.4</v>
      </c>
      <c r="V41" s="5">
        <f>3270.93</f>
        <v>3270.93</v>
      </c>
      <c r="W41" s="5">
        <f>0</f>
        <v>0</v>
      </c>
      <c r="X41" s="5">
        <f>20322.01</f>
        <v>20322.009999999998</v>
      </c>
      <c r="Y41" s="5">
        <f>38038.74</f>
        <v>38038.74</v>
      </c>
      <c r="Z41" s="5">
        <f>15374.94</f>
        <v>15374.94</v>
      </c>
      <c r="AA41" s="4"/>
      <c r="AB41" s="5">
        <f>34142.51</f>
        <v>34142.51</v>
      </c>
      <c r="AC41" s="5">
        <f>202.3</f>
        <v>202.3</v>
      </c>
      <c r="AD41" s="5">
        <f>121.38</f>
        <v>121.38</v>
      </c>
      <c r="AE41" s="5">
        <f>19074.56</f>
        <v>19074.560000000001</v>
      </c>
      <c r="AF41" s="4"/>
      <c r="AG41" s="5">
        <f>33303.81</f>
        <v>33303.81</v>
      </c>
      <c r="AH41" s="4"/>
      <c r="AI41" s="5">
        <f t="shared" si="6"/>
        <v>283466.67999999993</v>
      </c>
    </row>
    <row r="42" spans="1:35" x14ac:dyDescent="0.25">
      <c r="A42" s="3" t="s">
        <v>70</v>
      </c>
      <c r="B42" s="5">
        <f>36542.4</f>
        <v>36542.400000000001</v>
      </c>
      <c r="C42" s="4"/>
      <c r="D42" s="4"/>
      <c r="E42" s="5">
        <f>7774.95</f>
        <v>7774.95</v>
      </c>
      <c r="F42" s="4"/>
      <c r="G42" s="5">
        <f>45143.96</f>
        <v>45143.96</v>
      </c>
      <c r="H42" s="4"/>
      <c r="I42" s="4"/>
      <c r="J42" s="4"/>
      <c r="K42" s="5">
        <f>13909.92</f>
        <v>13909.92</v>
      </c>
      <c r="L42" s="4"/>
      <c r="M42" s="4"/>
      <c r="N42" s="4"/>
      <c r="O42" s="5">
        <f>7002.08</f>
        <v>7002.08</v>
      </c>
      <c r="P42" s="4"/>
      <c r="Q42" s="4"/>
      <c r="R42" s="5">
        <f>8392.32</f>
        <v>8392.32</v>
      </c>
      <c r="S42" s="5">
        <f>101259.71</f>
        <v>101259.71</v>
      </c>
      <c r="T42" s="4"/>
      <c r="U42" s="5">
        <f>11670.08</f>
        <v>11670.08</v>
      </c>
      <c r="V42" s="4"/>
      <c r="W42" s="4"/>
      <c r="X42" s="5">
        <f>1661.63</f>
        <v>1661.63</v>
      </c>
      <c r="Y42" s="5">
        <f>3957.02</f>
        <v>3957.02</v>
      </c>
      <c r="Z42" s="4"/>
      <c r="AA42" s="4"/>
      <c r="AB42" s="5">
        <f>7217.1</f>
        <v>7217.1</v>
      </c>
      <c r="AC42" s="4"/>
      <c r="AD42" s="4"/>
      <c r="AE42" s="4"/>
      <c r="AF42" s="4"/>
      <c r="AG42" s="5">
        <f>594.38</f>
        <v>594.38</v>
      </c>
      <c r="AH42" s="4"/>
      <c r="AI42" s="5">
        <f t="shared" si="6"/>
        <v>245125.55000000002</v>
      </c>
    </row>
    <row r="43" spans="1:35" x14ac:dyDescent="0.25">
      <c r="A43" s="3" t="s">
        <v>71</v>
      </c>
      <c r="B43" s="4"/>
      <c r="C43" s="4"/>
      <c r="D43" s="4"/>
      <c r="E43" s="5">
        <f>36521.7</f>
        <v>36521.699999999997</v>
      </c>
      <c r="F43" s="4"/>
      <c r="G43" s="4"/>
      <c r="H43" s="5">
        <f>1813.3</f>
        <v>1813.3</v>
      </c>
      <c r="I43" s="5">
        <f>1876</f>
        <v>1876</v>
      </c>
      <c r="J43" s="4"/>
      <c r="K43" s="4"/>
      <c r="L43" s="5">
        <f>0</f>
        <v>0</v>
      </c>
      <c r="M43" s="5">
        <f>-863.25</f>
        <v>-863.25</v>
      </c>
      <c r="N43" s="4"/>
      <c r="O43" s="4"/>
      <c r="P43" s="4"/>
      <c r="Q43" s="4"/>
      <c r="R43" s="5">
        <f>16524.16</f>
        <v>16524.16</v>
      </c>
      <c r="S43" s="4"/>
      <c r="T43" s="5">
        <f>8003.52</f>
        <v>8003.52</v>
      </c>
      <c r="U43" s="4"/>
      <c r="V43" s="4"/>
      <c r="W43" s="5">
        <f>0</f>
        <v>0</v>
      </c>
      <c r="X43" s="5">
        <f>17564.43</f>
        <v>17564.43</v>
      </c>
      <c r="Y43" s="5">
        <f>30454</f>
        <v>30454</v>
      </c>
      <c r="Z43" s="5">
        <f>9857.48</f>
        <v>9857.48</v>
      </c>
      <c r="AA43" s="4"/>
      <c r="AB43" s="5">
        <f>21836.9</f>
        <v>21836.9</v>
      </c>
      <c r="AC43" s="5">
        <f>1046.55</f>
        <v>1046.55</v>
      </c>
      <c r="AD43" s="5">
        <f>627.93</f>
        <v>627.92999999999995</v>
      </c>
      <c r="AE43" s="5">
        <f>13004.4</f>
        <v>13004.4</v>
      </c>
      <c r="AF43" s="4"/>
      <c r="AG43" s="5">
        <f>12352.24</f>
        <v>12352.24</v>
      </c>
      <c r="AH43" s="4"/>
      <c r="AI43" s="5">
        <f t="shared" si="6"/>
        <v>170619.36</v>
      </c>
    </row>
    <row r="44" spans="1:35" x14ac:dyDescent="0.25">
      <c r="A44" s="3" t="s">
        <v>72</v>
      </c>
      <c r="B44" s="5">
        <f>7962.13</f>
        <v>7962.13</v>
      </c>
      <c r="C44" s="4"/>
      <c r="D44" s="4"/>
      <c r="E44" s="5">
        <f>120</f>
        <v>120</v>
      </c>
      <c r="F44" s="4"/>
      <c r="G44" s="5">
        <f>501.82</f>
        <v>501.82</v>
      </c>
      <c r="H44" s="4"/>
      <c r="I44" s="4"/>
      <c r="J44" s="4"/>
      <c r="K44" s="4"/>
      <c r="L44" s="4"/>
      <c r="M44" s="4"/>
      <c r="N44" s="4"/>
      <c r="O44" s="5">
        <f>60</f>
        <v>60</v>
      </c>
      <c r="P44" s="4"/>
      <c r="Q44" s="4"/>
      <c r="R44" s="4"/>
      <c r="S44" s="5">
        <f>180</f>
        <v>180</v>
      </c>
      <c r="T44" s="4"/>
      <c r="U44" s="4"/>
      <c r="V44" s="5">
        <f>60</f>
        <v>60</v>
      </c>
      <c r="W44" s="4"/>
      <c r="X44" s="4"/>
      <c r="Y44" s="5">
        <f>60</f>
        <v>60</v>
      </c>
      <c r="Z44" s="4"/>
      <c r="AA44" s="4"/>
      <c r="AB44" s="4"/>
      <c r="AC44" s="4"/>
      <c r="AD44" s="4"/>
      <c r="AE44" s="5">
        <f>120</f>
        <v>120</v>
      </c>
      <c r="AF44" s="4"/>
      <c r="AG44" s="5">
        <f>120</f>
        <v>120</v>
      </c>
      <c r="AH44" s="5">
        <f>0</f>
        <v>0</v>
      </c>
      <c r="AI44" s="5">
        <f t="shared" si="6"/>
        <v>9183.9500000000007</v>
      </c>
    </row>
    <row r="45" spans="1:35" x14ac:dyDescent="0.25">
      <c r="A45" s="3" t="s">
        <v>73</v>
      </c>
      <c r="B45" s="5">
        <f>1536</f>
        <v>1536</v>
      </c>
      <c r="C45" s="4"/>
      <c r="D45" s="4"/>
      <c r="E45" s="5">
        <f>1662.8</f>
        <v>1662.8</v>
      </c>
      <c r="F45" s="5">
        <f>184</f>
        <v>184</v>
      </c>
      <c r="G45" s="5">
        <f>4993</f>
        <v>4993</v>
      </c>
      <c r="H45" s="5">
        <f>158.9</f>
        <v>158.9</v>
      </c>
      <c r="I45" s="5">
        <f>299</f>
        <v>299</v>
      </c>
      <c r="J45" s="5">
        <f>461</f>
        <v>461</v>
      </c>
      <c r="K45" s="5">
        <f>356</f>
        <v>356</v>
      </c>
      <c r="L45" s="4"/>
      <c r="M45" s="4"/>
      <c r="N45" s="5">
        <f>223</f>
        <v>223</v>
      </c>
      <c r="O45" s="5">
        <f>3467</f>
        <v>3467</v>
      </c>
      <c r="P45" s="5">
        <f>110</f>
        <v>110</v>
      </c>
      <c r="Q45" s="4"/>
      <c r="R45" s="5">
        <f>633</f>
        <v>633</v>
      </c>
      <c r="S45" s="5">
        <f>2794</f>
        <v>2794</v>
      </c>
      <c r="T45" s="5">
        <f>309</f>
        <v>309</v>
      </c>
      <c r="U45" s="5">
        <f>689</f>
        <v>689</v>
      </c>
      <c r="V45" s="4"/>
      <c r="W45" s="4"/>
      <c r="X45" s="4"/>
      <c r="Y45" s="5">
        <f>2254</f>
        <v>2254</v>
      </c>
      <c r="Z45" s="5">
        <f>728</f>
        <v>728</v>
      </c>
      <c r="AA45" s="4"/>
      <c r="AB45" s="5">
        <f>1446.3</f>
        <v>1446.3</v>
      </c>
      <c r="AC45" s="4"/>
      <c r="AD45" s="5">
        <f>38</f>
        <v>38</v>
      </c>
      <c r="AE45" s="5">
        <f>711</f>
        <v>711</v>
      </c>
      <c r="AF45" s="4"/>
      <c r="AG45" s="5">
        <f>1217</f>
        <v>1217</v>
      </c>
      <c r="AH45" s="4"/>
      <c r="AI45" s="5">
        <f t="shared" si="6"/>
        <v>24269.999999999996</v>
      </c>
    </row>
    <row r="46" spans="1:35" x14ac:dyDescent="0.25">
      <c r="A46" s="3" t="s">
        <v>74</v>
      </c>
      <c r="B46" s="4"/>
      <c r="C46" s="4"/>
      <c r="D46" s="4"/>
      <c r="E46" s="5">
        <f>5383.14</f>
        <v>5383.14</v>
      </c>
      <c r="F46" s="4"/>
      <c r="G46" s="5">
        <f>8022.25</f>
        <v>8022.25</v>
      </c>
      <c r="H46" s="5">
        <f>725.02</f>
        <v>725.02</v>
      </c>
      <c r="I46" s="4"/>
      <c r="J46" s="5">
        <f>1543.36</f>
        <v>1543.36</v>
      </c>
      <c r="K46" s="5">
        <f>1191.92</f>
        <v>1191.92</v>
      </c>
      <c r="L46" s="4"/>
      <c r="M46" s="4"/>
      <c r="N46" s="5">
        <f>372.72</f>
        <v>372.72</v>
      </c>
      <c r="O46" s="5">
        <f>11601.95</f>
        <v>11601.95</v>
      </c>
      <c r="P46" s="5">
        <f>552.06</f>
        <v>552.05999999999995</v>
      </c>
      <c r="Q46" s="4"/>
      <c r="R46" s="5">
        <f>2118.96</f>
        <v>2118.96</v>
      </c>
      <c r="S46" s="4"/>
      <c r="T46" s="5">
        <f>1033.36</f>
        <v>1033.3599999999999</v>
      </c>
      <c r="U46" s="4"/>
      <c r="V46" s="4"/>
      <c r="W46" s="4"/>
      <c r="X46" s="4"/>
      <c r="Y46" s="4"/>
      <c r="Z46" s="5">
        <f>2371.71</f>
        <v>2371.71</v>
      </c>
      <c r="AA46" s="4"/>
      <c r="AB46" s="5">
        <f>4632.72</f>
        <v>4632.72</v>
      </c>
      <c r="AC46" s="4"/>
      <c r="AD46" s="4"/>
      <c r="AE46" s="5">
        <f>2379.76</f>
        <v>2379.7600000000002</v>
      </c>
      <c r="AF46" s="4"/>
      <c r="AG46" s="5">
        <f>4079.69</f>
        <v>4079.69</v>
      </c>
      <c r="AH46" s="4"/>
      <c r="AI46" s="5">
        <f t="shared" si="6"/>
        <v>46008.62000000001</v>
      </c>
    </row>
    <row r="47" spans="1:35" x14ac:dyDescent="0.25">
      <c r="A47" s="3" t="s">
        <v>75</v>
      </c>
      <c r="B47" s="4"/>
      <c r="C47" s="4"/>
      <c r="D47" s="4"/>
      <c r="E47" s="5">
        <f>310.16</f>
        <v>310.16000000000003</v>
      </c>
      <c r="F47" s="4"/>
      <c r="G47" s="4"/>
      <c r="H47" s="5">
        <f>14.8</f>
        <v>14.8</v>
      </c>
      <c r="I47" s="5">
        <f>68.48</f>
        <v>68.48</v>
      </c>
      <c r="J47" s="4"/>
      <c r="K47" s="4"/>
      <c r="L47" s="5">
        <f>0</f>
        <v>0</v>
      </c>
      <c r="M47" s="5">
        <f>-5.12</f>
        <v>-5.12</v>
      </c>
      <c r="N47" s="4"/>
      <c r="O47" s="4"/>
      <c r="P47" s="4"/>
      <c r="Q47" s="4"/>
      <c r="R47" s="5">
        <f>143.36</f>
        <v>143.36000000000001</v>
      </c>
      <c r="S47" s="4"/>
      <c r="T47" s="5">
        <f>80</f>
        <v>80</v>
      </c>
      <c r="U47" s="4"/>
      <c r="V47" s="4"/>
      <c r="W47" s="5">
        <f>0</f>
        <v>0</v>
      </c>
      <c r="X47" s="5">
        <f>174.08</f>
        <v>174.08</v>
      </c>
      <c r="Y47" s="5">
        <f>291.84</f>
        <v>291.83999999999997</v>
      </c>
      <c r="Z47" s="5">
        <f>119.36</f>
        <v>119.36</v>
      </c>
      <c r="AA47" s="4"/>
      <c r="AB47" s="5">
        <f>271.52</f>
        <v>271.52</v>
      </c>
      <c r="AC47" s="5">
        <f>6</f>
        <v>6</v>
      </c>
      <c r="AD47" s="5">
        <f>3.6</f>
        <v>3.6</v>
      </c>
      <c r="AE47" s="5">
        <f>127.68</f>
        <v>127.68</v>
      </c>
      <c r="AF47" s="4"/>
      <c r="AG47" s="5">
        <f>167.04</f>
        <v>167.04</v>
      </c>
      <c r="AH47" s="4"/>
      <c r="AI47" s="5">
        <f t="shared" si="6"/>
        <v>1772.8</v>
      </c>
    </row>
    <row r="48" spans="1:35" x14ac:dyDescent="0.25">
      <c r="A48" s="3" t="s">
        <v>76</v>
      </c>
      <c r="B48" s="6">
        <f t="shared" ref="B48:AH48" si="8">(((((((((((B36)+(B37))+(B38))+(B39))+(B40))+(B41))+(B42))+(B43))+(B44))+(B45))+(B46))+(B47)</f>
        <v>71721.56</v>
      </c>
      <c r="C48" s="6">
        <f t="shared" si="8"/>
        <v>0</v>
      </c>
      <c r="D48" s="6">
        <f t="shared" si="8"/>
        <v>0</v>
      </c>
      <c r="E48" s="6">
        <f t="shared" si="8"/>
        <v>97903.13</v>
      </c>
      <c r="F48" s="6">
        <f t="shared" si="8"/>
        <v>2279.36</v>
      </c>
      <c r="G48" s="6">
        <f t="shared" si="8"/>
        <v>98938.8</v>
      </c>
      <c r="H48" s="6">
        <f t="shared" si="8"/>
        <v>7282.22</v>
      </c>
      <c r="I48" s="6">
        <f t="shared" si="8"/>
        <v>9492.4</v>
      </c>
      <c r="J48" s="6">
        <f t="shared" si="8"/>
        <v>6087.12</v>
      </c>
      <c r="K48" s="6">
        <f t="shared" si="8"/>
        <v>19806.830000000002</v>
      </c>
      <c r="L48" s="6">
        <f t="shared" si="8"/>
        <v>0</v>
      </c>
      <c r="M48" s="6">
        <f t="shared" si="8"/>
        <v>-1653.8999999999999</v>
      </c>
      <c r="N48" s="6">
        <f t="shared" si="8"/>
        <v>2244.7399999999998</v>
      </c>
      <c r="O48" s="6">
        <f t="shared" si="8"/>
        <v>51357.279999999999</v>
      </c>
      <c r="P48" s="6">
        <f t="shared" si="8"/>
        <v>1885.1</v>
      </c>
      <c r="Q48" s="6">
        <f t="shared" si="8"/>
        <v>14.5</v>
      </c>
      <c r="R48" s="6">
        <f t="shared" si="8"/>
        <v>41999.329999999994</v>
      </c>
      <c r="S48" s="6">
        <f t="shared" si="8"/>
        <v>138267.43</v>
      </c>
      <c r="T48" s="6">
        <f t="shared" si="8"/>
        <v>16078.48</v>
      </c>
      <c r="U48" s="6">
        <f t="shared" si="8"/>
        <v>18965.620000000003</v>
      </c>
      <c r="V48" s="6">
        <f t="shared" si="8"/>
        <v>3675.8399999999997</v>
      </c>
      <c r="W48" s="6">
        <f t="shared" si="8"/>
        <v>0</v>
      </c>
      <c r="X48" s="6">
        <f t="shared" si="8"/>
        <v>42355.56</v>
      </c>
      <c r="Y48" s="6">
        <f t="shared" si="8"/>
        <v>80340.229999999981</v>
      </c>
      <c r="Z48" s="6">
        <f t="shared" si="8"/>
        <v>29915.8</v>
      </c>
      <c r="AA48" s="6">
        <f t="shared" si="8"/>
        <v>0</v>
      </c>
      <c r="AB48" s="6">
        <f t="shared" si="8"/>
        <v>74879.210000000006</v>
      </c>
      <c r="AC48" s="6">
        <f t="shared" si="8"/>
        <v>1307.7</v>
      </c>
      <c r="AD48" s="6">
        <f t="shared" si="8"/>
        <v>822.68</v>
      </c>
      <c r="AE48" s="6">
        <f t="shared" si="8"/>
        <v>37070.04</v>
      </c>
      <c r="AF48" s="6">
        <f t="shared" si="8"/>
        <v>0</v>
      </c>
      <c r="AG48" s="6">
        <f t="shared" si="8"/>
        <v>54871.07</v>
      </c>
      <c r="AH48" s="6">
        <f t="shared" si="8"/>
        <v>0</v>
      </c>
      <c r="AI48" s="6">
        <f t="shared" si="6"/>
        <v>907908.12999999989</v>
      </c>
    </row>
    <row r="49" spans="1:35" x14ac:dyDescent="0.25">
      <c r="A49" s="3" t="s">
        <v>77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>
        <f t="shared" si="6"/>
        <v>0</v>
      </c>
    </row>
    <row r="50" spans="1:35" x14ac:dyDescent="0.25">
      <c r="A50" s="3" t="s">
        <v>78</v>
      </c>
      <c r="B50" s="5">
        <f>15777.37</f>
        <v>15777.37</v>
      </c>
      <c r="C50" s="4"/>
      <c r="D50" s="4"/>
      <c r="E50" s="5">
        <f>3389.17</f>
        <v>3389.17</v>
      </c>
      <c r="F50" s="4"/>
      <c r="G50" s="5">
        <f>1062.58</f>
        <v>1062.58</v>
      </c>
      <c r="H50" s="4"/>
      <c r="I50" s="4"/>
      <c r="J50" s="5">
        <f>203.6</f>
        <v>203.6</v>
      </c>
      <c r="K50" s="4"/>
      <c r="L50" s="4"/>
      <c r="M50" s="4"/>
      <c r="N50" s="4"/>
      <c r="O50" s="5">
        <f>126.5</f>
        <v>126.5</v>
      </c>
      <c r="P50" s="5">
        <f>15</f>
        <v>15</v>
      </c>
      <c r="Q50" s="4"/>
      <c r="R50" s="5">
        <f>350.79</f>
        <v>350.79</v>
      </c>
      <c r="S50" s="5">
        <f>379.5</f>
        <v>379.5</v>
      </c>
      <c r="T50" s="4"/>
      <c r="U50" s="4"/>
      <c r="V50" s="5">
        <f>1094.25</f>
        <v>1094.25</v>
      </c>
      <c r="W50" s="4"/>
      <c r="X50" s="5">
        <f>1276.31</f>
        <v>1276.31</v>
      </c>
      <c r="Y50" s="5">
        <f>6383.06</f>
        <v>6383.06</v>
      </c>
      <c r="Z50" s="5">
        <f>1625.13</f>
        <v>1625.13</v>
      </c>
      <c r="AA50" s="5">
        <f>7576</f>
        <v>7576</v>
      </c>
      <c r="AB50" s="4"/>
      <c r="AC50" s="4"/>
      <c r="AD50" s="4"/>
      <c r="AE50" s="5">
        <f>-1569.13</f>
        <v>-1569.13</v>
      </c>
      <c r="AF50" s="4"/>
      <c r="AG50" s="5">
        <f>199.75</f>
        <v>199.75</v>
      </c>
      <c r="AH50" s="4"/>
      <c r="AI50" s="5">
        <f t="shared" si="6"/>
        <v>37889.880000000012</v>
      </c>
    </row>
    <row r="51" spans="1:35" x14ac:dyDescent="0.25">
      <c r="A51" s="3" t="s">
        <v>79</v>
      </c>
      <c r="B51" s="5">
        <f>23550</f>
        <v>23550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>
        <f t="shared" si="6"/>
        <v>23550</v>
      </c>
    </row>
    <row r="52" spans="1:35" x14ac:dyDescent="0.25">
      <c r="A52" s="3" t="s">
        <v>80</v>
      </c>
      <c r="B52" s="5">
        <f>5909.34</f>
        <v>5909.34</v>
      </c>
      <c r="C52" s="4"/>
      <c r="D52" s="4"/>
      <c r="E52" s="4"/>
      <c r="F52" s="4"/>
      <c r="G52" s="5">
        <f>4643.05</f>
        <v>4643.05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>
        <f t="shared" si="6"/>
        <v>10552.39</v>
      </c>
    </row>
    <row r="53" spans="1:35" x14ac:dyDescent="0.25">
      <c r="A53" s="3" t="s">
        <v>81</v>
      </c>
      <c r="B53" s="5">
        <f>2084.35</f>
        <v>2084.35</v>
      </c>
      <c r="C53" s="4"/>
      <c r="D53" s="4"/>
      <c r="E53" s="5">
        <f>2721.12</f>
        <v>2721.12</v>
      </c>
      <c r="F53" s="4"/>
      <c r="G53" s="5">
        <f>8579.85</f>
        <v>8579.85</v>
      </c>
      <c r="H53" s="5">
        <f>20.22</f>
        <v>20.22</v>
      </c>
      <c r="I53" s="5">
        <f>155.67</f>
        <v>155.66999999999999</v>
      </c>
      <c r="J53" s="5">
        <f>311.34</f>
        <v>311.33999999999997</v>
      </c>
      <c r="K53" s="4"/>
      <c r="L53" s="4"/>
      <c r="M53" s="4"/>
      <c r="N53" s="5">
        <f>155.67</f>
        <v>155.66999999999999</v>
      </c>
      <c r="O53" s="4"/>
      <c r="P53" s="4"/>
      <c r="Q53" s="4"/>
      <c r="R53" s="5">
        <f>6091.12</f>
        <v>6091.12</v>
      </c>
      <c r="S53" s="4"/>
      <c r="T53" s="4"/>
      <c r="U53" s="4"/>
      <c r="V53" s="4"/>
      <c r="W53" s="4"/>
      <c r="X53" s="5">
        <f>406.97</f>
        <v>406.97</v>
      </c>
      <c r="Y53" s="5">
        <f>5601.37</f>
        <v>5601.37</v>
      </c>
      <c r="Z53" s="5">
        <f>311.34</f>
        <v>311.33999999999997</v>
      </c>
      <c r="AA53" s="4"/>
      <c r="AB53" s="5">
        <f>2525.01</f>
        <v>2525.0100000000002</v>
      </c>
      <c r="AC53" s="4"/>
      <c r="AD53" s="4"/>
      <c r="AE53" s="5">
        <f>4312.5</f>
        <v>4312.5</v>
      </c>
      <c r="AF53" s="4"/>
      <c r="AG53" s="5">
        <f>541.8</f>
        <v>541.79999999999995</v>
      </c>
      <c r="AH53" s="4"/>
      <c r="AI53" s="5">
        <f t="shared" si="6"/>
        <v>33818.33</v>
      </c>
    </row>
    <row r="54" spans="1:35" x14ac:dyDescent="0.25">
      <c r="A54" s="3" t="s">
        <v>82</v>
      </c>
      <c r="B54" s="6">
        <f t="shared" ref="B54:AH54" si="9">((((B49)+(B50))+(B51))+(B52))+(B53)</f>
        <v>47321.060000000005</v>
      </c>
      <c r="C54" s="6">
        <f t="shared" si="9"/>
        <v>0</v>
      </c>
      <c r="D54" s="6">
        <f t="shared" si="9"/>
        <v>0</v>
      </c>
      <c r="E54" s="6">
        <f t="shared" si="9"/>
        <v>6110.29</v>
      </c>
      <c r="F54" s="6">
        <f t="shared" si="9"/>
        <v>0</v>
      </c>
      <c r="G54" s="6">
        <f t="shared" si="9"/>
        <v>14285.48</v>
      </c>
      <c r="H54" s="6">
        <f t="shared" si="9"/>
        <v>20.22</v>
      </c>
      <c r="I54" s="6">
        <f t="shared" si="9"/>
        <v>155.66999999999999</v>
      </c>
      <c r="J54" s="6">
        <f t="shared" si="9"/>
        <v>514.93999999999994</v>
      </c>
      <c r="K54" s="6">
        <f t="shared" si="9"/>
        <v>0</v>
      </c>
      <c r="L54" s="6">
        <f t="shared" si="9"/>
        <v>0</v>
      </c>
      <c r="M54" s="6">
        <f t="shared" si="9"/>
        <v>0</v>
      </c>
      <c r="N54" s="6">
        <f t="shared" si="9"/>
        <v>155.66999999999999</v>
      </c>
      <c r="O54" s="6">
        <f t="shared" si="9"/>
        <v>126.5</v>
      </c>
      <c r="P54" s="6">
        <f t="shared" si="9"/>
        <v>15</v>
      </c>
      <c r="Q54" s="6">
        <f t="shared" si="9"/>
        <v>0</v>
      </c>
      <c r="R54" s="6">
        <f t="shared" si="9"/>
        <v>6441.91</v>
      </c>
      <c r="S54" s="6">
        <f t="shared" si="9"/>
        <v>379.5</v>
      </c>
      <c r="T54" s="6">
        <f t="shared" si="9"/>
        <v>0</v>
      </c>
      <c r="U54" s="6">
        <f t="shared" si="9"/>
        <v>0</v>
      </c>
      <c r="V54" s="6">
        <f t="shared" si="9"/>
        <v>1094.25</v>
      </c>
      <c r="W54" s="6">
        <f t="shared" si="9"/>
        <v>0</v>
      </c>
      <c r="X54" s="6">
        <f t="shared" si="9"/>
        <v>1683.28</v>
      </c>
      <c r="Y54" s="6">
        <f t="shared" si="9"/>
        <v>11984.43</v>
      </c>
      <c r="Z54" s="6">
        <f t="shared" si="9"/>
        <v>1936.47</v>
      </c>
      <c r="AA54" s="6">
        <f t="shared" si="9"/>
        <v>7576</v>
      </c>
      <c r="AB54" s="6">
        <f t="shared" si="9"/>
        <v>2525.0100000000002</v>
      </c>
      <c r="AC54" s="6">
        <f t="shared" si="9"/>
        <v>0</v>
      </c>
      <c r="AD54" s="6">
        <f t="shared" si="9"/>
        <v>0</v>
      </c>
      <c r="AE54" s="6">
        <f t="shared" si="9"/>
        <v>2743.37</v>
      </c>
      <c r="AF54" s="6">
        <f t="shared" si="9"/>
        <v>0</v>
      </c>
      <c r="AG54" s="6">
        <f t="shared" si="9"/>
        <v>741.55</v>
      </c>
      <c r="AH54" s="6">
        <f t="shared" si="9"/>
        <v>0</v>
      </c>
      <c r="AI54" s="6">
        <f t="shared" si="6"/>
        <v>105810.6</v>
      </c>
    </row>
    <row r="55" spans="1:35" x14ac:dyDescent="0.25">
      <c r="A55" s="3" t="s">
        <v>83</v>
      </c>
      <c r="B55" s="5">
        <f>27881.16</f>
        <v>27881.16</v>
      </c>
      <c r="C55" s="4"/>
      <c r="D55" s="4"/>
      <c r="E55" s="5">
        <f>27258.9</f>
        <v>27258.9</v>
      </c>
      <c r="F55" s="4"/>
      <c r="G55" s="5">
        <f>2173.34</f>
        <v>2173.34</v>
      </c>
      <c r="H55" s="5">
        <f>22388.88</f>
        <v>22388.880000000001</v>
      </c>
      <c r="I55" s="5">
        <f>68118.53</f>
        <v>68118.53</v>
      </c>
      <c r="J55" s="4"/>
      <c r="K55" s="4"/>
      <c r="L55" s="5">
        <f>15000</f>
        <v>15000</v>
      </c>
      <c r="M55" s="4"/>
      <c r="N55" s="4"/>
      <c r="O55" s="4"/>
      <c r="P55" s="5">
        <f>33000</f>
        <v>33000</v>
      </c>
      <c r="Q55" s="4"/>
      <c r="R55" s="5">
        <f>217602.15</f>
        <v>217602.15</v>
      </c>
      <c r="S55" s="4"/>
      <c r="T55" s="4"/>
      <c r="U55" s="4"/>
      <c r="V55" s="5">
        <f>1880</f>
        <v>1880</v>
      </c>
      <c r="W55" s="4"/>
      <c r="X55" s="4"/>
      <c r="Y55" s="4"/>
      <c r="Z55" s="4"/>
      <c r="AA55" s="5">
        <f>2400</f>
        <v>2400</v>
      </c>
      <c r="AB55" s="5">
        <f>326618.41</f>
        <v>326618.40999999997</v>
      </c>
      <c r="AC55" s="4"/>
      <c r="AD55" s="5">
        <f>3696.55</f>
        <v>3696.55</v>
      </c>
      <c r="AE55" s="5">
        <f>20000</f>
        <v>20000</v>
      </c>
      <c r="AF55" s="5">
        <f>156170.19</f>
        <v>156170.19</v>
      </c>
      <c r="AG55" s="5">
        <f>255</f>
        <v>255</v>
      </c>
      <c r="AH55" s="4"/>
      <c r="AI55" s="5">
        <f t="shared" si="6"/>
        <v>924443.10999999987</v>
      </c>
    </row>
    <row r="56" spans="1:35" x14ac:dyDescent="0.25">
      <c r="A56" s="3" t="s">
        <v>84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>
        <f t="shared" si="6"/>
        <v>0</v>
      </c>
    </row>
    <row r="57" spans="1:35" x14ac:dyDescent="0.25">
      <c r="A57" s="3" t="s">
        <v>85</v>
      </c>
      <c r="B57" s="5">
        <f>274.35</f>
        <v>274.35000000000002</v>
      </c>
      <c r="C57" s="4"/>
      <c r="D57" s="4"/>
      <c r="E57" s="4"/>
      <c r="F57" s="4"/>
      <c r="G57" s="5">
        <f>557.01</f>
        <v>557.01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>
        <f t="shared" si="6"/>
        <v>831.36</v>
      </c>
    </row>
    <row r="58" spans="1:35" x14ac:dyDescent="0.25">
      <c r="A58" s="3" t="s">
        <v>86</v>
      </c>
      <c r="B58" s="5">
        <f>1737.45</f>
        <v>1737.45</v>
      </c>
      <c r="C58" s="4"/>
      <c r="D58" s="4"/>
      <c r="E58" s="4"/>
      <c r="F58" s="4"/>
      <c r="G58" s="5">
        <f>3527.55</f>
        <v>3527.55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>
        <f t="shared" si="6"/>
        <v>5265</v>
      </c>
    </row>
    <row r="59" spans="1:35" x14ac:dyDescent="0.25">
      <c r="A59" s="3" t="s">
        <v>87</v>
      </c>
      <c r="B59" s="5">
        <f>1444.86</f>
        <v>1444.86</v>
      </c>
      <c r="C59" s="4"/>
      <c r="D59" s="4"/>
      <c r="E59" s="4"/>
      <c r="F59" s="4"/>
      <c r="G59" s="5">
        <f>3103.5</f>
        <v>3103.5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>
        <f t="shared" si="6"/>
        <v>4548.3599999999997</v>
      </c>
    </row>
    <row r="60" spans="1:35" x14ac:dyDescent="0.25">
      <c r="A60" s="3" t="s">
        <v>88</v>
      </c>
      <c r="B60" s="5">
        <f>31611.63</f>
        <v>31611.63</v>
      </c>
      <c r="C60" s="4"/>
      <c r="D60" s="4"/>
      <c r="E60" s="4"/>
      <c r="F60" s="4"/>
      <c r="G60" s="5">
        <f>208776.71</f>
        <v>208776.71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5">
        <f>2129.9</f>
        <v>2129.9</v>
      </c>
      <c r="AG60" s="4"/>
      <c r="AH60" s="4"/>
      <c r="AI60" s="5">
        <f t="shared" si="6"/>
        <v>242518.24</v>
      </c>
    </row>
    <row r="61" spans="1:35" x14ac:dyDescent="0.25">
      <c r="A61" s="3" t="s">
        <v>89</v>
      </c>
      <c r="B61" s="4"/>
      <c r="C61" s="4"/>
      <c r="D61" s="4"/>
      <c r="E61" s="5">
        <f>14000</f>
        <v>14000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5">
        <f>700</f>
        <v>700</v>
      </c>
      <c r="Q61" s="4"/>
      <c r="R61" s="4"/>
      <c r="S61" s="4"/>
      <c r="T61" s="4"/>
      <c r="U61" s="4"/>
      <c r="V61" s="4"/>
      <c r="W61" s="4"/>
      <c r="X61" s="4"/>
      <c r="Y61" s="5">
        <f>40000</f>
        <v>40000</v>
      </c>
      <c r="Z61" s="4"/>
      <c r="AA61" s="4"/>
      <c r="AB61" s="5">
        <f>7000</f>
        <v>7000</v>
      </c>
      <c r="AC61" s="4"/>
      <c r="AD61" s="4"/>
      <c r="AE61" s="4"/>
      <c r="AF61" s="4"/>
      <c r="AG61" s="4"/>
      <c r="AH61" s="4"/>
      <c r="AI61" s="5">
        <f t="shared" si="6"/>
        <v>61700</v>
      </c>
    </row>
    <row r="62" spans="1:35" x14ac:dyDescent="0.25">
      <c r="A62" s="3" t="s">
        <v>90</v>
      </c>
      <c r="B62" s="5">
        <f>11270.08</f>
        <v>11270.08</v>
      </c>
      <c r="C62" s="4"/>
      <c r="D62" s="4"/>
      <c r="E62" s="4"/>
      <c r="F62" s="4"/>
      <c r="G62" s="5">
        <f>22902.3</f>
        <v>22902.3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5">
        <f t="shared" si="6"/>
        <v>34172.379999999997</v>
      </c>
    </row>
    <row r="63" spans="1:35" x14ac:dyDescent="0.25">
      <c r="A63" s="3" t="s">
        <v>91</v>
      </c>
      <c r="B63" s="5">
        <f>5109.25</f>
        <v>5109.25</v>
      </c>
      <c r="C63" s="4"/>
      <c r="D63" s="5">
        <f>1400</f>
        <v>1400</v>
      </c>
      <c r="E63" s="5">
        <f>2839.72</f>
        <v>2839.72</v>
      </c>
      <c r="F63" s="4"/>
      <c r="G63" s="5">
        <f>859.02</f>
        <v>859.02</v>
      </c>
      <c r="H63" s="4"/>
      <c r="I63" s="4"/>
      <c r="J63" s="5">
        <f>2239.04</f>
        <v>2239.04</v>
      </c>
      <c r="K63" s="4"/>
      <c r="L63" s="4"/>
      <c r="M63" s="4"/>
      <c r="N63" s="4"/>
      <c r="O63" s="4"/>
      <c r="P63" s="5">
        <f>149.02</f>
        <v>149.02000000000001</v>
      </c>
      <c r="Q63" s="4"/>
      <c r="R63" s="5">
        <f>298.04</f>
        <v>298.04000000000002</v>
      </c>
      <c r="S63" s="4"/>
      <c r="T63" s="4"/>
      <c r="U63" s="4"/>
      <c r="V63" s="5">
        <f>75</f>
        <v>75</v>
      </c>
      <c r="W63" s="4"/>
      <c r="X63" s="5">
        <f>560.85</f>
        <v>560.85</v>
      </c>
      <c r="Y63" s="5">
        <f>1365.7</f>
        <v>1365.7</v>
      </c>
      <c r="Z63" s="5">
        <f>224.72</f>
        <v>224.72</v>
      </c>
      <c r="AA63" s="4"/>
      <c r="AB63" s="5">
        <f>559.42</f>
        <v>559.41999999999996</v>
      </c>
      <c r="AC63" s="5">
        <f>1694.8</f>
        <v>1694.8</v>
      </c>
      <c r="AD63" s="4"/>
      <c r="AE63" s="5">
        <f>261.38</f>
        <v>261.38</v>
      </c>
      <c r="AF63" s="4"/>
      <c r="AG63" s="5">
        <f>522.76</f>
        <v>522.76</v>
      </c>
      <c r="AH63" s="4"/>
      <c r="AI63" s="5">
        <f t="shared" si="6"/>
        <v>18158.72</v>
      </c>
    </row>
    <row r="64" spans="1:35" x14ac:dyDescent="0.25">
      <c r="A64" s="3" t="s">
        <v>92</v>
      </c>
      <c r="B64" s="4"/>
      <c r="C64" s="4"/>
      <c r="D64" s="4"/>
      <c r="E64" s="4"/>
      <c r="F64" s="4"/>
      <c r="G64" s="5">
        <f>327.19</f>
        <v>327.19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5">
        <f t="shared" ref="AI64:AI95" si="10">((((((((((((((((((((((((((((((((B64)+(C64))+(D64))+(E64))+(F64))+(G64))+(H64))+(I64))+(J64))+(K64))+(L64))+(M64))+(N64))+(O64))+(P64))+(Q64))+(R64))+(S64))+(T64))+(U64))+(V64))+(W64))+(X64))+(Y64))+(Z64))+(AA64))+(AB64))+(AC64))+(AD64))+(AE64))+(AF64))+(AG64))+(AH64)</f>
        <v>327.19</v>
      </c>
    </row>
    <row r="65" spans="1:35" x14ac:dyDescent="0.25">
      <c r="A65" s="3" t="s">
        <v>93</v>
      </c>
      <c r="B65" s="5">
        <f>6276.71</f>
        <v>6276.71</v>
      </c>
      <c r="C65" s="4"/>
      <c r="D65" s="4"/>
      <c r="E65" s="4"/>
      <c r="F65" s="4"/>
      <c r="G65" s="5">
        <f>4744.66</f>
        <v>4744.66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5">
        <f>1226</f>
        <v>1226</v>
      </c>
      <c r="Y65" s="4"/>
      <c r="Z65" s="4"/>
      <c r="AA65" s="4"/>
      <c r="AB65" s="5">
        <f>2357.19</f>
        <v>2357.19</v>
      </c>
      <c r="AC65" s="4"/>
      <c r="AD65" s="4"/>
      <c r="AE65" s="5">
        <f>8017.68</f>
        <v>8017.68</v>
      </c>
      <c r="AF65" s="4"/>
      <c r="AG65" s="5">
        <f>9468.64</f>
        <v>9468.64</v>
      </c>
      <c r="AH65" s="4"/>
      <c r="AI65" s="5">
        <f t="shared" si="10"/>
        <v>32090.879999999997</v>
      </c>
    </row>
    <row r="66" spans="1:35" x14ac:dyDescent="0.25">
      <c r="A66" s="3" t="s">
        <v>94</v>
      </c>
      <c r="B66" s="6">
        <f t="shared" ref="B66:AH66" si="11">(((((((((B56)+(B57))+(B58))+(B59))+(B60))+(B61))+(B62))+(B63))+(B64))+(B65)</f>
        <v>57724.33</v>
      </c>
      <c r="C66" s="6">
        <f t="shared" si="11"/>
        <v>0</v>
      </c>
      <c r="D66" s="6">
        <f t="shared" si="11"/>
        <v>1400</v>
      </c>
      <c r="E66" s="6">
        <f t="shared" si="11"/>
        <v>16839.72</v>
      </c>
      <c r="F66" s="6">
        <f t="shared" si="11"/>
        <v>0</v>
      </c>
      <c r="G66" s="6">
        <f t="shared" si="11"/>
        <v>244797.93999999997</v>
      </c>
      <c r="H66" s="6">
        <f t="shared" si="11"/>
        <v>0</v>
      </c>
      <c r="I66" s="6">
        <f t="shared" si="11"/>
        <v>0</v>
      </c>
      <c r="J66" s="6">
        <f t="shared" si="11"/>
        <v>2239.04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0</v>
      </c>
      <c r="P66" s="6">
        <f t="shared" si="11"/>
        <v>849.02</v>
      </c>
      <c r="Q66" s="6">
        <f t="shared" si="11"/>
        <v>0</v>
      </c>
      <c r="R66" s="6">
        <f t="shared" si="11"/>
        <v>298.04000000000002</v>
      </c>
      <c r="S66" s="6">
        <f t="shared" si="11"/>
        <v>0</v>
      </c>
      <c r="T66" s="6">
        <f t="shared" si="11"/>
        <v>0</v>
      </c>
      <c r="U66" s="6">
        <f t="shared" si="11"/>
        <v>0</v>
      </c>
      <c r="V66" s="6">
        <f t="shared" si="11"/>
        <v>75</v>
      </c>
      <c r="W66" s="6">
        <f t="shared" si="11"/>
        <v>0</v>
      </c>
      <c r="X66" s="6">
        <f t="shared" si="11"/>
        <v>1786.85</v>
      </c>
      <c r="Y66" s="6">
        <f t="shared" si="11"/>
        <v>41365.699999999997</v>
      </c>
      <c r="Z66" s="6">
        <f t="shared" si="11"/>
        <v>224.72</v>
      </c>
      <c r="AA66" s="6">
        <f t="shared" si="11"/>
        <v>0</v>
      </c>
      <c r="AB66" s="6">
        <f t="shared" si="11"/>
        <v>9916.61</v>
      </c>
      <c r="AC66" s="6">
        <f t="shared" si="11"/>
        <v>1694.8</v>
      </c>
      <c r="AD66" s="6">
        <f t="shared" si="11"/>
        <v>0</v>
      </c>
      <c r="AE66" s="6">
        <f t="shared" si="11"/>
        <v>8279.06</v>
      </c>
      <c r="AF66" s="6">
        <f t="shared" si="11"/>
        <v>2129.9</v>
      </c>
      <c r="AG66" s="6">
        <f t="shared" si="11"/>
        <v>9991.4</v>
      </c>
      <c r="AH66" s="6">
        <f t="shared" si="11"/>
        <v>0</v>
      </c>
      <c r="AI66" s="6">
        <f t="shared" si="10"/>
        <v>399612.12999999995</v>
      </c>
    </row>
    <row r="67" spans="1:35" x14ac:dyDescent="0.25">
      <c r="A67" s="3" t="s">
        <v>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5">
        <f t="shared" si="10"/>
        <v>0</v>
      </c>
    </row>
    <row r="68" spans="1:35" x14ac:dyDescent="0.25">
      <c r="A68" s="3" t="s">
        <v>96</v>
      </c>
      <c r="B68" s="5">
        <f>31985.6</f>
        <v>31985.599999999999</v>
      </c>
      <c r="C68" s="4"/>
      <c r="D68" s="4"/>
      <c r="E68" s="4"/>
      <c r="F68" s="4"/>
      <c r="G68" s="5">
        <f>12046.08</f>
        <v>12046.08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5">
        <f t="shared" si="10"/>
        <v>44031.68</v>
      </c>
    </row>
    <row r="69" spans="1:35" x14ac:dyDescent="0.25">
      <c r="A69" s="3" t="s">
        <v>97</v>
      </c>
      <c r="B69" s="5">
        <f>9110</f>
        <v>9110</v>
      </c>
      <c r="C69" s="4"/>
      <c r="D69" s="4"/>
      <c r="E69" s="4"/>
      <c r="F69" s="4"/>
      <c r="G69" s="5">
        <f>9110</f>
        <v>9110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5">
        <f t="shared" si="10"/>
        <v>18220</v>
      </c>
    </row>
    <row r="70" spans="1:35" x14ac:dyDescent="0.25">
      <c r="A70" s="3" t="s">
        <v>98</v>
      </c>
      <c r="B70" s="5">
        <f>3427.28</f>
        <v>3427.28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5">
        <f t="shared" si="10"/>
        <v>3427.28</v>
      </c>
    </row>
    <row r="71" spans="1:35" x14ac:dyDescent="0.25">
      <c r="A71" s="3" t="s">
        <v>99</v>
      </c>
      <c r="B71" s="6">
        <f t="shared" ref="B71:AH71" si="12">(((B67)+(B68))+(B69))+(B70)</f>
        <v>44522.879999999997</v>
      </c>
      <c r="C71" s="6">
        <f t="shared" si="12"/>
        <v>0</v>
      </c>
      <c r="D71" s="6">
        <f t="shared" si="12"/>
        <v>0</v>
      </c>
      <c r="E71" s="6">
        <f t="shared" si="12"/>
        <v>0</v>
      </c>
      <c r="F71" s="6">
        <f t="shared" si="12"/>
        <v>0</v>
      </c>
      <c r="G71" s="6">
        <f t="shared" si="12"/>
        <v>21156.080000000002</v>
      </c>
      <c r="H71" s="6">
        <f t="shared" si="12"/>
        <v>0</v>
      </c>
      <c r="I71" s="6">
        <f t="shared" si="12"/>
        <v>0</v>
      </c>
      <c r="J71" s="6">
        <f t="shared" si="12"/>
        <v>0</v>
      </c>
      <c r="K71" s="6">
        <f t="shared" si="12"/>
        <v>0</v>
      </c>
      <c r="L71" s="6">
        <f t="shared" si="12"/>
        <v>0</v>
      </c>
      <c r="M71" s="6">
        <f t="shared" si="12"/>
        <v>0</v>
      </c>
      <c r="N71" s="6">
        <f t="shared" si="12"/>
        <v>0</v>
      </c>
      <c r="O71" s="6">
        <f t="shared" si="12"/>
        <v>0</v>
      </c>
      <c r="P71" s="6">
        <f t="shared" si="12"/>
        <v>0</v>
      </c>
      <c r="Q71" s="6">
        <f t="shared" si="12"/>
        <v>0</v>
      </c>
      <c r="R71" s="6">
        <f t="shared" si="12"/>
        <v>0</v>
      </c>
      <c r="S71" s="6">
        <f t="shared" si="12"/>
        <v>0</v>
      </c>
      <c r="T71" s="6">
        <f t="shared" si="12"/>
        <v>0</v>
      </c>
      <c r="U71" s="6">
        <f t="shared" si="12"/>
        <v>0</v>
      </c>
      <c r="V71" s="6">
        <f t="shared" si="12"/>
        <v>0</v>
      </c>
      <c r="W71" s="6">
        <f t="shared" si="12"/>
        <v>0</v>
      </c>
      <c r="X71" s="6">
        <f t="shared" si="12"/>
        <v>0</v>
      </c>
      <c r="Y71" s="6">
        <f t="shared" si="12"/>
        <v>0</v>
      </c>
      <c r="Z71" s="6">
        <f t="shared" si="12"/>
        <v>0</v>
      </c>
      <c r="AA71" s="6">
        <f t="shared" si="12"/>
        <v>0</v>
      </c>
      <c r="AB71" s="6">
        <f t="shared" si="12"/>
        <v>0</v>
      </c>
      <c r="AC71" s="6">
        <f t="shared" si="12"/>
        <v>0</v>
      </c>
      <c r="AD71" s="6">
        <f t="shared" si="12"/>
        <v>0</v>
      </c>
      <c r="AE71" s="6">
        <f t="shared" si="12"/>
        <v>0</v>
      </c>
      <c r="AF71" s="6">
        <f t="shared" si="12"/>
        <v>0</v>
      </c>
      <c r="AG71" s="6">
        <f t="shared" si="12"/>
        <v>0</v>
      </c>
      <c r="AH71" s="6">
        <f t="shared" si="12"/>
        <v>0</v>
      </c>
      <c r="AI71" s="6">
        <f t="shared" si="10"/>
        <v>65678.959999999992</v>
      </c>
    </row>
    <row r="72" spans="1:35" x14ac:dyDescent="0.25">
      <c r="A72" s="3" t="s">
        <v>100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5">
        <f t="shared" si="10"/>
        <v>0</v>
      </c>
    </row>
    <row r="73" spans="1:35" x14ac:dyDescent="0.25">
      <c r="A73" s="3" t="s">
        <v>101</v>
      </c>
      <c r="B73" s="5">
        <f>546.76</f>
        <v>546.76</v>
      </c>
      <c r="C73" s="4"/>
      <c r="D73" s="4"/>
      <c r="E73" s="4"/>
      <c r="F73" s="4"/>
      <c r="G73" s="5">
        <f>343.9</f>
        <v>343.9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5">
        <f>82.31</f>
        <v>82.31</v>
      </c>
      <c r="Y73" s="5">
        <f>120.52</f>
        <v>120.52</v>
      </c>
      <c r="Z73" s="4"/>
      <c r="AA73" s="4"/>
      <c r="AB73" s="4"/>
      <c r="AC73" s="4"/>
      <c r="AD73" s="4"/>
      <c r="AE73" s="4"/>
      <c r="AF73" s="4"/>
      <c r="AG73" s="4"/>
      <c r="AH73" s="4"/>
      <c r="AI73" s="5">
        <f t="shared" si="10"/>
        <v>1093.49</v>
      </c>
    </row>
    <row r="74" spans="1:35" x14ac:dyDescent="0.25">
      <c r="A74" s="3" t="s">
        <v>102</v>
      </c>
      <c r="B74" s="5">
        <f>541.1</f>
        <v>541.1</v>
      </c>
      <c r="C74" s="4"/>
      <c r="D74" s="4"/>
      <c r="E74" s="4"/>
      <c r="F74" s="4"/>
      <c r="G74" s="5">
        <f>270</f>
        <v>270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5">
        <f>31.45</f>
        <v>31.45</v>
      </c>
      <c r="S74" s="4"/>
      <c r="T74" s="4"/>
      <c r="U74" s="4"/>
      <c r="V74" s="4"/>
      <c r="W74" s="4"/>
      <c r="X74" s="5">
        <f>0</f>
        <v>0</v>
      </c>
      <c r="Y74" s="5">
        <f>180</f>
        <v>180</v>
      </c>
      <c r="Z74" s="4"/>
      <c r="AA74" s="4"/>
      <c r="AB74" s="4"/>
      <c r="AC74" s="4"/>
      <c r="AD74" s="4"/>
      <c r="AE74" s="4"/>
      <c r="AF74" s="4"/>
      <c r="AG74" s="4"/>
      <c r="AH74" s="4"/>
      <c r="AI74" s="5">
        <f t="shared" si="10"/>
        <v>1022.5500000000001</v>
      </c>
    </row>
    <row r="75" spans="1:35" x14ac:dyDescent="0.25">
      <c r="A75" s="3" t="s">
        <v>103</v>
      </c>
      <c r="B75" s="5">
        <f>4701.12</f>
        <v>4701.12</v>
      </c>
      <c r="C75" s="4"/>
      <c r="D75" s="4"/>
      <c r="E75" s="5">
        <f>3394.27</f>
        <v>3394.27</v>
      </c>
      <c r="F75" s="4"/>
      <c r="G75" s="5">
        <f>3779.23</f>
        <v>3779.23</v>
      </c>
      <c r="H75" s="5">
        <f>18.18</f>
        <v>18.18</v>
      </c>
      <c r="I75" s="4"/>
      <c r="J75" s="4"/>
      <c r="K75" s="4"/>
      <c r="L75" s="4"/>
      <c r="M75" s="4"/>
      <c r="N75" s="4"/>
      <c r="O75" s="4"/>
      <c r="P75" s="5">
        <f>118.7</f>
        <v>118.7</v>
      </c>
      <c r="Q75" s="4"/>
      <c r="R75" s="5">
        <f>286.17</f>
        <v>286.17</v>
      </c>
      <c r="S75" s="4"/>
      <c r="T75" s="4"/>
      <c r="U75" s="4"/>
      <c r="V75" s="4"/>
      <c r="W75" s="4"/>
      <c r="X75" s="5">
        <f>599.23</f>
        <v>599.23</v>
      </c>
      <c r="Y75" s="5">
        <f>2636.43</f>
        <v>2636.43</v>
      </c>
      <c r="Z75" s="5">
        <f>589.3</f>
        <v>589.29999999999995</v>
      </c>
      <c r="AA75" s="4"/>
      <c r="AB75" s="5">
        <f>941.55</f>
        <v>941.55</v>
      </c>
      <c r="AC75" s="4"/>
      <c r="AD75" s="4"/>
      <c r="AE75" s="5">
        <f>177.58</f>
        <v>177.58</v>
      </c>
      <c r="AF75" s="4"/>
      <c r="AG75" s="5">
        <f>270.87</f>
        <v>270.87</v>
      </c>
      <c r="AH75" s="4"/>
      <c r="AI75" s="5">
        <f t="shared" si="10"/>
        <v>17512.63</v>
      </c>
    </row>
    <row r="76" spans="1:35" x14ac:dyDescent="0.25">
      <c r="A76" s="3" t="s">
        <v>104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5">
        <f>1700</f>
        <v>1700</v>
      </c>
      <c r="AF76" s="4"/>
      <c r="AG76" s="4"/>
      <c r="AH76" s="4"/>
      <c r="AI76" s="5">
        <f t="shared" si="10"/>
        <v>1700</v>
      </c>
    </row>
    <row r="77" spans="1:35" x14ac:dyDescent="0.25">
      <c r="A77" s="3" t="s">
        <v>105</v>
      </c>
      <c r="B77" s="5">
        <f>1238.12</f>
        <v>1238.1199999999999</v>
      </c>
      <c r="C77" s="4"/>
      <c r="D77" s="4"/>
      <c r="E77" s="5">
        <f>168.22</f>
        <v>168.22</v>
      </c>
      <c r="F77" s="4"/>
      <c r="G77" s="5">
        <f>837.22</f>
        <v>837.22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5">
        <f>1172.3</f>
        <v>1172.3</v>
      </c>
      <c r="Y77" s="5">
        <f>765.6</f>
        <v>765.6</v>
      </c>
      <c r="Z77" s="5">
        <f>569.43</f>
        <v>569.42999999999995</v>
      </c>
      <c r="AA77" s="4"/>
      <c r="AB77" s="5">
        <f>168.22</f>
        <v>168.22</v>
      </c>
      <c r="AC77" s="4"/>
      <c r="AD77" s="4"/>
      <c r="AE77" s="5">
        <f>168.22</f>
        <v>168.22</v>
      </c>
      <c r="AF77" s="4"/>
      <c r="AG77" s="5">
        <f>168.21</f>
        <v>168.21</v>
      </c>
      <c r="AH77" s="4"/>
      <c r="AI77" s="5">
        <f t="shared" si="10"/>
        <v>5255.5400000000009</v>
      </c>
    </row>
    <row r="78" spans="1:35" x14ac:dyDescent="0.25">
      <c r="A78" s="3" t="s">
        <v>106</v>
      </c>
      <c r="B78" s="5">
        <f>14605.1</f>
        <v>14605.1</v>
      </c>
      <c r="C78" s="4"/>
      <c r="D78" s="4"/>
      <c r="E78" s="5">
        <f>10157.6</f>
        <v>10157.6</v>
      </c>
      <c r="F78" s="4"/>
      <c r="G78" s="5">
        <f>341.55</f>
        <v>341.55</v>
      </c>
      <c r="H78" s="5">
        <f>1416.94</f>
        <v>1416.94</v>
      </c>
      <c r="I78" s="4"/>
      <c r="J78" s="4"/>
      <c r="K78" s="4"/>
      <c r="L78" s="4"/>
      <c r="M78" s="5">
        <f>3698.01</f>
        <v>3698.01</v>
      </c>
      <c r="N78" s="4"/>
      <c r="O78" s="4"/>
      <c r="P78" s="5">
        <f>1870.89</f>
        <v>1870.89</v>
      </c>
      <c r="Q78" s="4"/>
      <c r="R78" s="4"/>
      <c r="S78" s="4"/>
      <c r="T78" s="4"/>
      <c r="U78" s="4"/>
      <c r="V78" s="4"/>
      <c r="W78" s="4"/>
      <c r="X78" s="4"/>
      <c r="Y78" s="4"/>
      <c r="Z78" s="4"/>
      <c r="AA78" s="5">
        <f>6378.88</f>
        <v>6378.88</v>
      </c>
      <c r="AB78" s="4"/>
      <c r="AC78" s="4"/>
      <c r="AD78" s="4"/>
      <c r="AE78" s="4"/>
      <c r="AF78" s="5">
        <f>-502.54</f>
        <v>-502.54</v>
      </c>
      <c r="AG78" s="5">
        <f>-176.59</f>
        <v>-176.59</v>
      </c>
      <c r="AH78" s="4"/>
      <c r="AI78" s="5">
        <f t="shared" si="10"/>
        <v>37789.839999999997</v>
      </c>
    </row>
    <row r="79" spans="1:35" x14ac:dyDescent="0.25">
      <c r="A79" s="3" t="s">
        <v>107</v>
      </c>
      <c r="B79" s="5">
        <f>62427.84</f>
        <v>62427.839999999997</v>
      </c>
      <c r="C79" s="4"/>
      <c r="D79" s="5">
        <f>3495.96</f>
        <v>3495.96</v>
      </c>
      <c r="E79" s="5">
        <f>10637.47</f>
        <v>10637.47</v>
      </c>
      <c r="F79" s="4"/>
      <c r="G79" s="5">
        <f>29437.03</f>
        <v>29437.03</v>
      </c>
      <c r="H79" s="5">
        <f>1346.05</f>
        <v>1346.05</v>
      </c>
      <c r="I79" s="5">
        <f>319.8</f>
        <v>319.8</v>
      </c>
      <c r="J79" s="5">
        <f>470.14</f>
        <v>470.14</v>
      </c>
      <c r="K79" s="4"/>
      <c r="L79" s="5">
        <f>58.84</f>
        <v>58.84</v>
      </c>
      <c r="M79" s="5">
        <f>1609.25</f>
        <v>1609.25</v>
      </c>
      <c r="N79" s="4"/>
      <c r="O79" s="4"/>
      <c r="P79" s="5">
        <f>1022.69</f>
        <v>1022.69</v>
      </c>
      <c r="Q79" s="4"/>
      <c r="R79" s="5">
        <f>640945.76</f>
        <v>640945.76</v>
      </c>
      <c r="S79" s="4"/>
      <c r="T79" s="4"/>
      <c r="U79" s="4"/>
      <c r="V79" s="5">
        <f>3439.48</f>
        <v>3439.48</v>
      </c>
      <c r="W79" s="4"/>
      <c r="X79" s="5">
        <f>8396.54</f>
        <v>8396.5400000000009</v>
      </c>
      <c r="Y79" s="5">
        <f>11433.4</f>
        <v>11433.4</v>
      </c>
      <c r="Z79" s="5">
        <f>13488.76</f>
        <v>13488.76</v>
      </c>
      <c r="AA79" s="5">
        <f>7988.81</f>
        <v>7988.81</v>
      </c>
      <c r="AB79" s="5">
        <f>14396.51</f>
        <v>14396.51</v>
      </c>
      <c r="AC79" s="4"/>
      <c r="AD79" s="4"/>
      <c r="AE79" s="5">
        <f>14548.23</f>
        <v>14548.23</v>
      </c>
      <c r="AF79" s="5">
        <f>1085.06</f>
        <v>1085.06</v>
      </c>
      <c r="AG79" s="5">
        <f>37797.46</f>
        <v>37797.46</v>
      </c>
      <c r="AH79" s="4"/>
      <c r="AI79" s="5">
        <f t="shared" si="10"/>
        <v>864345.08000000019</v>
      </c>
    </row>
    <row r="80" spans="1:35" x14ac:dyDescent="0.25">
      <c r="A80" s="3" t="s">
        <v>108</v>
      </c>
      <c r="B80" s="5">
        <f>1952.56</f>
        <v>1952.56</v>
      </c>
      <c r="C80" s="4"/>
      <c r="D80" s="4"/>
      <c r="E80" s="4"/>
      <c r="F80" s="4"/>
      <c r="G80" s="5">
        <f>2555.15</f>
        <v>2555.15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5">
        <f t="shared" si="10"/>
        <v>4507.71</v>
      </c>
    </row>
    <row r="81" spans="1:35" x14ac:dyDescent="0.25">
      <c r="A81" s="3" t="s">
        <v>109</v>
      </c>
      <c r="B81" s="6">
        <f t="shared" ref="B81:AH81" si="13">((((((((B72)+(B73))+(B74))+(B75))+(B76))+(B77))+(B78))+(B79))+(B80)</f>
        <v>86012.599999999991</v>
      </c>
      <c r="C81" s="6">
        <f t="shared" si="13"/>
        <v>0</v>
      </c>
      <c r="D81" s="6">
        <f t="shared" si="13"/>
        <v>3495.96</v>
      </c>
      <c r="E81" s="6">
        <f t="shared" si="13"/>
        <v>24357.559999999998</v>
      </c>
      <c r="F81" s="6">
        <f t="shared" si="13"/>
        <v>0</v>
      </c>
      <c r="G81" s="6">
        <f t="shared" si="13"/>
        <v>37564.080000000002</v>
      </c>
      <c r="H81" s="6">
        <f t="shared" si="13"/>
        <v>2781.17</v>
      </c>
      <c r="I81" s="6">
        <f t="shared" si="13"/>
        <v>319.8</v>
      </c>
      <c r="J81" s="6">
        <f t="shared" si="13"/>
        <v>470.14</v>
      </c>
      <c r="K81" s="6">
        <f t="shared" si="13"/>
        <v>0</v>
      </c>
      <c r="L81" s="6">
        <f t="shared" si="13"/>
        <v>58.84</v>
      </c>
      <c r="M81" s="6">
        <f t="shared" si="13"/>
        <v>5307.26</v>
      </c>
      <c r="N81" s="6">
        <f t="shared" si="13"/>
        <v>0</v>
      </c>
      <c r="O81" s="6">
        <f t="shared" si="13"/>
        <v>0</v>
      </c>
      <c r="P81" s="6">
        <f t="shared" si="13"/>
        <v>3012.28</v>
      </c>
      <c r="Q81" s="6">
        <f t="shared" si="13"/>
        <v>0</v>
      </c>
      <c r="R81" s="6">
        <f t="shared" si="13"/>
        <v>641263.38</v>
      </c>
      <c r="S81" s="6">
        <f t="shared" si="13"/>
        <v>0</v>
      </c>
      <c r="T81" s="6">
        <f t="shared" si="13"/>
        <v>0</v>
      </c>
      <c r="U81" s="6">
        <f t="shared" si="13"/>
        <v>0</v>
      </c>
      <c r="V81" s="6">
        <f t="shared" si="13"/>
        <v>3439.48</v>
      </c>
      <c r="W81" s="6">
        <f t="shared" si="13"/>
        <v>0</v>
      </c>
      <c r="X81" s="6">
        <f t="shared" si="13"/>
        <v>10250.380000000001</v>
      </c>
      <c r="Y81" s="6">
        <f t="shared" si="13"/>
        <v>15135.949999999999</v>
      </c>
      <c r="Z81" s="6">
        <f t="shared" si="13"/>
        <v>14647.49</v>
      </c>
      <c r="AA81" s="6">
        <f t="shared" si="13"/>
        <v>14367.69</v>
      </c>
      <c r="AB81" s="6">
        <f t="shared" si="13"/>
        <v>15506.28</v>
      </c>
      <c r="AC81" s="6">
        <f t="shared" si="13"/>
        <v>0</v>
      </c>
      <c r="AD81" s="6">
        <f t="shared" si="13"/>
        <v>0</v>
      </c>
      <c r="AE81" s="6">
        <f t="shared" si="13"/>
        <v>16594.03</v>
      </c>
      <c r="AF81" s="6">
        <f t="shared" si="13"/>
        <v>582.52</v>
      </c>
      <c r="AG81" s="6">
        <f t="shared" si="13"/>
        <v>38059.949999999997</v>
      </c>
      <c r="AH81" s="6">
        <f t="shared" si="13"/>
        <v>0</v>
      </c>
      <c r="AI81" s="6">
        <f t="shared" si="10"/>
        <v>933226.84</v>
      </c>
    </row>
    <row r="82" spans="1:35" x14ac:dyDescent="0.25">
      <c r="A82" s="3" t="s">
        <v>110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5">
        <f t="shared" si="10"/>
        <v>0</v>
      </c>
    </row>
    <row r="83" spans="1:35" x14ac:dyDescent="0.25">
      <c r="A83" s="3" t="s">
        <v>111</v>
      </c>
      <c r="B83" s="5">
        <f>80</f>
        <v>80</v>
      </c>
      <c r="C83" s="4"/>
      <c r="D83" s="4"/>
      <c r="E83" s="5">
        <f>45194.63</f>
        <v>45194.63</v>
      </c>
      <c r="F83" s="4"/>
      <c r="G83" s="5">
        <f>299.99</f>
        <v>299.99</v>
      </c>
      <c r="H83" s="5">
        <f>200</f>
        <v>200</v>
      </c>
      <c r="I83" s="4"/>
      <c r="J83" s="4"/>
      <c r="K83" s="4"/>
      <c r="L83" s="4"/>
      <c r="M83" s="5">
        <f>94920</f>
        <v>94920</v>
      </c>
      <c r="N83" s="4"/>
      <c r="O83" s="5">
        <f>136364.22</f>
        <v>136364.22</v>
      </c>
      <c r="P83" s="5">
        <f>9200</f>
        <v>9200</v>
      </c>
      <c r="Q83" s="4"/>
      <c r="R83" s="5">
        <f>81694.56</f>
        <v>81694.559999999998</v>
      </c>
      <c r="S83" s="4"/>
      <c r="T83" s="4"/>
      <c r="U83" s="4"/>
      <c r="V83" s="5">
        <f>4980</f>
        <v>4980</v>
      </c>
      <c r="W83" s="4"/>
      <c r="X83" s="5">
        <f>30662.5</f>
        <v>30662.5</v>
      </c>
      <c r="Y83" s="5">
        <f>7430</f>
        <v>7430</v>
      </c>
      <c r="Z83" s="4"/>
      <c r="AA83" s="4"/>
      <c r="AB83" s="5">
        <f>12250.48</f>
        <v>12250.48</v>
      </c>
      <c r="AC83" s="4"/>
      <c r="AD83" s="4"/>
      <c r="AE83" s="5">
        <f>109786.36</f>
        <v>109786.36</v>
      </c>
      <c r="AF83" s="5">
        <f>36650</f>
        <v>36650</v>
      </c>
      <c r="AG83" s="5">
        <f>342239.66</f>
        <v>342239.66</v>
      </c>
      <c r="AH83" s="4"/>
      <c r="AI83" s="5">
        <f t="shared" si="10"/>
        <v>911952.39999999991</v>
      </c>
    </row>
    <row r="84" spans="1:35" x14ac:dyDescent="0.25">
      <c r="A84" s="3" t="s">
        <v>112</v>
      </c>
      <c r="B84" s="5">
        <f>3283</f>
        <v>3283</v>
      </c>
      <c r="C84" s="4"/>
      <c r="D84" s="4"/>
      <c r="E84" s="5">
        <f>4626</f>
        <v>4626</v>
      </c>
      <c r="F84" s="4"/>
      <c r="G84" s="5">
        <f>6299</f>
        <v>6299</v>
      </c>
      <c r="H84" s="5">
        <f>8344.25</f>
        <v>8344.25</v>
      </c>
      <c r="I84" s="4"/>
      <c r="J84" s="4"/>
      <c r="K84" s="4"/>
      <c r="L84" s="4"/>
      <c r="M84" s="5">
        <f>825</f>
        <v>825</v>
      </c>
      <c r="N84" s="4"/>
      <c r="O84" s="4"/>
      <c r="P84" s="5">
        <f>4825</f>
        <v>4825</v>
      </c>
      <c r="Q84" s="4"/>
      <c r="R84" s="5">
        <f>26553.71</f>
        <v>26553.71</v>
      </c>
      <c r="S84" s="4"/>
      <c r="T84" s="4"/>
      <c r="U84" s="4"/>
      <c r="V84" s="4"/>
      <c r="W84" s="4"/>
      <c r="X84" s="5">
        <f>1158</f>
        <v>1158</v>
      </c>
      <c r="Y84" s="5">
        <f>15653</f>
        <v>15653</v>
      </c>
      <c r="Z84" s="5">
        <f>733.64</f>
        <v>733.64</v>
      </c>
      <c r="AA84" s="4"/>
      <c r="AB84" s="5">
        <f>7461.97</f>
        <v>7461.97</v>
      </c>
      <c r="AC84" s="4"/>
      <c r="AD84" s="4"/>
      <c r="AE84" s="5">
        <f>12981.8</f>
        <v>12981.8</v>
      </c>
      <c r="AF84" s="5">
        <f>28908.2</f>
        <v>28908.2</v>
      </c>
      <c r="AG84" s="5">
        <f>10884</f>
        <v>10884</v>
      </c>
      <c r="AH84" s="4"/>
      <c r="AI84" s="5">
        <f t="shared" si="10"/>
        <v>132536.57</v>
      </c>
    </row>
    <row r="85" spans="1:35" x14ac:dyDescent="0.25">
      <c r="A85" s="3" t="s">
        <v>113</v>
      </c>
      <c r="B85" s="5">
        <f>6216.76</f>
        <v>6216.76</v>
      </c>
      <c r="C85" s="4"/>
      <c r="D85" s="4"/>
      <c r="E85" s="5">
        <f>13678.56</f>
        <v>13678.56</v>
      </c>
      <c r="F85" s="4"/>
      <c r="G85" s="5">
        <f>1923.93</f>
        <v>1923.93</v>
      </c>
      <c r="H85" s="5">
        <f>18264.26</f>
        <v>18264.259999999998</v>
      </c>
      <c r="I85" s="4"/>
      <c r="J85" s="5">
        <f>451.76</f>
        <v>451.76</v>
      </c>
      <c r="K85" s="4"/>
      <c r="L85" s="5">
        <f>-5652.1</f>
        <v>-5652.1</v>
      </c>
      <c r="M85" s="4"/>
      <c r="N85" s="4"/>
      <c r="O85" s="4"/>
      <c r="P85" s="5">
        <f>75631.67</f>
        <v>75631.67</v>
      </c>
      <c r="Q85" s="4"/>
      <c r="R85" s="5">
        <f>12899.1</f>
        <v>12899.1</v>
      </c>
      <c r="S85" s="4"/>
      <c r="T85" s="5">
        <f>163847.54</f>
        <v>163847.54</v>
      </c>
      <c r="U85" s="4"/>
      <c r="V85" s="5">
        <f>1199.71</f>
        <v>1199.71</v>
      </c>
      <c r="W85" s="4"/>
      <c r="X85" s="5">
        <f>4780.77</f>
        <v>4780.7700000000004</v>
      </c>
      <c r="Y85" s="5">
        <f>19160.29</f>
        <v>19160.29</v>
      </c>
      <c r="Z85" s="5">
        <f>6323.97</f>
        <v>6323.97</v>
      </c>
      <c r="AA85" s="5">
        <f>2334</f>
        <v>2334</v>
      </c>
      <c r="AB85" s="5">
        <f>14758.8</f>
        <v>14758.8</v>
      </c>
      <c r="AC85" s="4"/>
      <c r="AD85" s="4"/>
      <c r="AE85" s="5">
        <f>40968.07</f>
        <v>40968.07</v>
      </c>
      <c r="AF85" s="5">
        <f>34940.68</f>
        <v>34940.68</v>
      </c>
      <c r="AG85" s="5">
        <f>13977.2</f>
        <v>13977.2</v>
      </c>
      <c r="AH85" s="5"/>
      <c r="AI85" s="5">
        <f t="shared" si="10"/>
        <v>425704.97</v>
      </c>
    </row>
    <row r="86" spans="1:35" x14ac:dyDescent="0.25">
      <c r="A86" s="3" t="s">
        <v>114</v>
      </c>
      <c r="B86" s="5">
        <f>-3209.2</f>
        <v>-3209.2</v>
      </c>
      <c r="C86" s="4"/>
      <c r="D86" s="4"/>
      <c r="E86" s="5">
        <f>9270.34</f>
        <v>9270.34</v>
      </c>
      <c r="F86" s="4"/>
      <c r="G86" s="4"/>
      <c r="H86" s="5">
        <f>237.99</f>
        <v>237.99</v>
      </c>
      <c r="I86" s="4"/>
      <c r="J86" s="4"/>
      <c r="K86" s="4"/>
      <c r="L86" s="5">
        <f>294.9</f>
        <v>294.89999999999998</v>
      </c>
      <c r="M86" s="5">
        <f>2570.09</f>
        <v>2570.09</v>
      </c>
      <c r="N86" s="4"/>
      <c r="O86" s="4"/>
      <c r="P86" s="4"/>
      <c r="Q86" s="4"/>
      <c r="R86" s="4"/>
      <c r="S86" s="4"/>
      <c r="T86" s="4"/>
      <c r="U86" s="4"/>
      <c r="V86" s="5">
        <f>20334.6</f>
        <v>20334.599999999999</v>
      </c>
      <c r="W86" s="4"/>
      <c r="X86" s="5">
        <f>2180.33</f>
        <v>2180.33</v>
      </c>
      <c r="Y86" s="5">
        <f>8706.25</f>
        <v>8706.25</v>
      </c>
      <c r="Z86" s="4"/>
      <c r="AA86" s="4"/>
      <c r="AB86" s="5">
        <f>2289.72</f>
        <v>2289.7199999999998</v>
      </c>
      <c r="AC86" s="5">
        <f>167.98</f>
        <v>167.98</v>
      </c>
      <c r="AD86" s="4"/>
      <c r="AE86" s="5">
        <f>499.75</f>
        <v>499.75</v>
      </c>
      <c r="AF86" s="5">
        <f>938.19</f>
        <v>938.19</v>
      </c>
      <c r="AG86" s="5">
        <f>0</f>
        <v>0</v>
      </c>
      <c r="AH86" s="4"/>
      <c r="AI86" s="5">
        <f t="shared" si="10"/>
        <v>44280.94</v>
      </c>
    </row>
    <row r="87" spans="1:35" x14ac:dyDescent="0.25">
      <c r="A87" s="3" t="s">
        <v>115</v>
      </c>
      <c r="B87" s="5">
        <f>7692.06</f>
        <v>7692.06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5">
        <f t="shared" si="10"/>
        <v>7692.06</v>
      </c>
    </row>
    <row r="88" spans="1:35" x14ac:dyDescent="0.25">
      <c r="A88" s="3" t="s">
        <v>116</v>
      </c>
      <c r="B88" s="6">
        <f t="shared" ref="B88:AH88" si="14">(((((B82)+(B83))+(B84))+(B85))+(B86))+(B87)</f>
        <v>14062.62</v>
      </c>
      <c r="C88" s="6">
        <f t="shared" si="14"/>
        <v>0</v>
      </c>
      <c r="D88" s="6">
        <f t="shared" si="14"/>
        <v>0</v>
      </c>
      <c r="E88" s="6">
        <f t="shared" si="14"/>
        <v>72769.53</v>
      </c>
      <c r="F88" s="6">
        <f t="shared" si="14"/>
        <v>0</v>
      </c>
      <c r="G88" s="6">
        <f t="shared" si="14"/>
        <v>8522.92</v>
      </c>
      <c r="H88" s="6">
        <f t="shared" si="14"/>
        <v>27046.5</v>
      </c>
      <c r="I88" s="6">
        <f t="shared" si="14"/>
        <v>0</v>
      </c>
      <c r="J88" s="6">
        <f t="shared" si="14"/>
        <v>451.76</v>
      </c>
      <c r="K88" s="6">
        <f t="shared" si="14"/>
        <v>0</v>
      </c>
      <c r="L88" s="6">
        <f t="shared" si="14"/>
        <v>-5357.2000000000007</v>
      </c>
      <c r="M88" s="6">
        <f t="shared" si="14"/>
        <v>98315.09</v>
      </c>
      <c r="N88" s="6">
        <f t="shared" si="14"/>
        <v>0</v>
      </c>
      <c r="O88" s="6">
        <f t="shared" si="14"/>
        <v>136364.22</v>
      </c>
      <c r="P88" s="6">
        <f t="shared" si="14"/>
        <v>89656.67</v>
      </c>
      <c r="Q88" s="6">
        <f t="shared" si="14"/>
        <v>0</v>
      </c>
      <c r="R88" s="6">
        <f t="shared" si="14"/>
        <v>121147.37</v>
      </c>
      <c r="S88" s="6">
        <f t="shared" si="14"/>
        <v>0</v>
      </c>
      <c r="T88" s="6">
        <f t="shared" si="14"/>
        <v>163847.54</v>
      </c>
      <c r="U88" s="6">
        <f t="shared" si="14"/>
        <v>0</v>
      </c>
      <c r="V88" s="6">
        <f t="shared" si="14"/>
        <v>26514.309999999998</v>
      </c>
      <c r="W88" s="6">
        <f t="shared" si="14"/>
        <v>0</v>
      </c>
      <c r="X88" s="6">
        <f t="shared" si="14"/>
        <v>38781.600000000006</v>
      </c>
      <c r="Y88" s="6">
        <f t="shared" si="14"/>
        <v>50949.54</v>
      </c>
      <c r="Z88" s="6">
        <f t="shared" si="14"/>
        <v>7057.6100000000006</v>
      </c>
      <c r="AA88" s="6">
        <f t="shared" si="14"/>
        <v>2334</v>
      </c>
      <c r="AB88" s="6">
        <f t="shared" si="14"/>
        <v>36760.97</v>
      </c>
      <c r="AC88" s="6">
        <f t="shared" si="14"/>
        <v>167.98</v>
      </c>
      <c r="AD88" s="6">
        <f t="shared" si="14"/>
        <v>0</v>
      </c>
      <c r="AE88" s="6">
        <f t="shared" si="14"/>
        <v>164235.98000000001</v>
      </c>
      <c r="AF88" s="6">
        <f t="shared" si="14"/>
        <v>101437.07</v>
      </c>
      <c r="AG88" s="6">
        <f t="shared" si="14"/>
        <v>367100.86</v>
      </c>
      <c r="AH88" s="6">
        <f t="shared" si="14"/>
        <v>0</v>
      </c>
      <c r="AI88" s="6">
        <f t="shared" si="10"/>
        <v>1522166.94</v>
      </c>
    </row>
    <row r="89" spans="1:35" x14ac:dyDescent="0.25">
      <c r="A89" s="3" t="s">
        <v>117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5">
        <f t="shared" si="10"/>
        <v>0</v>
      </c>
    </row>
    <row r="90" spans="1:35" x14ac:dyDescent="0.25">
      <c r="A90" s="3" t="s">
        <v>118</v>
      </c>
      <c r="B90" s="5">
        <f>6973.22</f>
        <v>6973.22</v>
      </c>
      <c r="C90" s="4"/>
      <c r="D90" s="4"/>
      <c r="E90" s="5">
        <f>379.09</f>
        <v>379.09</v>
      </c>
      <c r="F90" s="4"/>
      <c r="G90" s="4"/>
      <c r="H90" s="4"/>
      <c r="I90" s="4"/>
      <c r="J90" s="5">
        <f>154.06</f>
        <v>154.06</v>
      </c>
      <c r="K90" s="4"/>
      <c r="L90" s="4"/>
      <c r="M90" s="4"/>
      <c r="N90" s="4"/>
      <c r="O90" s="4"/>
      <c r="P90" s="5">
        <f>77.03</f>
        <v>77.03</v>
      </c>
      <c r="Q90" s="4"/>
      <c r="R90" s="5">
        <f>434.06</f>
        <v>434.06</v>
      </c>
      <c r="S90" s="4"/>
      <c r="T90" s="4"/>
      <c r="U90" s="4"/>
      <c r="V90" s="5">
        <f>77.03</f>
        <v>77.03</v>
      </c>
      <c r="W90" s="4"/>
      <c r="X90" s="5">
        <f>321.04</f>
        <v>321.04000000000002</v>
      </c>
      <c r="Y90" s="5">
        <f>5440.35</f>
        <v>5440.35</v>
      </c>
      <c r="Z90" s="5">
        <f>154.06</f>
        <v>154.06</v>
      </c>
      <c r="AA90" s="4"/>
      <c r="AB90" s="5">
        <f>308.12</f>
        <v>308.12</v>
      </c>
      <c r="AC90" s="4"/>
      <c r="AD90" s="4"/>
      <c r="AE90" s="5">
        <f>7123.16</f>
        <v>7123.16</v>
      </c>
      <c r="AF90" s="4"/>
      <c r="AG90" s="5">
        <f>4128.73</f>
        <v>4128.7299999999996</v>
      </c>
      <c r="AH90" s="4"/>
      <c r="AI90" s="5">
        <f t="shared" si="10"/>
        <v>25569.95</v>
      </c>
    </row>
    <row r="91" spans="1:35" x14ac:dyDescent="0.25">
      <c r="A91" s="3" t="s">
        <v>119</v>
      </c>
      <c r="B91" s="4"/>
      <c r="C91" s="4"/>
      <c r="D91" s="4"/>
      <c r="E91" s="4"/>
      <c r="F91" s="4"/>
      <c r="G91" s="5">
        <f>15000</f>
        <v>15000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5">
        <f t="shared" si="10"/>
        <v>15000</v>
      </c>
    </row>
    <row r="92" spans="1:35" x14ac:dyDescent="0.25">
      <c r="A92" s="3" t="s">
        <v>120</v>
      </c>
      <c r="B92" s="4"/>
      <c r="C92" s="4"/>
      <c r="D92" s="4"/>
      <c r="E92" s="5">
        <f>41623.55</f>
        <v>41623.550000000003</v>
      </c>
      <c r="F92" s="5">
        <f>1651.44</f>
        <v>1651.44</v>
      </c>
      <c r="G92" s="5">
        <f>126866.34</f>
        <v>126866.34</v>
      </c>
      <c r="H92" s="5">
        <f>8522.24</f>
        <v>8522.24</v>
      </c>
      <c r="I92" s="5">
        <f>14656.04</f>
        <v>14656.04</v>
      </c>
      <c r="J92" s="5">
        <f>8715.56</f>
        <v>8715.56</v>
      </c>
      <c r="K92" s="5">
        <f>6349.02</f>
        <v>6349.02</v>
      </c>
      <c r="L92" s="4"/>
      <c r="M92" s="5">
        <f>10189.66</f>
        <v>10189.66</v>
      </c>
      <c r="N92" s="5">
        <f>3966.91</f>
        <v>3966.91</v>
      </c>
      <c r="O92" s="5">
        <f>76830.49</f>
        <v>76830.490000000005</v>
      </c>
      <c r="P92" s="5">
        <f>15538.68</f>
        <v>15538.68</v>
      </c>
      <c r="Q92" s="5">
        <f>81.16</f>
        <v>81.16</v>
      </c>
      <c r="R92" s="5">
        <f>147688.12</f>
        <v>147688.12</v>
      </c>
      <c r="S92" s="5">
        <f>72400.98</f>
        <v>72400.98</v>
      </c>
      <c r="T92" s="5">
        <f>23159.26</f>
        <v>23159.26</v>
      </c>
      <c r="U92" s="5">
        <f>10750.16</f>
        <v>10750.16</v>
      </c>
      <c r="V92" s="5">
        <f>3657.22</f>
        <v>3657.22</v>
      </c>
      <c r="W92" s="4"/>
      <c r="X92" s="5">
        <f>19088.63</f>
        <v>19088.63</v>
      </c>
      <c r="Y92" s="5">
        <f>36596.41</f>
        <v>36596.410000000003</v>
      </c>
      <c r="Z92" s="5">
        <f>23765.04</f>
        <v>23765.040000000001</v>
      </c>
      <c r="AA92" s="5">
        <f>3924.4</f>
        <v>3924.4</v>
      </c>
      <c r="AB92" s="5">
        <f>70621.96</f>
        <v>70621.960000000006</v>
      </c>
      <c r="AC92" s="5">
        <f>127.75</f>
        <v>127.75</v>
      </c>
      <c r="AD92" s="5">
        <f>152.83</f>
        <v>152.83000000000001</v>
      </c>
      <c r="AE92" s="5">
        <f>51719.62</f>
        <v>51719.62</v>
      </c>
      <c r="AF92" s="5">
        <f>26988.72</f>
        <v>26988.720000000001</v>
      </c>
      <c r="AG92" s="5">
        <f>95078.45</f>
        <v>95078.45</v>
      </c>
      <c r="AH92" s="4"/>
      <c r="AI92" s="5">
        <f t="shared" si="10"/>
        <v>900710.6399999999</v>
      </c>
    </row>
    <row r="93" spans="1:35" x14ac:dyDescent="0.25">
      <c r="A93" s="3" t="s">
        <v>121</v>
      </c>
      <c r="B93" s="6">
        <f t="shared" ref="B93:AH93" si="15">(((B89)+(B90))+(B91))+(B92)</f>
        <v>6973.22</v>
      </c>
      <c r="C93" s="6">
        <f t="shared" si="15"/>
        <v>0</v>
      </c>
      <c r="D93" s="6">
        <f t="shared" si="15"/>
        <v>0</v>
      </c>
      <c r="E93" s="6">
        <f t="shared" si="15"/>
        <v>42002.64</v>
      </c>
      <c r="F93" s="6">
        <f t="shared" si="15"/>
        <v>1651.44</v>
      </c>
      <c r="G93" s="6">
        <f t="shared" si="15"/>
        <v>141866.34</v>
      </c>
      <c r="H93" s="6">
        <f t="shared" si="15"/>
        <v>8522.24</v>
      </c>
      <c r="I93" s="6">
        <f t="shared" si="15"/>
        <v>14656.04</v>
      </c>
      <c r="J93" s="6">
        <f t="shared" si="15"/>
        <v>8869.619999999999</v>
      </c>
      <c r="K93" s="6">
        <f t="shared" si="15"/>
        <v>6349.02</v>
      </c>
      <c r="L93" s="6">
        <f t="shared" si="15"/>
        <v>0</v>
      </c>
      <c r="M93" s="6">
        <f t="shared" si="15"/>
        <v>10189.66</v>
      </c>
      <c r="N93" s="6">
        <f t="shared" si="15"/>
        <v>3966.91</v>
      </c>
      <c r="O93" s="6">
        <f t="shared" si="15"/>
        <v>76830.490000000005</v>
      </c>
      <c r="P93" s="6">
        <f t="shared" si="15"/>
        <v>15615.710000000001</v>
      </c>
      <c r="Q93" s="6">
        <f t="shared" si="15"/>
        <v>81.16</v>
      </c>
      <c r="R93" s="6">
        <f t="shared" si="15"/>
        <v>148122.18</v>
      </c>
      <c r="S93" s="6">
        <f t="shared" si="15"/>
        <v>72400.98</v>
      </c>
      <c r="T93" s="6">
        <f t="shared" si="15"/>
        <v>23159.26</v>
      </c>
      <c r="U93" s="6">
        <f t="shared" si="15"/>
        <v>10750.16</v>
      </c>
      <c r="V93" s="6">
        <f t="shared" si="15"/>
        <v>3734.25</v>
      </c>
      <c r="W93" s="6">
        <f t="shared" si="15"/>
        <v>0</v>
      </c>
      <c r="X93" s="6">
        <f t="shared" si="15"/>
        <v>19409.670000000002</v>
      </c>
      <c r="Y93" s="6">
        <f t="shared" si="15"/>
        <v>42036.76</v>
      </c>
      <c r="Z93" s="6">
        <f t="shared" si="15"/>
        <v>23919.100000000002</v>
      </c>
      <c r="AA93" s="6">
        <f t="shared" si="15"/>
        <v>3924.4</v>
      </c>
      <c r="AB93" s="6">
        <f t="shared" si="15"/>
        <v>70930.080000000002</v>
      </c>
      <c r="AC93" s="6">
        <f t="shared" si="15"/>
        <v>127.75</v>
      </c>
      <c r="AD93" s="6">
        <f t="shared" si="15"/>
        <v>152.83000000000001</v>
      </c>
      <c r="AE93" s="6">
        <f t="shared" si="15"/>
        <v>58842.78</v>
      </c>
      <c r="AF93" s="6">
        <f t="shared" si="15"/>
        <v>26988.720000000001</v>
      </c>
      <c r="AG93" s="6">
        <f t="shared" si="15"/>
        <v>99207.18</v>
      </c>
      <c r="AH93" s="6">
        <f t="shared" si="15"/>
        <v>0</v>
      </c>
      <c r="AI93" s="6">
        <f t="shared" si="10"/>
        <v>941280.59000000008</v>
      </c>
    </row>
    <row r="94" spans="1:35" x14ac:dyDescent="0.25">
      <c r="A94" s="3" t="s">
        <v>122</v>
      </c>
      <c r="B94" s="6">
        <f t="shared" ref="B94:AH94" si="16">((((((((B35)+(B48))+(B54))+(B55))+(B66))+(B71))+(B81))+(B88))+(B93)</f>
        <v>647622.24999999988</v>
      </c>
      <c r="C94" s="6">
        <f t="shared" si="16"/>
        <v>0</v>
      </c>
      <c r="D94" s="6">
        <f t="shared" si="16"/>
        <v>4895.96</v>
      </c>
      <c r="E94" s="6">
        <f t="shared" si="16"/>
        <v>565659.59</v>
      </c>
      <c r="F94" s="6">
        <f t="shared" si="16"/>
        <v>34680.880000000005</v>
      </c>
      <c r="G94" s="6">
        <f t="shared" si="16"/>
        <v>1371529.6500000001</v>
      </c>
      <c r="H94" s="6">
        <f t="shared" si="16"/>
        <v>93291.63</v>
      </c>
      <c r="I94" s="6">
        <f t="shared" si="16"/>
        <v>148250.00999999998</v>
      </c>
      <c r="J94" s="6">
        <f t="shared" si="16"/>
        <v>95801.739999999976</v>
      </c>
      <c r="K94" s="6">
        <f t="shared" si="16"/>
        <v>85752.970000000016</v>
      </c>
      <c r="L94" s="6">
        <f t="shared" si="16"/>
        <v>9701.64</v>
      </c>
      <c r="M94" s="6">
        <f t="shared" si="16"/>
        <v>107673.91</v>
      </c>
      <c r="N94" s="6">
        <f t="shared" si="16"/>
        <v>43635.959999999992</v>
      </c>
      <c r="O94" s="6">
        <f t="shared" si="16"/>
        <v>844775.51</v>
      </c>
      <c r="P94" s="6">
        <f t="shared" si="16"/>
        <v>171759.46</v>
      </c>
      <c r="Q94" s="6">
        <f t="shared" si="16"/>
        <v>1095.6600000000001</v>
      </c>
      <c r="R94" s="6">
        <f t="shared" si="16"/>
        <v>1282823.32</v>
      </c>
      <c r="S94" s="6">
        <f t="shared" si="16"/>
        <v>675742.45</v>
      </c>
      <c r="T94" s="6">
        <f t="shared" si="16"/>
        <v>254751.84000000003</v>
      </c>
      <c r="U94" s="6">
        <f t="shared" si="16"/>
        <v>145127.46</v>
      </c>
      <c r="V94" s="6">
        <f t="shared" si="16"/>
        <v>64201.7</v>
      </c>
      <c r="W94" s="6">
        <f t="shared" si="16"/>
        <v>0</v>
      </c>
      <c r="X94" s="6">
        <f t="shared" si="16"/>
        <v>257939.96000000002</v>
      </c>
      <c r="Y94" s="6">
        <f t="shared" si="16"/>
        <v>493226.49</v>
      </c>
      <c r="Z94" s="6">
        <f t="shared" si="16"/>
        <v>193515.25999999998</v>
      </c>
      <c r="AA94" s="6">
        <f t="shared" si="16"/>
        <v>30602.090000000004</v>
      </c>
      <c r="AB94" s="6">
        <f t="shared" si="16"/>
        <v>775895.73</v>
      </c>
      <c r="AC94" s="6">
        <f t="shared" si="16"/>
        <v>6515.37</v>
      </c>
      <c r="AD94" s="6">
        <f t="shared" si="16"/>
        <v>7782.28</v>
      </c>
      <c r="AE94" s="6">
        <f t="shared" si="16"/>
        <v>426753.42000000004</v>
      </c>
      <c r="AF94" s="6">
        <f t="shared" si="16"/>
        <v>297308.40000000002</v>
      </c>
      <c r="AG94" s="6">
        <f t="shared" si="16"/>
        <v>774210.25</v>
      </c>
      <c r="AH94" s="6">
        <f t="shared" si="16"/>
        <v>0</v>
      </c>
      <c r="AI94" s="6">
        <f t="shared" si="10"/>
        <v>9912522.8399999999</v>
      </c>
    </row>
    <row r="95" spans="1:35" x14ac:dyDescent="0.25">
      <c r="A95" s="3" t="s">
        <v>123</v>
      </c>
      <c r="B95" s="6">
        <f t="shared" ref="B95:AH95" si="17">(B30)-(B94)</f>
        <v>946123.26000000036</v>
      </c>
      <c r="C95" s="6">
        <f t="shared" si="17"/>
        <v>275</v>
      </c>
      <c r="D95" s="6">
        <f t="shared" si="17"/>
        <v>-4895.96</v>
      </c>
      <c r="E95" s="6">
        <f t="shared" si="17"/>
        <v>-148918.77999999997</v>
      </c>
      <c r="F95" s="6">
        <f t="shared" si="17"/>
        <v>-8815.1300000000047</v>
      </c>
      <c r="G95" s="6">
        <f t="shared" si="17"/>
        <v>815739.32999999984</v>
      </c>
      <c r="H95" s="6">
        <f t="shared" si="17"/>
        <v>-13964.14</v>
      </c>
      <c r="I95" s="6">
        <f t="shared" si="17"/>
        <v>-23987.909999999974</v>
      </c>
      <c r="J95" s="6">
        <f t="shared" si="17"/>
        <v>8755.8600000000297</v>
      </c>
      <c r="K95" s="6">
        <f t="shared" si="17"/>
        <v>-21733.610000000015</v>
      </c>
      <c r="L95" s="6">
        <f t="shared" si="17"/>
        <v>333342.18</v>
      </c>
      <c r="M95" s="6">
        <f t="shared" si="17"/>
        <v>-94516.41</v>
      </c>
      <c r="N95" s="6">
        <f t="shared" si="17"/>
        <v>20620.580000000009</v>
      </c>
      <c r="O95" s="6">
        <f t="shared" si="17"/>
        <v>0</v>
      </c>
      <c r="P95" s="6">
        <f t="shared" si="17"/>
        <v>8143.8399999999965</v>
      </c>
      <c r="Q95" s="6">
        <f t="shared" si="17"/>
        <v>0</v>
      </c>
      <c r="R95" s="6">
        <f t="shared" si="17"/>
        <v>-60305.410000000149</v>
      </c>
      <c r="S95" s="6">
        <f t="shared" si="17"/>
        <v>-106883.84999999998</v>
      </c>
      <c r="T95" s="6">
        <f t="shared" si="17"/>
        <v>0</v>
      </c>
      <c r="U95" s="6">
        <f t="shared" si="17"/>
        <v>-36837.459999999992</v>
      </c>
      <c r="V95" s="6">
        <f t="shared" si="17"/>
        <v>-29143.449999999997</v>
      </c>
      <c r="W95" s="6">
        <f t="shared" si="17"/>
        <v>0</v>
      </c>
      <c r="X95" s="6">
        <f t="shared" si="17"/>
        <v>-224.99000000001979</v>
      </c>
      <c r="Y95" s="6">
        <f t="shared" si="17"/>
        <v>-71140.489999999991</v>
      </c>
      <c r="Z95" s="6">
        <f t="shared" si="17"/>
        <v>-15283.729999999981</v>
      </c>
      <c r="AA95" s="6">
        <f t="shared" si="17"/>
        <v>19462.909999999996</v>
      </c>
      <c r="AB95" s="6">
        <f t="shared" si="17"/>
        <v>-184802.79000000004</v>
      </c>
      <c r="AC95" s="6">
        <f t="shared" si="17"/>
        <v>7.999999999992724E-2</v>
      </c>
      <c r="AD95" s="6">
        <f t="shared" si="17"/>
        <v>-4844.28</v>
      </c>
      <c r="AE95" s="6">
        <f t="shared" si="17"/>
        <v>-52355.380000000063</v>
      </c>
      <c r="AF95" s="6">
        <f t="shared" si="17"/>
        <v>-2129.9000000000233</v>
      </c>
      <c r="AG95" s="6">
        <f t="shared" si="17"/>
        <v>-74188.75</v>
      </c>
      <c r="AH95" s="6">
        <f t="shared" si="17"/>
        <v>0</v>
      </c>
      <c r="AI95" s="6">
        <f t="shared" si="10"/>
        <v>1197490.6200000006</v>
      </c>
    </row>
    <row r="96" spans="1:35" x14ac:dyDescent="0.25">
      <c r="A96" s="3" t="s">
        <v>124</v>
      </c>
      <c r="B96" s="7">
        <f t="shared" ref="B96:AH96" si="18">(B95)+(0)</f>
        <v>946123.26000000036</v>
      </c>
      <c r="C96" s="7">
        <f t="shared" si="18"/>
        <v>275</v>
      </c>
      <c r="D96" s="7">
        <f t="shared" si="18"/>
        <v>-4895.96</v>
      </c>
      <c r="E96" s="7">
        <f t="shared" si="18"/>
        <v>-148918.77999999997</v>
      </c>
      <c r="F96" s="7">
        <f t="shared" si="18"/>
        <v>-8815.1300000000047</v>
      </c>
      <c r="G96" s="7">
        <f t="shared" si="18"/>
        <v>815739.32999999984</v>
      </c>
      <c r="H96" s="7">
        <f t="shared" si="18"/>
        <v>-13964.14</v>
      </c>
      <c r="I96" s="7">
        <f t="shared" si="18"/>
        <v>-23987.909999999974</v>
      </c>
      <c r="J96" s="7">
        <f t="shared" si="18"/>
        <v>8755.8600000000297</v>
      </c>
      <c r="K96" s="7">
        <f t="shared" si="18"/>
        <v>-21733.610000000015</v>
      </c>
      <c r="L96" s="7">
        <f t="shared" si="18"/>
        <v>333342.18</v>
      </c>
      <c r="M96" s="7">
        <f t="shared" si="18"/>
        <v>-94516.41</v>
      </c>
      <c r="N96" s="7">
        <f t="shared" si="18"/>
        <v>20620.580000000009</v>
      </c>
      <c r="O96" s="7">
        <f t="shared" si="18"/>
        <v>0</v>
      </c>
      <c r="P96" s="7">
        <f t="shared" si="18"/>
        <v>8143.8399999999965</v>
      </c>
      <c r="Q96" s="7">
        <f t="shared" si="18"/>
        <v>0</v>
      </c>
      <c r="R96" s="7">
        <f t="shared" si="18"/>
        <v>-60305.410000000149</v>
      </c>
      <c r="S96" s="7">
        <f t="shared" si="18"/>
        <v>-106883.84999999998</v>
      </c>
      <c r="T96" s="7">
        <f t="shared" si="18"/>
        <v>0</v>
      </c>
      <c r="U96" s="7">
        <f t="shared" si="18"/>
        <v>-36837.459999999992</v>
      </c>
      <c r="V96" s="7">
        <f t="shared" si="18"/>
        <v>-29143.449999999997</v>
      </c>
      <c r="W96" s="7">
        <f t="shared" si="18"/>
        <v>0</v>
      </c>
      <c r="X96" s="7">
        <f t="shared" si="18"/>
        <v>-224.99000000001979</v>
      </c>
      <c r="Y96" s="7">
        <f t="shared" si="18"/>
        <v>-71140.489999999991</v>
      </c>
      <c r="Z96" s="7">
        <f t="shared" si="18"/>
        <v>-15283.729999999981</v>
      </c>
      <c r="AA96" s="7">
        <f t="shared" si="18"/>
        <v>19462.909999999996</v>
      </c>
      <c r="AB96" s="7">
        <f t="shared" si="18"/>
        <v>-184802.79000000004</v>
      </c>
      <c r="AC96" s="7">
        <f t="shared" si="18"/>
        <v>7.999999999992724E-2</v>
      </c>
      <c r="AD96" s="7">
        <f t="shared" si="18"/>
        <v>-4844.28</v>
      </c>
      <c r="AE96" s="7">
        <f t="shared" si="18"/>
        <v>-52355.380000000063</v>
      </c>
      <c r="AF96" s="7">
        <f t="shared" si="18"/>
        <v>-2129.9000000000233</v>
      </c>
      <c r="AG96" s="7">
        <f t="shared" si="18"/>
        <v>-74188.75</v>
      </c>
      <c r="AH96" s="7">
        <f t="shared" si="18"/>
        <v>0</v>
      </c>
      <c r="AI96" s="7">
        <f t="shared" ref="AI96" si="19">((((((((((((((((((((((((((((((((B96)+(C96))+(D96))+(E96))+(F96))+(G96))+(H96))+(I96))+(J96))+(K96))+(L96))+(M96))+(N96))+(O96))+(P96))+(Q96))+(R96))+(S96))+(T96))+(U96))+(V96))+(W96))+(X96))+(Y96))+(Z96))+(AA96))+(AB96))+(AC96))+(AD96))+(AE96))+(AF96))+(AG96))+(AH96)</f>
        <v>1197490.6200000006</v>
      </c>
    </row>
    <row r="97" spans="1:35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100" spans="1:35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</sheetData>
  <sheetProtection algorithmName="SHA-512" hashValue="VNzOwvLAntb9MySB9C/Gava21Rb+OeYB4enLIwu3YxQQlLzafO7Ga6FgNj6JB08FKQL9t3xWFhG4gEDIgKv39g==" saltValue="pme73fGdJkt7fmhuaO4OZQ==" spinCount="100000" sheet="1" objects="1" scenarios="1"/>
  <mergeCells count="4">
    <mergeCell ref="A100:AI100"/>
    <mergeCell ref="A1:AI1"/>
    <mergeCell ref="A2:AI2"/>
    <mergeCell ref="A3:AI3"/>
  </mergeCells>
  <pageMargins left="0.7" right="0.7" top="0.75" bottom="0.75" header="0.3" footer="0.3"/>
  <pageSetup paperSize="5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Faust</cp:lastModifiedBy>
  <cp:lastPrinted>2024-03-12T14:48:51Z</cp:lastPrinted>
  <dcterms:created xsi:type="dcterms:W3CDTF">2024-03-12T14:47:00Z</dcterms:created>
  <dcterms:modified xsi:type="dcterms:W3CDTF">2024-03-19T19:04:17Z</dcterms:modified>
</cp:coreProperties>
</file>