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548231F1-EF3A-4DBE-AD77-4A2A0A2D0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3" i="1" l="1"/>
  <c r="V93" i="1"/>
  <c r="K93" i="1"/>
  <c r="H93" i="1"/>
  <c r="E93" i="1"/>
  <c r="C93" i="1"/>
  <c r="AF92" i="1"/>
  <c r="AE92" i="1"/>
  <c r="AE93" i="1" s="1"/>
  <c r="AD92" i="1"/>
  <c r="AC92" i="1"/>
  <c r="AC93" i="1" s="1"/>
  <c r="AB92" i="1"/>
  <c r="AB93" i="1" s="1"/>
  <c r="AA92" i="1"/>
  <c r="Z92" i="1"/>
  <c r="Z93" i="1" s="1"/>
  <c r="Y92" i="1"/>
  <c r="X92" i="1"/>
  <c r="W92" i="1"/>
  <c r="U92" i="1"/>
  <c r="T92" i="1"/>
  <c r="T93" i="1" s="1"/>
  <c r="S92" i="1"/>
  <c r="S93" i="1" s="1"/>
  <c r="R92" i="1"/>
  <c r="R93" i="1" s="1"/>
  <c r="Q92" i="1"/>
  <c r="P92" i="1"/>
  <c r="P93" i="1" s="1"/>
  <c r="O92" i="1"/>
  <c r="N92" i="1"/>
  <c r="N93" i="1" s="1"/>
  <c r="M92" i="1"/>
  <c r="M93" i="1" s="1"/>
  <c r="L92" i="1"/>
  <c r="L93" i="1" s="1"/>
  <c r="J92" i="1"/>
  <c r="J93" i="1" s="1"/>
  <c r="I92" i="1"/>
  <c r="H92" i="1"/>
  <c r="G92" i="1"/>
  <c r="G93" i="1" s="1"/>
  <c r="F92" i="1"/>
  <c r="F93" i="1" s="1"/>
  <c r="E92" i="1"/>
  <c r="D92" i="1"/>
  <c r="AH91" i="1"/>
  <c r="F91" i="1"/>
  <c r="AF90" i="1"/>
  <c r="AF93" i="1" s="1"/>
  <c r="AD90" i="1"/>
  <c r="AD93" i="1" s="1"/>
  <c r="AA90" i="1"/>
  <c r="Y90" i="1"/>
  <c r="X90" i="1"/>
  <c r="W90" i="1"/>
  <c r="U90" i="1"/>
  <c r="U93" i="1" s="1"/>
  <c r="Q90" i="1"/>
  <c r="Q93" i="1" s="1"/>
  <c r="O90" i="1"/>
  <c r="I90" i="1"/>
  <c r="D90" i="1"/>
  <c r="D93" i="1" s="1"/>
  <c r="B90" i="1"/>
  <c r="B93" i="1" s="1"/>
  <c r="AH89" i="1"/>
  <c r="AG88" i="1"/>
  <c r="AC88" i="1"/>
  <c r="V88" i="1"/>
  <c r="T88" i="1"/>
  <c r="R88" i="1"/>
  <c r="P88" i="1"/>
  <c r="M88" i="1"/>
  <c r="J88" i="1"/>
  <c r="H88" i="1"/>
  <c r="E88" i="1"/>
  <c r="C88" i="1"/>
  <c r="B87" i="1"/>
  <c r="AH87" i="1" s="1"/>
  <c r="AF86" i="1"/>
  <c r="AE86" i="1"/>
  <c r="AD86" i="1"/>
  <c r="AB86" i="1"/>
  <c r="AB88" i="1" s="1"/>
  <c r="AA86" i="1"/>
  <c r="X86" i="1"/>
  <c r="W86" i="1"/>
  <c r="U86" i="1"/>
  <c r="L86" i="1"/>
  <c r="K86" i="1"/>
  <c r="D86" i="1"/>
  <c r="B86" i="1"/>
  <c r="AF85" i="1"/>
  <c r="AE85" i="1"/>
  <c r="AD85" i="1"/>
  <c r="AA85" i="1"/>
  <c r="Z85" i="1"/>
  <c r="Z88" i="1" s="1"/>
  <c r="Y85" i="1"/>
  <c r="X85" i="1"/>
  <c r="W85" i="1"/>
  <c r="U85" i="1"/>
  <c r="S85" i="1"/>
  <c r="S88" i="1" s="1"/>
  <c r="Q85" i="1"/>
  <c r="O85" i="1"/>
  <c r="K85" i="1"/>
  <c r="I85" i="1"/>
  <c r="I88" i="1" s="1"/>
  <c r="G85" i="1"/>
  <c r="F85" i="1"/>
  <c r="AH85" i="1" s="1"/>
  <c r="D85" i="1"/>
  <c r="B85" i="1"/>
  <c r="AF84" i="1"/>
  <c r="AE84" i="1"/>
  <c r="AD84" i="1"/>
  <c r="AA84" i="1"/>
  <c r="AA88" i="1" s="1"/>
  <c r="Y84" i="1"/>
  <c r="Y88" i="1" s="1"/>
  <c r="X84" i="1"/>
  <c r="W84" i="1"/>
  <c r="U84" i="1"/>
  <c r="U88" i="1" s="1"/>
  <c r="Q84" i="1"/>
  <c r="O84" i="1"/>
  <c r="G84" i="1"/>
  <c r="F84" i="1"/>
  <c r="D84" i="1"/>
  <c r="B84" i="1"/>
  <c r="AF83" i="1"/>
  <c r="AE83" i="1"/>
  <c r="AE88" i="1" s="1"/>
  <c r="AD83" i="1"/>
  <c r="AD88" i="1" s="1"/>
  <c r="AA83" i="1"/>
  <c r="X83" i="1"/>
  <c r="X88" i="1" s="1"/>
  <c r="W83" i="1"/>
  <c r="W88" i="1" s="1"/>
  <c r="U83" i="1"/>
  <c r="Q83" i="1"/>
  <c r="Q88" i="1" s="1"/>
  <c r="O83" i="1"/>
  <c r="N83" i="1"/>
  <c r="N88" i="1" s="1"/>
  <c r="L83" i="1"/>
  <c r="G83" i="1"/>
  <c r="G88" i="1" s="1"/>
  <c r="F83" i="1"/>
  <c r="D83" i="1"/>
  <c r="B83" i="1"/>
  <c r="AH82" i="1"/>
  <c r="AG81" i="1"/>
  <c r="AC81" i="1"/>
  <c r="AB81" i="1"/>
  <c r="V81" i="1"/>
  <c r="T81" i="1"/>
  <c r="S81" i="1"/>
  <c r="R81" i="1"/>
  <c r="P81" i="1"/>
  <c r="N81" i="1"/>
  <c r="M81" i="1"/>
  <c r="J81" i="1"/>
  <c r="I81" i="1"/>
  <c r="E81" i="1"/>
  <c r="C81" i="1"/>
  <c r="F80" i="1"/>
  <c r="AH80" i="1" s="1"/>
  <c r="B80" i="1"/>
  <c r="AF79" i="1"/>
  <c r="AE79" i="1"/>
  <c r="AD79" i="1"/>
  <c r="AA79" i="1"/>
  <c r="Z79" i="1"/>
  <c r="Y79" i="1"/>
  <c r="X79" i="1"/>
  <c r="W79" i="1"/>
  <c r="U79" i="1"/>
  <c r="U81" i="1" s="1"/>
  <c r="Q79" i="1"/>
  <c r="O79" i="1"/>
  <c r="L79" i="1"/>
  <c r="K79" i="1"/>
  <c r="K81" i="1" s="1"/>
  <c r="H79" i="1"/>
  <c r="H81" i="1" s="1"/>
  <c r="G79" i="1"/>
  <c r="F79" i="1"/>
  <c r="D79" i="1"/>
  <c r="AH79" i="1" s="1"/>
  <c r="B79" i="1"/>
  <c r="AF78" i="1"/>
  <c r="AE78" i="1"/>
  <c r="AE81" i="1" s="1"/>
  <c r="Z78" i="1"/>
  <c r="O78" i="1"/>
  <c r="L78" i="1"/>
  <c r="L81" i="1" s="1"/>
  <c r="G78" i="1"/>
  <c r="F78" i="1"/>
  <c r="D78" i="1"/>
  <c r="B78" i="1"/>
  <c r="AF77" i="1"/>
  <c r="AF81" i="1" s="1"/>
  <c r="AD77" i="1"/>
  <c r="AA77" i="1"/>
  <c r="X77" i="1"/>
  <c r="W77" i="1"/>
  <c r="F77" i="1"/>
  <c r="D77" i="1"/>
  <c r="B77" i="1"/>
  <c r="AH77" i="1" s="1"/>
  <c r="AH76" i="1"/>
  <c r="AD76" i="1"/>
  <c r="AF75" i="1"/>
  <c r="AD75" i="1"/>
  <c r="AA75" i="1"/>
  <c r="Y75" i="1"/>
  <c r="Y81" i="1" s="1"/>
  <c r="X75" i="1"/>
  <c r="W75" i="1"/>
  <c r="Q75" i="1"/>
  <c r="O75" i="1"/>
  <c r="G75" i="1"/>
  <c r="F75" i="1"/>
  <c r="D75" i="1"/>
  <c r="B75" i="1"/>
  <c r="X74" i="1"/>
  <c r="W74" i="1"/>
  <c r="Q74" i="1"/>
  <c r="Q81" i="1" s="1"/>
  <c r="F74" i="1"/>
  <c r="AH74" i="1" s="1"/>
  <c r="B74" i="1"/>
  <c r="X73" i="1"/>
  <c r="W73" i="1"/>
  <c r="F73" i="1"/>
  <c r="AH73" i="1" s="1"/>
  <c r="B73" i="1"/>
  <c r="AH72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E71" i="1"/>
  <c r="D71" i="1"/>
  <c r="C71" i="1"/>
  <c r="B70" i="1"/>
  <c r="AH70" i="1" s="1"/>
  <c r="F69" i="1"/>
  <c r="B69" i="1"/>
  <c r="AH69" i="1" s="1"/>
  <c r="F68" i="1"/>
  <c r="F71" i="1" s="1"/>
  <c r="B68" i="1"/>
  <c r="AH67" i="1"/>
  <c r="AG66" i="1"/>
  <c r="AC66" i="1"/>
  <c r="Z66" i="1"/>
  <c r="V66" i="1"/>
  <c r="T66" i="1"/>
  <c r="S66" i="1"/>
  <c r="R66" i="1"/>
  <c r="P66" i="1"/>
  <c r="N66" i="1"/>
  <c r="M66" i="1"/>
  <c r="L66" i="1"/>
  <c r="K66" i="1"/>
  <c r="J66" i="1"/>
  <c r="H66" i="1"/>
  <c r="G66" i="1"/>
  <c r="E66" i="1"/>
  <c r="C66" i="1"/>
  <c r="AF65" i="1"/>
  <c r="AD65" i="1"/>
  <c r="AA65" i="1"/>
  <c r="W65" i="1"/>
  <c r="F65" i="1"/>
  <c r="B65" i="1"/>
  <c r="F64" i="1"/>
  <c r="AH64" i="1" s="1"/>
  <c r="AF63" i="1"/>
  <c r="AF66" i="1" s="1"/>
  <c r="AD63" i="1"/>
  <c r="AD66" i="1" s="1"/>
  <c r="AB63" i="1"/>
  <c r="AB66" i="1" s="1"/>
  <c r="AA63" i="1"/>
  <c r="Y63" i="1"/>
  <c r="Y66" i="1" s="1"/>
  <c r="X63" i="1"/>
  <c r="W63" i="1"/>
  <c r="W66" i="1" s="1"/>
  <c r="U63" i="1"/>
  <c r="U66" i="1" s="1"/>
  <c r="Q63" i="1"/>
  <c r="Q66" i="1" s="1"/>
  <c r="O63" i="1"/>
  <c r="I63" i="1"/>
  <c r="I66" i="1" s="1"/>
  <c r="F63" i="1"/>
  <c r="D63" i="1"/>
  <c r="B63" i="1"/>
  <c r="AH63" i="1" s="1"/>
  <c r="F62" i="1"/>
  <c r="B62" i="1"/>
  <c r="AA61" i="1"/>
  <c r="X61" i="1"/>
  <c r="X66" i="1" s="1"/>
  <c r="O61" i="1"/>
  <c r="O66" i="1" s="1"/>
  <c r="D61" i="1"/>
  <c r="D66" i="1" s="1"/>
  <c r="AE60" i="1"/>
  <c r="AE66" i="1" s="1"/>
  <c r="F60" i="1"/>
  <c r="B60" i="1"/>
  <c r="F59" i="1"/>
  <c r="B59" i="1"/>
  <c r="AH58" i="1"/>
  <c r="F58" i="1"/>
  <c r="B58" i="1"/>
  <c r="F57" i="1"/>
  <c r="B57" i="1"/>
  <c r="AH57" i="1" s="1"/>
  <c r="AH56" i="1"/>
  <c r="AF55" i="1"/>
  <c r="AE55" i="1"/>
  <c r="AD55" i="1"/>
  <c r="AA55" i="1"/>
  <c r="U55" i="1"/>
  <c r="Q55" i="1"/>
  <c r="K55" i="1"/>
  <c r="H55" i="1"/>
  <c r="G55" i="1"/>
  <c r="F55" i="1"/>
  <c r="D55" i="1"/>
  <c r="B55" i="1"/>
  <c r="AH55" i="1" s="1"/>
  <c r="AG54" i="1"/>
  <c r="AE54" i="1"/>
  <c r="AC54" i="1"/>
  <c r="AB54" i="1"/>
  <c r="AA54" i="1"/>
  <c r="V54" i="1"/>
  <c r="T54" i="1"/>
  <c r="S54" i="1"/>
  <c r="P54" i="1"/>
  <c r="N54" i="1"/>
  <c r="L54" i="1"/>
  <c r="K54" i="1"/>
  <c r="J54" i="1"/>
  <c r="E54" i="1"/>
  <c r="C54" i="1"/>
  <c r="AF53" i="1"/>
  <c r="AD53" i="1"/>
  <c r="AA53" i="1"/>
  <c r="Y53" i="1"/>
  <c r="X53" i="1"/>
  <c r="W53" i="1"/>
  <c r="Q53" i="1"/>
  <c r="M53" i="1"/>
  <c r="M54" i="1" s="1"/>
  <c r="I53" i="1"/>
  <c r="H53" i="1"/>
  <c r="H54" i="1" s="1"/>
  <c r="G53" i="1"/>
  <c r="G54" i="1" s="1"/>
  <c r="F53" i="1"/>
  <c r="D53" i="1"/>
  <c r="B53" i="1"/>
  <c r="F52" i="1"/>
  <c r="B52" i="1"/>
  <c r="AH52" i="1" s="1"/>
  <c r="B51" i="1"/>
  <c r="AH51" i="1" s="1"/>
  <c r="AF50" i="1"/>
  <c r="AD50" i="1"/>
  <c r="AD54" i="1" s="1"/>
  <c r="Z50" i="1"/>
  <c r="Z54" i="1" s="1"/>
  <c r="Y50" i="1"/>
  <c r="X50" i="1"/>
  <c r="W50" i="1"/>
  <c r="W54" i="1" s="1"/>
  <c r="U50" i="1"/>
  <c r="U54" i="1" s="1"/>
  <c r="R50" i="1"/>
  <c r="R54" i="1" s="1"/>
  <c r="Q50" i="1"/>
  <c r="O50" i="1"/>
  <c r="O54" i="1" s="1"/>
  <c r="N50" i="1"/>
  <c r="I50" i="1"/>
  <c r="I54" i="1" s="1"/>
  <c r="F50" i="1"/>
  <c r="F54" i="1" s="1"/>
  <c r="D50" i="1"/>
  <c r="D54" i="1" s="1"/>
  <c r="B50" i="1"/>
  <c r="AH49" i="1"/>
  <c r="AG48" i="1"/>
  <c r="AE48" i="1"/>
  <c r="Z48" i="1"/>
  <c r="I48" i="1"/>
  <c r="C48" i="1"/>
  <c r="AF47" i="1"/>
  <c r="AD47" i="1"/>
  <c r="AC47" i="1"/>
  <c r="AB47" i="1"/>
  <c r="AA47" i="1"/>
  <c r="Y47" i="1"/>
  <c r="X47" i="1"/>
  <c r="W47" i="1"/>
  <c r="V47" i="1"/>
  <c r="S47" i="1"/>
  <c r="Q47" i="1"/>
  <c r="L47" i="1"/>
  <c r="K47" i="1"/>
  <c r="H47" i="1"/>
  <c r="G47" i="1"/>
  <c r="D47" i="1"/>
  <c r="AH47" i="1" s="1"/>
  <c r="AF46" i="1"/>
  <c r="AD46" i="1"/>
  <c r="AA46" i="1"/>
  <c r="Y46" i="1"/>
  <c r="S46" i="1"/>
  <c r="Q46" i="1"/>
  <c r="O46" i="1"/>
  <c r="N46" i="1"/>
  <c r="M46" i="1"/>
  <c r="J46" i="1"/>
  <c r="I46" i="1"/>
  <c r="G46" i="1"/>
  <c r="F46" i="1"/>
  <c r="D46" i="1"/>
  <c r="AA45" i="1"/>
  <c r="G45" i="1"/>
  <c r="D45" i="1"/>
  <c r="B45" i="1"/>
  <c r="AH45" i="1" s="1"/>
  <c r="AG44" i="1"/>
  <c r="AF44" i="1"/>
  <c r="AD44" i="1"/>
  <c r="X44" i="1"/>
  <c r="U44" i="1"/>
  <c r="R44" i="1"/>
  <c r="F44" i="1"/>
  <c r="D44" i="1"/>
  <c r="B44" i="1"/>
  <c r="AF43" i="1"/>
  <c r="AD43" i="1"/>
  <c r="AC43" i="1"/>
  <c r="AB43" i="1"/>
  <c r="AA43" i="1"/>
  <c r="Y43" i="1"/>
  <c r="X43" i="1"/>
  <c r="W43" i="1"/>
  <c r="V43" i="1"/>
  <c r="S43" i="1"/>
  <c r="Q43" i="1"/>
  <c r="L43" i="1"/>
  <c r="K43" i="1"/>
  <c r="H43" i="1"/>
  <c r="G43" i="1"/>
  <c r="D43" i="1"/>
  <c r="AA42" i="1"/>
  <c r="X42" i="1"/>
  <c r="W42" i="1"/>
  <c r="T42" i="1"/>
  <c r="R42" i="1"/>
  <c r="Q42" i="1"/>
  <c r="N42" i="1"/>
  <c r="J42" i="1"/>
  <c r="F42" i="1"/>
  <c r="D42" i="1"/>
  <c r="B42" i="1"/>
  <c r="AF41" i="1"/>
  <c r="AD41" i="1"/>
  <c r="AC41" i="1"/>
  <c r="AB41" i="1"/>
  <c r="AA41" i="1"/>
  <c r="Y41" i="1"/>
  <c r="X41" i="1"/>
  <c r="W41" i="1"/>
  <c r="V41" i="1"/>
  <c r="U41" i="1"/>
  <c r="T41" i="1"/>
  <c r="S41" i="1"/>
  <c r="Q41" i="1"/>
  <c r="O41" i="1"/>
  <c r="N41" i="1"/>
  <c r="M41" i="1"/>
  <c r="L41" i="1"/>
  <c r="K41" i="1"/>
  <c r="I41" i="1"/>
  <c r="H41" i="1"/>
  <c r="G41" i="1"/>
  <c r="F41" i="1"/>
  <c r="D41" i="1"/>
  <c r="B41" i="1"/>
  <c r="AF40" i="1"/>
  <c r="AD40" i="1"/>
  <c r="AC40" i="1"/>
  <c r="AB40" i="1"/>
  <c r="AA40" i="1"/>
  <c r="Y40" i="1"/>
  <c r="X40" i="1"/>
  <c r="W40" i="1"/>
  <c r="V40" i="1"/>
  <c r="U40" i="1"/>
  <c r="T40" i="1"/>
  <c r="S40" i="1"/>
  <c r="R40" i="1"/>
  <c r="Q40" i="1"/>
  <c r="P40" i="1"/>
  <c r="P48" i="1" s="1"/>
  <c r="O40" i="1"/>
  <c r="N40" i="1"/>
  <c r="M40" i="1"/>
  <c r="M48" i="1" s="1"/>
  <c r="L40" i="1"/>
  <c r="K40" i="1"/>
  <c r="J40" i="1"/>
  <c r="I40" i="1"/>
  <c r="H40" i="1"/>
  <c r="G40" i="1"/>
  <c r="F40" i="1"/>
  <c r="E40" i="1"/>
  <c r="D40" i="1"/>
  <c r="B40" i="1"/>
  <c r="AA39" i="1"/>
  <c r="X39" i="1"/>
  <c r="W39" i="1"/>
  <c r="T39" i="1"/>
  <c r="R39" i="1"/>
  <c r="Q39" i="1"/>
  <c r="N39" i="1"/>
  <c r="N48" i="1" s="1"/>
  <c r="J39" i="1"/>
  <c r="J48" i="1" s="1"/>
  <c r="F39" i="1"/>
  <c r="E39" i="1"/>
  <c r="E48" i="1" s="1"/>
  <c r="D39" i="1"/>
  <c r="B39" i="1"/>
  <c r="B38" i="1"/>
  <c r="B48" i="1" s="1"/>
  <c r="AF37" i="1"/>
  <c r="AF48" i="1" s="1"/>
  <c r="AD37" i="1"/>
  <c r="AC37" i="1"/>
  <c r="AB37" i="1"/>
  <c r="AA37" i="1"/>
  <c r="Y37" i="1"/>
  <c r="Y48" i="1" s="1"/>
  <c r="X37" i="1"/>
  <c r="X48" i="1" s="1"/>
  <c r="W37" i="1"/>
  <c r="V37" i="1"/>
  <c r="S37" i="1"/>
  <c r="Q37" i="1"/>
  <c r="L37" i="1"/>
  <c r="L48" i="1" s="1"/>
  <c r="K37" i="1"/>
  <c r="K48" i="1" s="1"/>
  <c r="H37" i="1"/>
  <c r="G37" i="1"/>
  <c r="D37" i="1"/>
  <c r="AH36" i="1"/>
  <c r="AG35" i="1"/>
  <c r="AG94" i="1" s="1"/>
  <c r="Z35" i="1"/>
  <c r="U35" i="1"/>
  <c r="M35" i="1"/>
  <c r="K35" i="1"/>
  <c r="C35" i="1"/>
  <c r="AA34" i="1"/>
  <c r="X34" i="1"/>
  <c r="W34" i="1"/>
  <c r="T34" i="1"/>
  <c r="R34" i="1"/>
  <c r="R35" i="1" s="1"/>
  <c r="Q34" i="1"/>
  <c r="N34" i="1"/>
  <c r="J34" i="1"/>
  <c r="J35" i="1" s="1"/>
  <c r="F34" i="1"/>
  <c r="E34" i="1"/>
  <c r="E35" i="1" s="1"/>
  <c r="E94" i="1" s="1"/>
  <c r="D34" i="1"/>
  <c r="B34" i="1"/>
  <c r="AF33" i="1"/>
  <c r="AF35" i="1" s="1"/>
  <c r="AE33" i="1"/>
  <c r="AE35" i="1" s="1"/>
  <c r="AD33" i="1"/>
  <c r="AD35" i="1" s="1"/>
  <c r="AC33" i="1"/>
  <c r="AC35" i="1" s="1"/>
  <c r="AB33" i="1"/>
  <c r="AB35" i="1" s="1"/>
  <c r="AA33" i="1"/>
  <c r="AA35" i="1" s="1"/>
  <c r="Y33" i="1"/>
  <c r="Y35" i="1" s="1"/>
  <c r="X33" i="1"/>
  <c r="X35" i="1" s="1"/>
  <c r="W33" i="1"/>
  <c r="W35" i="1" s="1"/>
  <c r="V33" i="1"/>
  <c r="V35" i="1" s="1"/>
  <c r="U33" i="1"/>
  <c r="T33" i="1"/>
  <c r="S33" i="1"/>
  <c r="S35" i="1" s="1"/>
  <c r="Q33" i="1"/>
  <c r="Q35" i="1" s="1"/>
  <c r="P33" i="1"/>
  <c r="P35" i="1" s="1"/>
  <c r="O33" i="1"/>
  <c r="O35" i="1" s="1"/>
  <c r="N33" i="1"/>
  <c r="M33" i="1"/>
  <c r="L33" i="1"/>
  <c r="L35" i="1" s="1"/>
  <c r="K33" i="1"/>
  <c r="I33" i="1"/>
  <c r="I35" i="1" s="1"/>
  <c r="H33" i="1"/>
  <c r="H35" i="1" s="1"/>
  <c r="G33" i="1"/>
  <c r="G35" i="1" s="1"/>
  <c r="F33" i="1"/>
  <c r="D33" i="1"/>
  <c r="D35" i="1" s="1"/>
  <c r="B33" i="1"/>
  <c r="B35" i="1" s="1"/>
  <c r="AH32" i="1"/>
  <c r="AG28" i="1"/>
  <c r="Z28" i="1"/>
  <c r="W28" i="1"/>
  <c r="V28" i="1"/>
  <c r="Q28" i="1"/>
  <c r="O28" i="1"/>
  <c r="M28" i="1"/>
  <c r="L28" i="1"/>
  <c r="K28" i="1"/>
  <c r="J28" i="1"/>
  <c r="I28" i="1"/>
  <c r="G28" i="1"/>
  <c r="F28" i="1"/>
  <c r="E28" i="1"/>
  <c r="C28" i="1"/>
  <c r="B28" i="1"/>
  <c r="AF27" i="1"/>
  <c r="AF28" i="1" s="1"/>
  <c r="AF29" i="1" s="1"/>
  <c r="AF30" i="1" s="1"/>
  <c r="AE27" i="1"/>
  <c r="AE28" i="1" s="1"/>
  <c r="AD27" i="1"/>
  <c r="AD28" i="1" s="1"/>
  <c r="AC27" i="1"/>
  <c r="AC28" i="1" s="1"/>
  <c r="AB27" i="1"/>
  <c r="AB28" i="1" s="1"/>
  <c r="AA27" i="1"/>
  <c r="AA28" i="1" s="1"/>
  <c r="Y27" i="1"/>
  <c r="Y28" i="1" s="1"/>
  <c r="X27" i="1"/>
  <c r="X28" i="1" s="1"/>
  <c r="X29" i="1" s="1"/>
  <c r="X30" i="1" s="1"/>
  <c r="W27" i="1"/>
  <c r="U27" i="1"/>
  <c r="U28" i="1" s="1"/>
  <c r="S27" i="1"/>
  <c r="S28" i="1" s="1"/>
  <c r="Q27" i="1"/>
  <c r="P27" i="1"/>
  <c r="P28" i="1" s="1"/>
  <c r="H27" i="1"/>
  <c r="H28" i="1" s="1"/>
  <c r="H29" i="1" s="1"/>
  <c r="H30" i="1" s="1"/>
  <c r="G27" i="1"/>
  <c r="D27" i="1"/>
  <c r="D28" i="1" s="1"/>
  <c r="T26" i="1"/>
  <c r="T28" i="1" s="1"/>
  <c r="R26" i="1"/>
  <c r="R28" i="1" s="1"/>
  <c r="N26" i="1"/>
  <c r="N28" i="1" s="1"/>
  <c r="AH25" i="1"/>
  <c r="B24" i="1"/>
  <c r="AH24" i="1" s="1"/>
  <c r="AH23" i="1"/>
  <c r="B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L22" i="1"/>
  <c r="K22" i="1"/>
  <c r="J22" i="1"/>
  <c r="H22" i="1"/>
  <c r="G22" i="1"/>
  <c r="E22" i="1"/>
  <c r="D22" i="1"/>
  <c r="C22" i="1"/>
  <c r="B22" i="1"/>
  <c r="F21" i="1"/>
  <c r="AH21" i="1" s="1"/>
  <c r="M20" i="1"/>
  <c r="M22" i="1" s="1"/>
  <c r="I20" i="1"/>
  <c r="I22" i="1" s="1"/>
  <c r="F20" i="1"/>
  <c r="AG19" i="1"/>
  <c r="AF19" i="1"/>
  <c r="AE19" i="1"/>
  <c r="AD19" i="1"/>
  <c r="AD29" i="1" s="1"/>
  <c r="AD30" i="1" s="1"/>
  <c r="AC19" i="1"/>
  <c r="AC29" i="1" s="1"/>
  <c r="AC30" i="1" s="1"/>
  <c r="AB19" i="1"/>
  <c r="AA19" i="1"/>
  <c r="X19" i="1"/>
  <c r="W19" i="1"/>
  <c r="V19" i="1"/>
  <c r="V29" i="1" s="1"/>
  <c r="V30" i="1" s="1"/>
  <c r="U19" i="1"/>
  <c r="T19" i="1"/>
  <c r="S19" i="1"/>
  <c r="R19" i="1"/>
  <c r="R29" i="1" s="1"/>
  <c r="R30" i="1" s="1"/>
  <c r="Q19" i="1"/>
  <c r="P19" i="1"/>
  <c r="N19" i="1"/>
  <c r="M19" i="1"/>
  <c r="I19" i="1"/>
  <c r="H19" i="1"/>
  <c r="D19" i="1"/>
  <c r="D29" i="1" s="1"/>
  <c r="D30" i="1" s="1"/>
  <c r="C19" i="1"/>
  <c r="C29" i="1" s="1"/>
  <c r="C30" i="1" s="1"/>
  <c r="F18" i="1"/>
  <c r="AH18" i="1" s="1"/>
  <c r="F17" i="1"/>
  <c r="C17" i="1"/>
  <c r="B17" i="1"/>
  <c r="AH17" i="1" s="1"/>
  <c r="B16" i="1"/>
  <c r="AH16" i="1" s="1"/>
  <c r="B15" i="1"/>
  <c r="AH15" i="1" s="1"/>
  <c r="B14" i="1"/>
  <c r="AH14" i="1" s="1"/>
  <c r="L13" i="1"/>
  <c r="K13" i="1"/>
  <c r="G13" i="1"/>
  <c r="G19" i="1" s="1"/>
  <c r="F13" i="1"/>
  <c r="B13" i="1"/>
  <c r="Z12" i="1"/>
  <c r="Y12" i="1"/>
  <c r="Y19" i="1" s="1"/>
  <c r="L12" i="1"/>
  <c r="F12" i="1"/>
  <c r="Z11" i="1"/>
  <c r="Z19" i="1" s="1"/>
  <c r="Z29" i="1" s="1"/>
  <c r="Z30" i="1" s="1"/>
  <c r="O11" i="1"/>
  <c r="O19" i="1" s="1"/>
  <c r="J11" i="1"/>
  <c r="J19" i="1" s="1"/>
  <c r="E11" i="1"/>
  <c r="E19" i="1" s="1"/>
  <c r="B11" i="1"/>
  <c r="L10" i="1"/>
  <c r="K10" i="1"/>
  <c r="B9" i="1"/>
  <c r="AH9" i="1" s="1"/>
  <c r="K8" i="1"/>
  <c r="B8" i="1"/>
  <c r="AH8" i="1" s="1"/>
  <c r="AH7" i="1"/>
  <c r="P29" i="1" l="1"/>
  <c r="P30" i="1" s="1"/>
  <c r="P95" i="1" s="1"/>
  <c r="P96" i="1" s="1"/>
  <c r="P94" i="1"/>
  <c r="S48" i="1"/>
  <c r="AH40" i="1"/>
  <c r="AH42" i="1"/>
  <c r="AH44" i="1"/>
  <c r="AD81" i="1"/>
  <c r="E29" i="1"/>
  <c r="E30" i="1" s="1"/>
  <c r="E95" i="1" s="1"/>
  <c r="E96" i="1" s="1"/>
  <c r="I29" i="1"/>
  <c r="I30" i="1" s="1"/>
  <c r="T35" i="1"/>
  <c r="X54" i="1"/>
  <c r="AH60" i="1"/>
  <c r="W81" i="1"/>
  <c r="X81" i="1"/>
  <c r="AH78" i="1"/>
  <c r="L88" i="1"/>
  <c r="AF88" i="1"/>
  <c r="K88" i="1"/>
  <c r="I93" i="1"/>
  <c r="I94" i="1" s="1"/>
  <c r="AH92" i="1"/>
  <c r="X93" i="1"/>
  <c r="X94" i="1" s="1"/>
  <c r="X95" i="1" s="1"/>
  <c r="X96" i="1" s="1"/>
  <c r="AH11" i="1"/>
  <c r="AH13" i="1"/>
  <c r="L94" i="1"/>
  <c r="AB48" i="1"/>
  <c r="R48" i="1"/>
  <c r="R94" i="1" s="1"/>
  <c r="R95" i="1" s="1"/>
  <c r="R96" i="1" s="1"/>
  <c r="F66" i="1"/>
  <c r="Z81" i="1"/>
  <c r="Z94" i="1" s="1"/>
  <c r="Z95" i="1" s="1"/>
  <c r="Z96" i="1" s="1"/>
  <c r="Y29" i="1"/>
  <c r="Y30" i="1" s="1"/>
  <c r="S29" i="1"/>
  <c r="S30" i="1" s="1"/>
  <c r="AG29" i="1"/>
  <c r="AG30" i="1" s="1"/>
  <c r="AG95" i="1" s="1"/>
  <c r="AG96" i="1" s="1"/>
  <c r="F35" i="1"/>
  <c r="AH35" i="1" s="1"/>
  <c r="AH34" i="1"/>
  <c r="C94" i="1"/>
  <c r="G48" i="1"/>
  <c r="V48" i="1"/>
  <c r="AC48" i="1"/>
  <c r="AC94" i="1" s="1"/>
  <c r="AC95" i="1" s="1"/>
  <c r="AC96" i="1" s="1"/>
  <c r="T48" i="1"/>
  <c r="AA66" i="1"/>
  <c r="J29" i="1"/>
  <c r="J30" i="1" s="1"/>
  <c r="T29" i="1"/>
  <c r="T30" i="1" s="1"/>
  <c r="AH20" i="1"/>
  <c r="N35" i="1"/>
  <c r="N94" i="1" s="1"/>
  <c r="N95" i="1" s="1"/>
  <c r="N96" i="1" s="1"/>
  <c r="H48" i="1"/>
  <c r="W48" i="1"/>
  <c r="AD48" i="1"/>
  <c r="F48" i="1"/>
  <c r="AH43" i="1"/>
  <c r="AH46" i="1"/>
  <c r="Y54" i="1"/>
  <c r="AH62" i="1"/>
  <c r="AH65" i="1"/>
  <c r="B88" i="1"/>
  <c r="O93" i="1"/>
  <c r="AA93" i="1"/>
  <c r="Y93" i="1"/>
  <c r="C95" i="1"/>
  <c r="C96" i="1" s="1"/>
  <c r="O29" i="1"/>
  <c r="O30" i="1" s="1"/>
  <c r="N29" i="1"/>
  <c r="N30" i="1" s="1"/>
  <c r="U29" i="1"/>
  <c r="U30" i="1" s="1"/>
  <c r="H94" i="1"/>
  <c r="H95" i="1" s="1"/>
  <c r="H96" i="1" s="1"/>
  <c r="V94" i="1"/>
  <c r="K94" i="1"/>
  <c r="AH41" i="1"/>
  <c r="AH50" i="1"/>
  <c r="Q54" i="1"/>
  <c r="AH53" i="1"/>
  <c r="D81" i="1"/>
  <c r="O88" i="1"/>
  <c r="O94" i="1" s="1"/>
  <c r="O95" i="1" s="1"/>
  <c r="O96" i="1" s="1"/>
  <c r="AH83" i="1"/>
  <c r="L19" i="1"/>
  <c r="L29" i="1" s="1"/>
  <c r="L30" i="1" s="1"/>
  <c r="L95" i="1" s="1"/>
  <c r="L96" i="1" s="1"/>
  <c r="AH12" i="1"/>
  <c r="G29" i="1"/>
  <c r="G30" i="1" s="1"/>
  <c r="Q29" i="1"/>
  <c r="Q30" i="1" s="1"/>
  <c r="W29" i="1"/>
  <c r="W30" i="1" s="1"/>
  <c r="AE29" i="1"/>
  <c r="AE30" i="1" s="1"/>
  <c r="AE94" i="1"/>
  <c r="AA48" i="1"/>
  <c r="AH39" i="1"/>
  <c r="Q48" i="1"/>
  <c r="Q94" i="1" s="1"/>
  <c r="Q95" i="1" s="1"/>
  <c r="Q96" i="1" s="1"/>
  <c r="O48" i="1"/>
  <c r="U48" i="1"/>
  <c r="AF54" i="1"/>
  <c r="B66" i="1"/>
  <c r="AH59" i="1"/>
  <c r="B71" i="1"/>
  <c r="B81" i="1"/>
  <c r="G81" i="1"/>
  <c r="G94" i="1" s="1"/>
  <c r="AA81" i="1"/>
  <c r="F88" i="1"/>
  <c r="W93" i="1"/>
  <c r="AD94" i="1"/>
  <c r="AD95" i="1" s="1"/>
  <c r="AD96" i="1" s="1"/>
  <c r="D48" i="1"/>
  <c r="AH48" i="1" s="1"/>
  <c r="O81" i="1"/>
  <c r="AH84" i="1"/>
  <c r="AA29" i="1"/>
  <c r="AA30" i="1" s="1"/>
  <c r="AH28" i="1"/>
  <c r="J94" i="1"/>
  <c r="AH66" i="1"/>
  <c r="AB29" i="1"/>
  <c r="AB30" i="1" s="1"/>
  <c r="W94" i="1"/>
  <c r="AF94" i="1"/>
  <c r="AF95" i="1" s="1"/>
  <c r="AF96" i="1" s="1"/>
  <c r="M94" i="1"/>
  <c r="AE95" i="1"/>
  <c r="AE96" i="1" s="1"/>
  <c r="S94" i="1"/>
  <c r="S95" i="1" s="1"/>
  <c r="S96" i="1" s="1"/>
  <c r="AH71" i="1"/>
  <c r="J95" i="1"/>
  <c r="J96" i="1" s="1"/>
  <c r="M29" i="1"/>
  <c r="M30" i="1" s="1"/>
  <c r="V95" i="1"/>
  <c r="V96" i="1" s="1"/>
  <c r="Y94" i="1"/>
  <c r="Y95" i="1" s="1"/>
  <c r="Y96" i="1" s="1"/>
  <c r="U94" i="1"/>
  <c r="U95" i="1" s="1"/>
  <c r="U96" i="1" s="1"/>
  <c r="AH93" i="1"/>
  <c r="AB94" i="1"/>
  <c r="AA94" i="1"/>
  <c r="AH75" i="1"/>
  <c r="F81" i="1"/>
  <c r="K19" i="1"/>
  <c r="K29" i="1" s="1"/>
  <c r="K30" i="1" s="1"/>
  <c r="K95" i="1" s="1"/>
  <c r="K96" i="1" s="1"/>
  <c r="AH27" i="1"/>
  <c r="B19" i="1"/>
  <c r="AH26" i="1"/>
  <c r="AH33" i="1"/>
  <c r="AH37" i="1"/>
  <c r="B54" i="1"/>
  <c r="AH54" i="1" s="1"/>
  <c r="AH61" i="1"/>
  <c r="AH68" i="1"/>
  <c r="D88" i="1"/>
  <c r="D94" i="1" s="1"/>
  <c r="D95" i="1" s="1"/>
  <c r="D96" i="1" s="1"/>
  <c r="AH10" i="1"/>
  <c r="AH38" i="1"/>
  <c r="F22" i="1"/>
  <c r="AH22" i="1" s="1"/>
  <c r="AH86" i="1"/>
  <c r="F19" i="1"/>
  <c r="AH90" i="1"/>
  <c r="I95" i="1" l="1"/>
  <c r="I96" i="1" s="1"/>
  <c r="G95" i="1"/>
  <c r="G96" i="1" s="1"/>
  <c r="T95" i="1"/>
  <c r="T96" i="1" s="1"/>
  <c r="T94" i="1"/>
  <c r="F94" i="1"/>
  <c r="AH94" i="1" s="1"/>
  <c r="F29" i="1"/>
  <c r="F30" i="1" s="1"/>
  <c r="F95" i="1" s="1"/>
  <c r="F96" i="1" s="1"/>
  <c r="B94" i="1"/>
  <c r="W95" i="1"/>
  <c r="W96" i="1" s="1"/>
  <c r="AH88" i="1"/>
  <c r="AH81" i="1"/>
  <c r="B29" i="1"/>
  <c r="AH19" i="1"/>
  <c r="AA95" i="1"/>
  <c r="AA96" i="1" s="1"/>
  <c r="M95" i="1"/>
  <c r="M96" i="1" s="1"/>
  <c r="AB95" i="1"/>
  <c r="AB96" i="1" s="1"/>
  <c r="B30" i="1" l="1"/>
  <c r="AH29" i="1"/>
  <c r="B95" i="1" l="1"/>
  <c r="AH30" i="1"/>
  <c r="B96" i="1" l="1"/>
  <c r="AH96" i="1" s="1"/>
  <c r="AH95" i="1"/>
</calcChain>
</file>

<file path=xl/sharedStrings.xml><?xml version="1.0" encoding="utf-8"?>
<sst xmlns="http://schemas.openxmlformats.org/spreadsheetml/2006/main" count="127" uniqueCount="127">
  <si>
    <t>0010 - Operations</t>
  </si>
  <si>
    <t>0025 - Staff Account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</si>
  <si>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</si>
  <si>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</si>
  <si>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</si>
  <si>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</si>
  <si>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</si>
  <si>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</si>
  <si>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</si>
  <si>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</si>
  <si>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</si>
  <si>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</si>
  <si>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</si>
  <si>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</si>
  <si>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</si>
  <si>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</si>
  <si>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</si>
  <si>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</si>
  <si>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</si>
  <si>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</si>
  <si>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</si>
  <si>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</si>
  <si>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</si>
  <si>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</si>
  <si>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</si>
  <si>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</si>
  <si>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</si>
  <si>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</si>
  <si>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</si>
  <si>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</si>
  <si>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</si>
  <si>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</si>
  <si>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</si>
  <si>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</si>
  <si>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</si>
  <si>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</si>
  <si>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</si>
  <si>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</si>
  <si>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</si>
  <si>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</si>
  <si>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</si>
  <si>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</si>
  <si>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</si>
  <si>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</si>
  <si>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</si>
  <si>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</si>
  <si>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</si>
  <si>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</si>
  <si>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</si>
  <si>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</si>
  <si>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</si>
  <si>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</si>
  <si>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</si>
  <si>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</si>
  <si>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</si>
  <si>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</si>
  <si>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</si>
  <si>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</si>
  <si>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</si>
  <si>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</si>
  <si>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</si>
  <si>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</si>
  <si>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</si>
  <si>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</si>
  <si>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</si>
  <si>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</si>
  <si>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</si>
  <si>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</si>
  <si>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</si>
  <si>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</si>
  <si>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</si>
  <si>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</si>
  <si>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</si>
  <si>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</si>
  <si>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</si>
  <si>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</si>
  <si>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</si>
  <si>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</si>
  <si>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</si>
  <si>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</si>
  <si>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</si>
  <si>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</si>
  <si>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</si>
  <si>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</si>
  <si>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</si>
  <si>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</si>
  <si>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</si>
  <si>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</si>
  <si>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</si>
  <si>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</si>
  <si>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</si>
  <si>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</si>
  <si>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</si>
  <si>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</si>
  <si>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</si>
  <si>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</si>
  <si>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</si>
  <si>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</si>
  <si>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</si>
  <si>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</si>
  <si>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</si>
  <si>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</si>
  <si>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</si>
  <si>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</si>
  <si>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</si>
  <si>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</si>
  <si>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</si>
  <si>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</si>
  <si>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</si>
  <si>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</si>
  <si>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</si>
  <si>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</si>
  <si>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</si>
  <si>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</si>
  <si>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</si>
  <si>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</si>
  <si>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</si>
  <si>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</si>
  <si>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</si>
  <si>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</si>
  <si>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</si>
  <si>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</si>
  <si>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</si>
  <si>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</si>
  <si>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</si>
  <si>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</si>
  <si>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December,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</si>
</sst>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"/>
  <sheetViews>
    <sheetView tabSelected="1" topLeftCell="O79" workbookViewId="0">
      <selection activeCell="A100" sqref="A100:AH100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9.42578125" customWidth="1"/>
    <col min="6" max="6" width="12" customWidth="1"/>
    <col min="7" max="7" width="10.28515625" customWidth="1"/>
    <col min="8" max="8" width="11.140625" customWidth="1"/>
    <col min="9" max="10" width="9.42578125" customWidth="1"/>
    <col min="11" max="11" width="10.28515625" customWidth="1"/>
    <col min="12" max="12" width="11.140625" customWidth="1"/>
    <col min="13" max="13" width="9.42578125" customWidth="1"/>
    <col min="14" max="14" width="10.28515625" customWidth="1"/>
    <col min="15" max="15" width="11.140625" customWidth="1"/>
    <col min="16" max="16" width="8.5703125" customWidth="1"/>
    <col min="17" max="17" width="12" customWidth="1"/>
    <col min="18" max="20" width="10.28515625" customWidth="1"/>
    <col min="21" max="21" width="11.140625" customWidth="1"/>
    <col min="22" max="22" width="8.5703125" customWidth="1"/>
    <col min="23" max="25" width="10.28515625" customWidth="1"/>
    <col min="26" max="26" width="9.42578125" customWidth="1"/>
    <col min="27" max="27" width="12" customWidth="1"/>
    <col min="28" max="29" width="8.5703125" customWidth="1"/>
    <col min="30" max="32" width="10.28515625" customWidth="1"/>
    <col min="33" max="33" width="7.7109375" hidden="1" customWidth="1"/>
    <col min="34" max="34" width="12" customWidth="1"/>
  </cols>
  <sheetData>
    <row r="1" spans="1:34" ht="18" x14ac:dyDescent="0.25">
      <c r="A1" s="10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8" x14ac:dyDescent="0.25">
      <c r="A2" s="10" t="s">
        <v>125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1" t="s">
        <v>126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5" spans="1:34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</row>
    <row r="6" spans="1:34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3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>
        <f t="shared" ref="AH7:AH30" si="0">(((((((((((((((((((((((((((((((B7)+(C7))+(D7))+(E7))+(F7))+(G7))+(H7))+(I7))+(J7))+(K7))+(L7))+(M7))+(N7))+(O7))+(P7))+(Q7))+(R7))+(S7))+(T7))+(U7))+(V7))+(W7))+(X7))+(Y7))+(Z7))+(AA7))+(AB7))+(AC7))+(AD7))+(AE7))+(AF7))+(AG7)</f>
        <v>0</v>
      </c>
    </row>
    <row r="8" spans="1:34" x14ac:dyDescent="0.25">
      <c r="A8" s="3" t="s">
        <v>35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5">
        <f>400</f>
        <v>400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>
        <f t="shared" si="0"/>
        <v>272522.23</v>
      </c>
    </row>
    <row r="9" spans="1:34" x14ac:dyDescent="0.25">
      <c r="A9" s="3" t="s">
        <v>36</v>
      </c>
      <c r="B9" s="5">
        <f>61600.83</f>
        <v>61600.83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>
        <f t="shared" si="0"/>
        <v>61600.83</v>
      </c>
    </row>
    <row r="10" spans="1:34" x14ac:dyDescent="0.25">
      <c r="A10" s="3" t="s">
        <v>37</v>
      </c>
      <c r="B10" s="4"/>
      <c r="C10" s="4"/>
      <c r="D10" s="4"/>
      <c r="E10" s="4"/>
      <c r="F10" s="4"/>
      <c r="G10" s="4"/>
      <c r="H10" s="4"/>
      <c r="I10" s="4"/>
      <c r="J10" s="4"/>
      <c r="K10" s="5">
        <f>340696.67</f>
        <v>340696.67</v>
      </c>
      <c r="L10" s="5">
        <f>11400</f>
        <v>11400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>
        <f t="shared" si="0"/>
        <v>352096.67</v>
      </c>
    </row>
    <row r="11" spans="1:34" x14ac:dyDescent="0.25">
      <c r="A11" s="3" t="s">
        <v>38</v>
      </c>
      <c r="B11" s="5">
        <f>35000</f>
        <v>35000</v>
      </c>
      <c r="C11" s="4"/>
      <c r="D11" s="4"/>
      <c r="E11" s="5">
        <f>25865.75</f>
        <v>25865.75</v>
      </c>
      <c r="F11" s="4"/>
      <c r="G11" s="4"/>
      <c r="H11" s="4"/>
      <c r="I11" s="4"/>
      <c r="J11" s="5">
        <f>64019.36</f>
        <v>64019.360000000001</v>
      </c>
      <c r="K11" s="4"/>
      <c r="L11" s="4"/>
      <c r="M11" s="4"/>
      <c r="N11" s="4"/>
      <c r="O11" s="5">
        <f>99903.3</f>
        <v>99903.3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5">
        <f>45065</f>
        <v>45065</v>
      </c>
      <c r="AA11" s="4"/>
      <c r="AB11" s="4"/>
      <c r="AC11" s="4"/>
      <c r="AD11" s="4"/>
      <c r="AE11" s="4"/>
      <c r="AF11" s="4"/>
      <c r="AG11" s="4"/>
      <c r="AH11" s="5">
        <f t="shared" si="0"/>
        <v>269853.41000000003</v>
      </c>
    </row>
    <row r="12" spans="1:34" x14ac:dyDescent="0.25">
      <c r="A12" s="3" t="s">
        <v>39</v>
      </c>
      <c r="B12" s="4"/>
      <c r="C12" s="4"/>
      <c r="D12" s="4"/>
      <c r="E12" s="4"/>
      <c r="F12" s="5">
        <f>8025</f>
        <v>8025</v>
      </c>
      <c r="G12" s="4"/>
      <c r="H12" s="4"/>
      <c r="I12" s="4"/>
      <c r="J12" s="4"/>
      <c r="K12" s="4"/>
      <c r="L12" s="5">
        <f>970</f>
        <v>970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5">
        <f>-1000</f>
        <v>-1000</v>
      </c>
      <c r="Z12" s="5">
        <f>5000</f>
        <v>5000</v>
      </c>
      <c r="AA12" s="4"/>
      <c r="AB12" s="4"/>
      <c r="AC12" s="4"/>
      <c r="AD12" s="4"/>
      <c r="AE12" s="4"/>
      <c r="AF12" s="4"/>
      <c r="AG12" s="4"/>
      <c r="AH12" s="5">
        <f t="shared" si="0"/>
        <v>12995</v>
      </c>
    </row>
    <row r="13" spans="1:34" x14ac:dyDescent="0.25">
      <c r="A13" s="3" t="s">
        <v>40</v>
      </c>
      <c r="B13" s="5">
        <f>1288.71</f>
        <v>1288.71</v>
      </c>
      <c r="C13" s="4"/>
      <c r="D13" s="4"/>
      <c r="E13" s="4"/>
      <c r="F13" s="5">
        <f>124.5</f>
        <v>124.5</v>
      </c>
      <c r="G13" s="5">
        <f>-97.68</f>
        <v>-97.68</v>
      </c>
      <c r="H13" s="4"/>
      <c r="I13" s="4"/>
      <c r="J13" s="4"/>
      <c r="K13" s="5">
        <f>0</f>
        <v>0</v>
      </c>
      <c r="L13" s="5">
        <f>787.5</f>
        <v>787.5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2103.0299999999997</v>
      </c>
    </row>
    <row r="14" spans="1:34" x14ac:dyDescent="0.25">
      <c r="A14" s="3" t="s">
        <v>41</v>
      </c>
      <c r="B14" s="5">
        <f>32616.19</f>
        <v>32616.19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>
        <f t="shared" si="0"/>
        <v>32616.19</v>
      </c>
    </row>
    <row r="15" spans="1:34" x14ac:dyDescent="0.25">
      <c r="A15" s="3" t="s">
        <v>42</v>
      </c>
      <c r="B15" s="5">
        <f>687841.24</f>
        <v>687841.24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0"/>
        <v>687841.24</v>
      </c>
    </row>
    <row r="16" spans="1:34" x14ac:dyDescent="0.25">
      <c r="A16" s="3" t="s">
        <v>43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>
        <f t="shared" si="0"/>
        <v>61700</v>
      </c>
    </row>
    <row r="17" spans="1:34" x14ac:dyDescent="0.25">
      <c r="A17" s="3" t="s">
        <v>44</v>
      </c>
      <c r="B17" s="5">
        <f>135</f>
        <v>135</v>
      </c>
      <c r="C17" s="5">
        <f>275</f>
        <v>275</v>
      </c>
      <c r="D17" s="4"/>
      <c r="E17" s="4"/>
      <c r="F17" s="5">
        <f>0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>
        <f t="shared" si="0"/>
        <v>410</v>
      </c>
    </row>
    <row r="18" spans="1:34" x14ac:dyDescent="0.25">
      <c r="A18" s="3" t="s">
        <v>45</v>
      </c>
      <c r="B18" s="4"/>
      <c r="C18" s="4"/>
      <c r="D18" s="4"/>
      <c r="E18" s="4"/>
      <c r="F18" s="5">
        <f>93240</f>
        <v>93240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>
        <f t="shared" si="0"/>
        <v>93240</v>
      </c>
    </row>
    <row r="19" spans="1:34" x14ac:dyDescent="0.25">
      <c r="A19" s="3" t="s">
        <v>46</v>
      </c>
      <c r="B19" s="6">
        <f t="shared" ref="B19:AG19" si="1">(((((((((((B7)+(B8))+(B9))+(B10))+(B11))+(B12))+(B13))+(B14))+(B15))+(B16))+(B17))+(B18)</f>
        <v>1152304.2</v>
      </c>
      <c r="C19" s="6">
        <f t="shared" si="1"/>
        <v>275</v>
      </c>
      <c r="D19" s="6">
        <f t="shared" si="1"/>
        <v>0</v>
      </c>
      <c r="E19" s="6">
        <f t="shared" si="1"/>
        <v>25865.75</v>
      </c>
      <c r="F19" s="6">
        <f t="shared" si="1"/>
        <v>101389.5</v>
      </c>
      <c r="G19" s="6">
        <f t="shared" si="1"/>
        <v>-97.68</v>
      </c>
      <c r="H19" s="6">
        <f t="shared" si="1"/>
        <v>0</v>
      </c>
      <c r="I19" s="6">
        <f t="shared" si="1"/>
        <v>0</v>
      </c>
      <c r="J19" s="6">
        <f t="shared" si="1"/>
        <v>64019.360000000001</v>
      </c>
      <c r="K19" s="6">
        <f t="shared" si="1"/>
        <v>341096.67</v>
      </c>
      <c r="L19" s="6">
        <f t="shared" si="1"/>
        <v>13157.5</v>
      </c>
      <c r="M19" s="6">
        <f t="shared" si="1"/>
        <v>0</v>
      </c>
      <c r="N19" s="6">
        <f t="shared" si="1"/>
        <v>0</v>
      </c>
      <c r="O19" s="6">
        <f t="shared" si="1"/>
        <v>99903.3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-1000</v>
      </c>
      <c r="Z19" s="6">
        <f t="shared" si="1"/>
        <v>50065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0"/>
        <v>1846978.6</v>
      </c>
    </row>
    <row r="20" spans="1:34" x14ac:dyDescent="0.25">
      <c r="A20" s="3" t="s">
        <v>47</v>
      </c>
      <c r="B20" s="4"/>
      <c r="C20" s="4"/>
      <c r="D20" s="4"/>
      <c r="E20" s="4"/>
      <c r="F20" s="5">
        <f>2048584.65</f>
        <v>2048584.65</v>
      </c>
      <c r="G20" s="4"/>
      <c r="H20" s="4"/>
      <c r="I20" s="5">
        <f>89620.8</f>
        <v>89620.800000000003</v>
      </c>
      <c r="J20" s="4"/>
      <c r="K20" s="4"/>
      <c r="L20" s="4"/>
      <c r="M20" s="5">
        <f>64256.54</f>
        <v>64256.54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/>
      <c r="AH20" s="5">
        <f t="shared" si="0"/>
        <v>2202461.9899999998</v>
      </c>
    </row>
    <row r="21" spans="1:34" x14ac:dyDescent="0.25">
      <c r="A21" s="3" t="s">
        <v>48</v>
      </c>
      <c r="B21" s="4"/>
      <c r="C21" s="4"/>
      <c r="D21" s="4"/>
      <c r="E21" s="4"/>
      <c r="F21" s="5">
        <f>35104.35</f>
        <v>35104.35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>
        <f t="shared" si="0"/>
        <v>35104.35</v>
      </c>
    </row>
    <row r="22" spans="1:34" x14ac:dyDescent="0.25">
      <c r="A22" s="3" t="s">
        <v>49</v>
      </c>
      <c r="B22" s="6">
        <f t="shared" ref="B22:AG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2083689</v>
      </c>
      <c r="G22" s="6">
        <f t="shared" si="2"/>
        <v>0</v>
      </c>
      <c r="H22" s="6">
        <f t="shared" si="2"/>
        <v>0</v>
      </c>
      <c r="I22" s="6">
        <f t="shared" si="2"/>
        <v>89620.800000000003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64256.54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0"/>
        <v>2237566.34</v>
      </c>
    </row>
    <row r="23" spans="1:34" x14ac:dyDescent="0.25">
      <c r="A23" s="3" t="s">
        <v>50</v>
      </c>
      <c r="B23" s="5">
        <f>55566</f>
        <v>55566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>
        <f t="shared" si="0"/>
        <v>55566</v>
      </c>
    </row>
    <row r="24" spans="1:34" x14ac:dyDescent="0.25">
      <c r="A24" s="3" t="s">
        <v>51</v>
      </c>
      <c r="B24" s="5">
        <f>34453.02</f>
        <v>34453.019999999997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>
        <f t="shared" si="0"/>
        <v>34453.019999999997</v>
      </c>
    </row>
    <row r="25" spans="1:34" x14ac:dyDescent="0.25">
      <c r="A25" s="3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>
        <f t="shared" si="0"/>
        <v>0</v>
      </c>
    </row>
    <row r="26" spans="1:34" x14ac:dyDescent="0.25">
      <c r="A26" s="3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579880.44</f>
        <v>579880.43999999994</v>
      </c>
      <c r="O26" s="4"/>
      <c r="P26" s="4"/>
      <c r="Q26" s="4"/>
      <c r="R26" s="5">
        <f>475211.69</f>
        <v>475211.69</v>
      </c>
      <c r="S26" s="4"/>
      <c r="T26" s="5">
        <f>108289.91</f>
        <v>108289.91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>
        <f t="shared" si="0"/>
        <v>1163382.0399999998</v>
      </c>
    </row>
    <row r="27" spans="1:34" x14ac:dyDescent="0.25">
      <c r="A27" s="3" t="s">
        <v>54</v>
      </c>
      <c r="B27" s="4"/>
      <c r="C27" s="4"/>
      <c r="D27" s="5">
        <f>416740.81</f>
        <v>416740.81</v>
      </c>
      <c r="E27" s="4"/>
      <c r="F27" s="4"/>
      <c r="G27" s="5">
        <f>79425.17</f>
        <v>79425.17</v>
      </c>
      <c r="H27" s="5">
        <f>74259.76</f>
        <v>74259.759999999995</v>
      </c>
      <c r="I27" s="4"/>
      <c r="J27" s="4"/>
      <c r="K27" s="4"/>
      <c r="L27" s="4"/>
      <c r="M27" s="4"/>
      <c r="N27" s="4"/>
      <c r="O27" s="4"/>
      <c r="P27" s="5">
        <f>1095.66</f>
        <v>1095.6600000000001</v>
      </c>
      <c r="Q27" s="5">
        <f>1106630.66</f>
        <v>1106630.6599999999</v>
      </c>
      <c r="R27" s="4"/>
      <c r="S27" s="5">
        <f>235647.4</f>
        <v>235647.4</v>
      </c>
      <c r="T27" s="4"/>
      <c r="U27" s="5">
        <f>7332.04</f>
        <v>7332.04</v>
      </c>
      <c r="V27" s="4"/>
      <c r="W27" s="5">
        <f>257714.97</f>
        <v>257714.97</v>
      </c>
      <c r="X27" s="5">
        <f>340115</f>
        <v>340115</v>
      </c>
      <c r="Y27" s="5">
        <f>159299.88</f>
        <v>159299.88</v>
      </c>
      <c r="Z27" s="4"/>
      <c r="AA27" s="5">
        <f>332922.37</f>
        <v>332922.37</v>
      </c>
      <c r="AB27" s="5">
        <f>6515.45</f>
        <v>6515.45</v>
      </c>
      <c r="AC27" s="5">
        <f>1826</f>
        <v>1826</v>
      </c>
      <c r="AD27" s="5">
        <f>280445.22</f>
        <v>280445.21999999997</v>
      </c>
      <c r="AE27" s="5">
        <f>295178.5</f>
        <v>295178.5</v>
      </c>
      <c r="AF27" s="5">
        <f>473928.4</f>
        <v>473928.4</v>
      </c>
      <c r="AG27" s="4"/>
      <c r="AH27" s="5">
        <f t="shared" si="0"/>
        <v>4069077.2900000005</v>
      </c>
    </row>
    <row r="28" spans="1:34" x14ac:dyDescent="0.25">
      <c r="A28" s="3" t="s">
        <v>55</v>
      </c>
      <c r="B28" s="6">
        <f t="shared" ref="B28:AG28" si="3">((B25)+(B26))+(B27)</f>
        <v>0</v>
      </c>
      <c r="C28" s="6">
        <f t="shared" si="3"/>
        <v>0</v>
      </c>
      <c r="D28" s="6">
        <f t="shared" si="3"/>
        <v>416740.81</v>
      </c>
      <c r="E28" s="6">
        <f t="shared" si="3"/>
        <v>0</v>
      </c>
      <c r="F28" s="6">
        <f t="shared" si="3"/>
        <v>0</v>
      </c>
      <c r="G28" s="6">
        <f t="shared" si="3"/>
        <v>79425.17</v>
      </c>
      <c r="H28" s="6">
        <f t="shared" si="3"/>
        <v>74259.759999999995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579880.43999999994</v>
      </c>
      <c r="O28" s="6">
        <f t="shared" si="3"/>
        <v>0</v>
      </c>
      <c r="P28" s="6">
        <f t="shared" si="3"/>
        <v>1095.6600000000001</v>
      </c>
      <c r="Q28" s="6">
        <f t="shared" si="3"/>
        <v>1106630.6599999999</v>
      </c>
      <c r="R28" s="6">
        <f t="shared" si="3"/>
        <v>475211.69</v>
      </c>
      <c r="S28" s="6">
        <f t="shared" si="3"/>
        <v>235647.4</v>
      </c>
      <c r="T28" s="6">
        <f t="shared" si="3"/>
        <v>108289.91</v>
      </c>
      <c r="U28" s="6">
        <f t="shared" si="3"/>
        <v>7332.04</v>
      </c>
      <c r="V28" s="6">
        <f t="shared" si="3"/>
        <v>0</v>
      </c>
      <c r="W28" s="6">
        <f t="shared" si="3"/>
        <v>257714.97</v>
      </c>
      <c r="X28" s="6">
        <f t="shared" si="3"/>
        <v>340115</v>
      </c>
      <c r="Y28" s="6">
        <f t="shared" si="3"/>
        <v>159299.88</v>
      </c>
      <c r="Z28" s="6">
        <f t="shared" si="3"/>
        <v>0</v>
      </c>
      <c r="AA28" s="6">
        <f t="shared" si="3"/>
        <v>332922.37</v>
      </c>
      <c r="AB28" s="6">
        <f t="shared" si="3"/>
        <v>6515.45</v>
      </c>
      <c r="AC28" s="6">
        <f t="shared" si="3"/>
        <v>1826</v>
      </c>
      <c r="AD28" s="6">
        <f t="shared" si="3"/>
        <v>280445.21999999997</v>
      </c>
      <c r="AE28" s="6">
        <f t="shared" si="3"/>
        <v>295178.5</v>
      </c>
      <c r="AF28" s="6">
        <f t="shared" si="3"/>
        <v>473928.4</v>
      </c>
      <c r="AG28" s="6">
        <f t="shared" si="3"/>
        <v>0</v>
      </c>
      <c r="AH28" s="6">
        <f t="shared" si="0"/>
        <v>5232459.330000001</v>
      </c>
    </row>
    <row r="29" spans="1:34" x14ac:dyDescent="0.25">
      <c r="A29" s="3" t="s">
        <v>56</v>
      </c>
      <c r="B29" s="6">
        <f t="shared" ref="B29:AG29" si="4">((((B19)+(B22))+(B23))+(B24))+(B28)</f>
        <v>1242323.22</v>
      </c>
      <c r="C29" s="6">
        <f t="shared" si="4"/>
        <v>275</v>
      </c>
      <c r="D29" s="6">
        <f t="shared" si="4"/>
        <v>416740.81</v>
      </c>
      <c r="E29" s="6">
        <f t="shared" si="4"/>
        <v>25865.75</v>
      </c>
      <c r="F29" s="6">
        <f t="shared" si="4"/>
        <v>2185078.5</v>
      </c>
      <c r="G29" s="6">
        <f t="shared" si="4"/>
        <v>79327.490000000005</v>
      </c>
      <c r="H29" s="6">
        <f t="shared" si="4"/>
        <v>74259.759999999995</v>
      </c>
      <c r="I29" s="6">
        <f t="shared" si="4"/>
        <v>89620.800000000003</v>
      </c>
      <c r="J29" s="6">
        <f t="shared" si="4"/>
        <v>64019.360000000001</v>
      </c>
      <c r="K29" s="6">
        <f t="shared" si="4"/>
        <v>341096.67</v>
      </c>
      <c r="L29" s="6">
        <f t="shared" si="4"/>
        <v>13157.5</v>
      </c>
      <c r="M29" s="6">
        <f t="shared" si="4"/>
        <v>64256.54</v>
      </c>
      <c r="N29" s="6">
        <f t="shared" si="4"/>
        <v>579880.43999999994</v>
      </c>
      <c r="O29" s="6">
        <f t="shared" si="4"/>
        <v>99903.3</v>
      </c>
      <c r="P29" s="6">
        <f t="shared" si="4"/>
        <v>1095.6600000000001</v>
      </c>
      <c r="Q29" s="6">
        <f t="shared" si="4"/>
        <v>1106630.6599999999</v>
      </c>
      <c r="R29" s="6">
        <f t="shared" si="4"/>
        <v>475211.69</v>
      </c>
      <c r="S29" s="6">
        <f t="shared" si="4"/>
        <v>235647.4</v>
      </c>
      <c r="T29" s="6">
        <f t="shared" si="4"/>
        <v>108289.91</v>
      </c>
      <c r="U29" s="6">
        <f t="shared" si="4"/>
        <v>7332.04</v>
      </c>
      <c r="V29" s="6">
        <f t="shared" si="4"/>
        <v>0</v>
      </c>
      <c r="W29" s="6">
        <f t="shared" si="4"/>
        <v>257714.97</v>
      </c>
      <c r="X29" s="6">
        <f t="shared" si="4"/>
        <v>340115</v>
      </c>
      <c r="Y29" s="6">
        <f t="shared" si="4"/>
        <v>158299.88</v>
      </c>
      <c r="Z29" s="6">
        <f t="shared" si="4"/>
        <v>50065</v>
      </c>
      <c r="AA29" s="6">
        <f t="shared" si="4"/>
        <v>332922.37</v>
      </c>
      <c r="AB29" s="6">
        <f t="shared" si="4"/>
        <v>6515.45</v>
      </c>
      <c r="AC29" s="6">
        <f t="shared" si="4"/>
        <v>1826</v>
      </c>
      <c r="AD29" s="6">
        <f t="shared" si="4"/>
        <v>280445.21999999997</v>
      </c>
      <c r="AE29" s="6">
        <f t="shared" si="4"/>
        <v>295178.5</v>
      </c>
      <c r="AF29" s="6">
        <f t="shared" si="4"/>
        <v>473928.4</v>
      </c>
      <c r="AG29" s="6">
        <f t="shared" si="4"/>
        <v>0</v>
      </c>
      <c r="AH29" s="6">
        <f t="shared" si="0"/>
        <v>9407023.290000001</v>
      </c>
    </row>
    <row r="30" spans="1:34" x14ac:dyDescent="0.25">
      <c r="A30" s="3" t="s">
        <v>57</v>
      </c>
      <c r="B30" s="6">
        <f t="shared" ref="B30:AG30" si="5">(B29)-(0)</f>
        <v>1242323.22</v>
      </c>
      <c r="C30" s="6">
        <f t="shared" si="5"/>
        <v>275</v>
      </c>
      <c r="D30" s="6">
        <f t="shared" si="5"/>
        <v>416740.81</v>
      </c>
      <c r="E30" s="6">
        <f t="shared" si="5"/>
        <v>25865.75</v>
      </c>
      <c r="F30" s="6">
        <f t="shared" si="5"/>
        <v>2185078.5</v>
      </c>
      <c r="G30" s="6">
        <f t="shared" si="5"/>
        <v>79327.490000000005</v>
      </c>
      <c r="H30" s="6">
        <f t="shared" si="5"/>
        <v>74259.759999999995</v>
      </c>
      <c r="I30" s="6">
        <f t="shared" si="5"/>
        <v>89620.800000000003</v>
      </c>
      <c r="J30" s="6">
        <f t="shared" si="5"/>
        <v>64019.360000000001</v>
      </c>
      <c r="K30" s="6">
        <f t="shared" si="5"/>
        <v>341096.67</v>
      </c>
      <c r="L30" s="6">
        <f t="shared" si="5"/>
        <v>13157.5</v>
      </c>
      <c r="M30" s="6">
        <f t="shared" si="5"/>
        <v>64256.54</v>
      </c>
      <c r="N30" s="6">
        <f t="shared" si="5"/>
        <v>579880.43999999994</v>
      </c>
      <c r="O30" s="6">
        <f t="shared" si="5"/>
        <v>99903.3</v>
      </c>
      <c r="P30" s="6">
        <f t="shared" si="5"/>
        <v>1095.6600000000001</v>
      </c>
      <c r="Q30" s="6">
        <f t="shared" si="5"/>
        <v>1106630.6599999999</v>
      </c>
      <c r="R30" s="6">
        <f t="shared" si="5"/>
        <v>475211.69</v>
      </c>
      <c r="S30" s="6">
        <f t="shared" si="5"/>
        <v>235647.4</v>
      </c>
      <c r="T30" s="6">
        <f t="shared" si="5"/>
        <v>108289.91</v>
      </c>
      <c r="U30" s="6">
        <f t="shared" si="5"/>
        <v>7332.04</v>
      </c>
      <c r="V30" s="6">
        <f t="shared" si="5"/>
        <v>0</v>
      </c>
      <c r="W30" s="6">
        <f t="shared" si="5"/>
        <v>257714.97</v>
      </c>
      <c r="X30" s="6">
        <f t="shared" si="5"/>
        <v>340115</v>
      </c>
      <c r="Y30" s="6">
        <f t="shared" si="5"/>
        <v>158299.88</v>
      </c>
      <c r="Z30" s="6">
        <f t="shared" si="5"/>
        <v>50065</v>
      </c>
      <c r="AA30" s="6">
        <f t="shared" si="5"/>
        <v>332922.37</v>
      </c>
      <c r="AB30" s="6">
        <f t="shared" si="5"/>
        <v>6515.45</v>
      </c>
      <c r="AC30" s="6">
        <f t="shared" si="5"/>
        <v>1826</v>
      </c>
      <c r="AD30" s="6">
        <f t="shared" si="5"/>
        <v>280445.21999999997</v>
      </c>
      <c r="AE30" s="6">
        <f t="shared" si="5"/>
        <v>295178.5</v>
      </c>
      <c r="AF30" s="6">
        <f t="shared" si="5"/>
        <v>473928.4</v>
      </c>
      <c r="AG30" s="6">
        <f t="shared" si="5"/>
        <v>0</v>
      </c>
      <c r="AH30" s="6">
        <f t="shared" si="0"/>
        <v>9407023.290000001</v>
      </c>
    </row>
    <row r="31" spans="1:34" x14ac:dyDescent="0.25">
      <c r="A31" s="3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5">
      <c r="A32" s="3" t="s">
        <v>59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>
        <f t="shared" ref="AH32:AH63" si="6">(((((((((((((((((((((((((((((((B32)+(C32))+(D32))+(E32))+(F32))+(G32))+(H32))+(I32))+(J32))+(K32))+(L32))+(M32))+(N32))+(O32))+(P32))+(Q32))+(R32))+(S32))+(T32))+(U32))+(V32))+(W32))+(X32))+(Y32))+(Z32))+(AA32))+(AB32))+(AC32))+(AD32))+(AE32))+(AF32))+(AG32)</f>
        <v>0</v>
      </c>
    </row>
    <row r="33" spans="1:34" x14ac:dyDescent="0.25">
      <c r="A33" s="3" t="s">
        <v>60</v>
      </c>
      <c r="B33" s="5">
        <f>100246.92</f>
        <v>100246.92</v>
      </c>
      <c r="C33" s="4"/>
      <c r="D33" s="5">
        <f>175670.27</f>
        <v>175670.27</v>
      </c>
      <c r="E33" s="4"/>
      <c r="F33" s="5">
        <f>448343.92</f>
        <v>448343.92</v>
      </c>
      <c r="G33" s="5">
        <f>23317.52</f>
        <v>23317.52</v>
      </c>
      <c r="H33" s="5">
        <f>45667.61</f>
        <v>45667.61</v>
      </c>
      <c r="I33" s="5">
        <f>57876.84</f>
        <v>57876.84</v>
      </c>
      <c r="J33" s="4"/>
      <c r="K33" s="5">
        <f>700.66</f>
        <v>700.66</v>
      </c>
      <c r="L33" s="5">
        <f>-1261.18</f>
        <v>-1261.18</v>
      </c>
      <c r="M33" s="5">
        <f>27951.48</f>
        <v>27951.48</v>
      </c>
      <c r="N33" s="5">
        <f>412854.84</f>
        <v>412854.84</v>
      </c>
      <c r="O33" s="5">
        <f>59725.68</f>
        <v>59725.68</v>
      </c>
      <c r="P33" s="5">
        <f>1000</f>
        <v>1000</v>
      </c>
      <c r="Q33" s="5">
        <f>53379.85</f>
        <v>53379.85</v>
      </c>
      <c r="R33" s="4"/>
      <c r="S33" s="5">
        <f>38749.92</f>
        <v>38749.919999999998</v>
      </c>
      <c r="T33" s="5">
        <f>49058.76</f>
        <v>49058.76</v>
      </c>
      <c r="U33" s="5">
        <f>16469.01</f>
        <v>16469.009999999998</v>
      </c>
      <c r="V33" s="5">
        <f>-700.66</f>
        <v>-700.66</v>
      </c>
      <c r="W33" s="5">
        <f>131918.9</f>
        <v>131918.9</v>
      </c>
      <c r="X33" s="5">
        <f>149139.4</f>
        <v>149139.4</v>
      </c>
      <c r="Y33" s="5">
        <f>95406.52</f>
        <v>95406.52</v>
      </c>
      <c r="Z33" s="4"/>
      <c r="AA33" s="5">
        <f>152377.94</f>
        <v>152377.94</v>
      </c>
      <c r="AB33" s="5">
        <f>3217.14</f>
        <v>3217.14</v>
      </c>
      <c r="AC33" s="5">
        <f>1528.38</f>
        <v>1528.38</v>
      </c>
      <c r="AD33" s="5">
        <f>89241.12</f>
        <v>89241.12</v>
      </c>
      <c r="AE33" s="5">
        <f>10000</f>
        <v>10000</v>
      </c>
      <c r="AF33" s="5">
        <f>149295.1</f>
        <v>149295.1</v>
      </c>
      <c r="AG33" s="4"/>
      <c r="AH33" s="5">
        <f t="shared" si="6"/>
        <v>2291175.9399999995</v>
      </c>
    </row>
    <row r="34" spans="1:34" x14ac:dyDescent="0.25">
      <c r="A34" s="3" t="s">
        <v>61</v>
      </c>
      <c r="B34" s="5">
        <f>112173.58</f>
        <v>112173.58</v>
      </c>
      <c r="C34" s="4"/>
      <c r="D34" s="5">
        <f>24428.69</f>
        <v>24428.69</v>
      </c>
      <c r="E34" s="5">
        <f>23062.56</f>
        <v>23062.560000000001</v>
      </c>
      <c r="F34" s="5">
        <f>141914.01</f>
        <v>141914.01</v>
      </c>
      <c r="G34" s="4"/>
      <c r="H34" s="4"/>
      <c r="I34" s="4"/>
      <c r="J34" s="5">
        <f>44697.84</f>
        <v>44697.84</v>
      </c>
      <c r="K34" s="4"/>
      <c r="L34" s="4"/>
      <c r="M34" s="4"/>
      <c r="N34" s="5">
        <f>22500</f>
        <v>22500</v>
      </c>
      <c r="O34" s="4"/>
      <c r="P34" s="4"/>
      <c r="Q34" s="5">
        <f>26967.48</f>
        <v>26967.48</v>
      </c>
      <c r="R34" s="5">
        <f>329469.58</f>
        <v>329469.58</v>
      </c>
      <c r="S34" s="4"/>
      <c r="T34" s="5">
        <f>37500</f>
        <v>37500</v>
      </c>
      <c r="U34" s="4"/>
      <c r="V34" s="4"/>
      <c r="W34" s="5">
        <f>11753.72</f>
        <v>11753.72</v>
      </c>
      <c r="X34" s="5">
        <f>16809.36</f>
        <v>16809.36</v>
      </c>
      <c r="Y34" s="4"/>
      <c r="Z34" s="4"/>
      <c r="AA34" s="5">
        <f>22676.06</f>
        <v>22676.06</v>
      </c>
      <c r="AB34" s="4"/>
      <c r="AC34" s="4"/>
      <c r="AD34" s="4"/>
      <c r="AE34" s="4"/>
      <c r="AF34" s="4"/>
      <c r="AG34" s="4"/>
      <c r="AH34" s="5">
        <f t="shared" si="6"/>
        <v>813952.88</v>
      </c>
    </row>
    <row r="35" spans="1:34" x14ac:dyDescent="0.25">
      <c r="A35" s="3" t="s">
        <v>62</v>
      </c>
      <c r="B35" s="6">
        <f t="shared" ref="B35:AG35" si="7">((B32)+(B33))+(B34)</f>
        <v>212420.5</v>
      </c>
      <c r="C35" s="6">
        <f t="shared" si="7"/>
        <v>0</v>
      </c>
      <c r="D35" s="6">
        <f t="shared" si="7"/>
        <v>200098.96</v>
      </c>
      <c r="E35" s="6">
        <f t="shared" si="7"/>
        <v>23062.560000000001</v>
      </c>
      <c r="F35" s="6">
        <f t="shared" si="7"/>
        <v>590257.92999999993</v>
      </c>
      <c r="G35" s="6">
        <f t="shared" si="7"/>
        <v>23317.52</v>
      </c>
      <c r="H35" s="6">
        <f t="shared" si="7"/>
        <v>45667.61</v>
      </c>
      <c r="I35" s="6">
        <f t="shared" si="7"/>
        <v>57876.84</v>
      </c>
      <c r="J35" s="6">
        <f t="shared" si="7"/>
        <v>44697.84</v>
      </c>
      <c r="K35" s="6">
        <f t="shared" si="7"/>
        <v>700.66</v>
      </c>
      <c r="L35" s="6">
        <f t="shared" si="7"/>
        <v>-1261.18</v>
      </c>
      <c r="M35" s="6">
        <f t="shared" si="7"/>
        <v>27951.48</v>
      </c>
      <c r="N35" s="6">
        <f t="shared" si="7"/>
        <v>435354.84</v>
      </c>
      <c r="O35" s="6">
        <f t="shared" si="7"/>
        <v>59725.68</v>
      </c>
      <c r="P35" s="6">
        <f t="shared" si="7"/>
        <v>1000</v>
      </c>
      <c r="Q35" s="6">
        <f t="shared" si="7"/>
        <v>80347.33</v>
      </c>
      <c r="R35" s="6">
        <f t="shared" si="7"/>
        <v>329469.58</v>
      </c>
      <c r="S35" s="6">
        <f t="shared" si="7"/>
        <v>38749.919999999998</v>
      </c>
      <c r="T35" s="6">
        <f t="shared" si="7"/>
        <v>86558.760000000009</v>
      </c>
      <c r="U35" s="6">
        <f t="shared" si="7"/>
        <v>16469.009999999998</v>
      </c>
      <c r="V35" s="6">
        <f t="shared" si="7"/>
        <v>-700.66</v>
      </c>
      <c r="W35" s="6">
        <f t="shared" si="7"/>
        <v>143672.62</v>
      </c>
      <c r="X35" s="6">
        <f t="shared" si="7"/>
        <v>165948.76</v>
      </c>
      <c r="Y35" s="6">
        <f t="shared" si="7"/>
        <v>95406.52</v>
      </c>
      <c r="Z35" s="6">
        <f t="shared" si="7"/>
        <v>0</v>
      </c>
      <c r="AA35" s="6">
        <f t="shared" si="7"/>
        <v>175054</v>
      </c>
      <c r="AB35" s="6">
        <f t="shared" si="7"/>
        <v>3217.14</v>
      </c>
      <c r="AC35" s="6">
        <f t="shared" si="7"/>
        <v>1528.38</v>
      </c>
      <c r="AD35" s="6">
        <f t="shared" si="7"/>
        <v>89241.12</v>
      </c>
      <c r="AE35" s="6">
        <f t="shared" si="7"/>
        <v>10000</v>
      </c>
      <c r="AF35" s="6">
        <f t="shared" si="7"/>
        <v>149295.1</v>
      </c>
      <c r="AG35" s="6">
        <f t="shared" si="7"/>
        <v>0</v>
      </c>
      <c r="AH35" s="6">
        <f t="shared" si="6"/>
        <v>3105128.82</v>
      </c>
    </row>
    <row r="36" spans="1:34" x14ac:dyDescent="0.25">
      <c r="A36" s="3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>
        <f t="shared" si="6"/>
        <v>0</v>
      </c>
    </row>
    <row r="37" spans="1:34" x14ac:dyDescent="0.25">
      <c r="A37" s="3" t="s">
        <v>64</v>
      </c>
      <c r="B37" s="4"/>
      <c r="C37" s="4"/>
      <c r="D37" s="5">
        <f>27.63</f>
        <v>27.63</v>
      </c>
      <c r="E37" s="4"/>
      <c r="F37" s="4"/>
      <c r="G37" s="5">
        <f>1.67</f>
        <v>1.67</v>
      </c>
      <c r="H37" s="5">
        <f>6.42</f>
        <v>6.42</v>
      </c>
      <c r="I37" s="4"/>
      <c r="J37" s="4"/>
      <c r="K37" s="5">
        <f>0.1</f>
        <v>0.1</v>
      </c>
      <c r="L37" s="5">
        <f>-0.18</f>
        <v>-0.18</v>
      </c>
      <c r="M37" s="4"/>
      <c r="N37" s="4"/>
      <c r="O37" s="4"/>
      <c r="P37" s="4"/>
      <c r="Q37" s="5">
        <f>13.44</f>
        <v>13.44</v>
      </c>
      <c r="R37" s="4"/>
      <c r="S37" s="5">
        <f>7.5</f>
        <v>7.5</v>
      </c>
      <c r="T37" s="4"/>
      <c r="U37" s="4"/>
      <c r="V37" s="5">
        <f>-0.1</f>
        <v>-0.1</v>
      </c>
      <c r="W37" s="5">
        <f>21.76</f>
        <v>21.76</v>
      </c>
      <c r="X37" s="5">
        <f>21.76</f>
        <v>21.76</v>
      </c>
      <c r="Y37" s="5">
        <f>11.94</f>
        <v>11.94</v>
      </c>
      <c r="Z37" s="4"/>
      <c r="AA37" s="5">
        <f>25.32</f>
        <v>25.32</v>
      </c>
      <c r="AB37" s="5">
        <f>0.75</f>
        <v>0.75</v>
      </c>
      <c r="AC37" s="5">
        <f>0.15</f>
        <v>0.15</v>
      </c>
      <c r="AD37" s="5">
        <f>11.22</f>
        <v>11.22</v>
      </c>
      <c r="AE37" s="4"/>
      <c r="AF37" s="5">
        <f>15.16</f>
        <v>15.16</v>
      </c>
      <c r="AG37" s="4"/>
      <c r="AH37" s="5">
        <f t="shared" si="6"/>
        <v>164.54</v>
      </c>
    </row>
    <row r="38" spans="1:34" x14ac:dyDescent="0.25">
      <c r="A38" s="3" t="s">
        <v>65</v>
      </c>
      <c r="B38" s="5">
        <f>3068.73</f>
        <v>3068.73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>
        <f t="shared" si="6"/>
        <v>3068.73</v>
      </c>
    </row>
    <row r="39" spans="1:34" x14ac:dyDescent="0.25">
      <c r="A39" s="3" t="s">
        <v>66</v>
      </c>
      <c r="B39" s="5">
        <f>6508.85</f>
        <v>6508.85</v>
      </c>
      <c r="C39" s="4"/>
      <c r="D39" s="5">
        <f>1270.29</f>
        <v>1270.29</v>
      </c>
      <c r="E39" s="5">
        <f>1273.67</f>
        <v>1273.67</v>
      </c>
      <c r="F39" s="5">
        <f>8403.27</f>
        <v>8403.27</v>
      </c>
      <c r="G39" s="4"/>
      <c r="H39" s="4"/>
      <c r="I39" s="4"/>
      <c r="J39" s="5">
        <f>2638.86</f>
        <v>2638.86</v>
      </c>
      <c r="K39" s="4"/>
      <c r="L39" s="4"/>
      <c r="M39" s="4"/>
      <c r="N39" s="5">
        <f>1333.95</f>
        <v>1333.95</v>
      </c>
      <c r="O39" s="4"/>
      <c r="P39" s="4"/>
      <c r="Q39" s="5">
        <f>1608.73</f>
        <v>1608.73</v>
      </c>
      <c r="R39" s="5">
        <f>19534.67</f>
        <v>19534.669999999998</v>
      </c>
      <c r="S39" s="4"/>
      <c r="T39" s="5">
        <f>2266.77</f>
        <v>2266.77</v>
      </c>
      <c r="U39" s="4"/>
      <c r="V39" s="4"/>
      <c r="W39" s="5">
        <f>715.19</f>
        <v>715.19</v>
      </c>
      <c r="X39" s="5">
        <f>1032.98</f>
        <v>1032.98</v>
      </c>
      <c r="Y39" s="4"/>
      <c r="Z39" s="4"/>
      <c r="AA39" s="5">
        <f>1312.83</f>
        <v>1312.83</v>
      </c>
      <c r="AB39" s="4"/>
      <c r="AC39" s="4"/>
      <c r="AD39" s="4"/>
      <c r="AE39" s="4"/>
      <c r="AF39" s="4"/>
      <c r="AG39" s="4"/>
      <c r="AH39" s="5">
        <f t="shared" si="6"/>
        <v>47900.060000000005</v>
      </c>
    </row>
    <row r="40" spans="1:34" x14ac:dyDescent="0.25">
      <c r="A40" s="3" t="s">
        <v>67</v>
      </c>
      <c r="B40" s="5">
        <f>2950.54</f>
        <v>2950.54</v>
      </c>
      <c r="C40" s="4"/>
      <c r="D40" s="5">
        <f>2772.97</f>
        <v>2772.97</v>
      </c>
      <c r="E40" s="5">
        <f>297.84</f>
        <v>297.83999999999997</v>
      </c>
      <c r="F40" s="5">
        <f>8206.46</f>
        <v>8206.4599999999991</v>
      </c>
      <c r="G40" s="5">
        <f>329.42</f>
        <v>329.42</v>
      </c>
      <c r="H40" s="5">
        <f>426</f>
        <v>426</v>
      </c>
      <c r="I40" s="5">
        <f>756.88</f>
        <v>756.88</v>
      </c>
      <c r="J40" s="5">
        <f>617.16</f>
        <v>617.16</v>
      </c>
      <c r="K40" s="5">
        <f>10.16</f>
        <v>10.16</v>
      </c>
      <c r="L40" s="5">
        <f>-18.29</f>
        <v>-18.29</v>
      </c>
      <c r="M40" s="5">
        <f>398.22</f>
        <v>398.22</v>
      </c>
      <c r="N40" s="5">
        <f>6385.97</f>
        <v>6385.97</v>
      </c>
      <c r="O40" s="5">
        <f>391.24</f>
        <v>391.24</v>
      </c>
      <c r="P40" s="5">
        <f>14.5</f>
        <v>14.5</v>
      </c>
      <c r="Q40" s="5">
        <f>1088.36</f>
        <v>1088.3599999999999</v>
      </c>
      <c r="R40" s="5">
        <f>4568.6</f>
        <v>4568.6000000000004</v>
      </c>
      <c r="S40" s="5">
        <f>543.48</f>
        <v>543.48</v>
      </c>
      <c r="T40" s="5">
        <f>1218.56</f>
        <v>1218.56</v>
      </c>
      <c r="U40" s="5">
        <f>238.79</f>
        <v>238.79</v>
      </c>
      <c r="V40" s="5">
        <f>-10.16</f>
        <v>-10.16</v>
      </c>
      <c r="W40" s="5">
        <f>1896.46</f>
        <v>1896.46</v>
      </c>
      <c r="X40" s="5">
        <f>2412.06</f>
        <v>2412.06</v>
      </c>
      <c r="Y40" s="5">
        <f>1175.31</f>
        <v>1175.31</v>
      </c>
      <c r="Z40" s="4"/>
      <c r="AA40" s="5">
        <f>2609.95</f>
        <v>2609.9499999999998</v>
      </c>
      <c r="AB40" s="5">
        <f>52.1</f>
        <v>52.1</v>
      </c>
      <c r="AC40" s="5">
        <f>10.44</f>
        <v>10.44</v>
      </c>
      <c r="AD40" s="5">
        <f>1231.24</f>
        <v>1231.24</v>
      </c>
      <c r="AE40" s="4"/>
      <c r="AF40" s="5">
        <f>2090.17</f>
        <v>2090.17</v>
      </c>
      <c r="AG40" s="4"/>
      <c r="AH40" s="5">
        <f t="shared" si="6"/>
        <v>42664.429999999993</v>
      </c>
    </row>
    <row r="41" spans="1:34" x14ac:dyDescent="0.25">
      <c r="A41" s="3" t="s">
        <v>68</v>
      </c>
      <c r="B41" s="5">
        <f>6536.04</f>
        <v>6536.04</v>
      </c>
      <c r="C41" s="4"/>
      <c r="D41" s="5">
        <f>29047.32</f>
        <v>29047.32</v>
      </c>
      <c r="E41" s="4"/>
      <c r="F41" s="5">
        <f>12898.28</f>
        <v>12898.28</v>
      </c>
      <c r="G41" s="5">
        <f>3900.45</f>
        <v>3900.45</v>
      </c>
      <c r="H41" s="5">
        <f>5004.24</f>
        <v>5004.24</v>
      </c>
      <c r="I41" s="5">
        <f>2305.2</f>
        <v>2305.1999999999998</v>
      </c>
      <c r="J41" s="4"/>
      <c r="K41" s="5">
        <f>112.84</f>
        <v>112.84</v>
      </c>
      <c r="L41" s="5">
        <f>-203.11</f>
        <v>-203.11</v>
      </c>
      <c r="M41" s="5">
        <f>838.56</f>
        <v>838.56</v>
      </c>
      <c r="N41" s="5">
        <f>14312.45</f>
        <v>14312.45</v>
      </c>
      <c r="O41" s="5">
        <f>831.8</f>
        <v>831.8</v>
      </c>
      <c r="P41" s="4"/>
      <c r="Q41" s="5">
        <f>7930.08</f>
        <v>7930.08</v>
      </c>
      <c r="R41" s="4"/>
      <c r="S41" s="5">
        <f>4438.8</f>
        <v>4438.8</v>
      </c>
      <c r="T41" s="5">
        <f>1471.8</f>
        <v>1471.8</v>
      </c>
      <c r="U41" s="5">
        <f>2264.49</f>
        <v>2264.4899999999998</v>
      </c>
      <c r="V41" s="5">
        <f>-112.84</f>
        <v>-112.84</v>
      </c>
      <c r="W41" s="5">
        <f>20322.01</f>
        <v>20322.009999999998</v>
      </c>
      <c r="X41" s="5">
        <f>25800.34</f>
        <v>25800.34</v>
      </c>
      <c r="Y41" s="5">
        <f>12362.52</f>
        <v>12362.52</v>
      </c>
      <c r="Z41" s="4"/>
      <c r="AA41" s="5">
        <f>25435.83</f>
        <v>25435.83</v>
      </c>
      <c r="AB41" s="5">
        <f>202.3</f>
        <v>202.3</v>
      </c>
      <c r="AC41" s="5">
        <f>40.46</f>
        <v>40.46</v>
      </c>
      <c r="AD41" s="5">
        <f>14305.92</f>
        <v>14305.92</v>
      </c>
      <c r="AE41" s="4"/>
      <c r="AF41" s="5">
        <f>24672.97</f>
        <v>24672.97</v>
      </c>
      <c r="AG41" s="4"/>
      <c r="AH41" s="5">
        <f t="shared" si="6"/>
        <v>214718.74999999997</v>
      </c>
    </row>
    <row r="42" spans="1:34" x14ac:dyDescent="0.25">
      <c r="A42" s="3" t="s">
        <v>69</v>
      </c>
      <c r="B42" s="5">
        <f>26020.64</f>
        <v>26020.639999999999</v>
      </c>
      <c r="C42" s="4"/>
      <c r="D42" s="5">
        <f>5701.63</f>
        <v>5701.63</v>
      </c>
      <c r="E42" s="4"/>
      <c r="F42" s="5">
        <f>33122.85</f>
        <v>33122.85</v>
      </c>
      <c r="G42" s="4"/>
      <c r="H42" s="4"/>
      <c r="I42" s="4"/>
      <c r="J42" s="5">
        <f>10432.44</f>
        <v>10432.44</v>
      </c>
      <c r="K42" s="4"/>
      <c r="L42" s="4"/>
      <c r="M42" s="4"/>
      <c r="N42" s="5">
        <f>5251.56</f>
        <v>5251.56</v>
      </c>
      <c r="O42" s="4"/>
      <c r="P42" s="4"/>
      <c r="Q42" s="5">
        <f>6294.24</f>
        <v>6294.24</v>
      </c>
      <c r="R42" s="5">
        <f>70430.6</f>
        <v>70430.600000000006</v>
      </c>
      <c r="S42" s="4"/>
      <c r="T42" s="5">
        <f>8752.56</f>
        <v>8752.56</v>
      </c>
      <c r="U42" s="4"/>
      <c r="V42" s="4"/>
      <c r="W42" s="5">
        <f>1661.63</f>
        <v>1661.63</v>
      </c>
      <c r="X42" s="5">
        <f>2408.94</f>
        <v>2408.94</v>
      </c>
      <c r="Y42" s="4"/>
      <c r="Z42" s="4"/>
      <c r="AA42" s="5">
        <f>5292.54</f>
        <v>5292.54</v>
      </c>
      <c r="AB42" s="4"/>
      <c r="AC42" s="4"/>
      <c r="AD42" s="4"/>
      <c r="AE42" s="4"/>
      <c r="AF42" s="4"/>
      <c r="AG42" s="4"/>
      <c r="AH42" s="5">
        <f t="shared" si="6"/>
        <v>175369.63000000003</v>
      </c>
    </row>
    <row r="43" spans="1:34" x14ac:dyDescent="0.25">
      <c r="A43" s="3" t="s">
        <v>70</v>
      </c>
      <c r="B43" s="4"/>
      <c r="C43" s="4"/>
      <c r="D43" s="5">
        <f>25784.03</f>
        <v>25784.03</v>
      </c>
      <c r="E43" s="4"/>
      <c r="F43" s="4"/>
      <c r="G43" s="5">
        <f>1660.3</f>
        <v>1660.3</v>
      </c>
      <c r="H43" s="5">
        <f>1407</f>
        <v>1407</v>
      </c>
      <c r="I43" s="4"/>
      <c r="J43" s="4"/>
      <c r="K43" s="5">
        <f>111.99</f>
        <v>111.99</v>
      </c>
      <c r="L43" s="5">
        <f>-201.58</f>
        <v>-201.58</v>
      </c>
      <c r="M43" s="4"/>
      <c r="N43" s="4"/>
      <c r="O43" s="4"/>
      <c r="P43" s="4"/>
      <c r="Q43" s="5">
        <f>12393.12</f>
        <v>12393.12</v>
      </c>
      <c r="R43" s="4"/>
      <c r="S43" s="5">
        <f>6002.64</f>
        <v>6002.64</v>
      </c>
      <c r="T43" s="4"/>
      <c r="U43" s="4"/>
      <c r="V43" s="5">
        <f>-111.99</f>
        <v>-111.99</v>
      </c>
      <c r="W43" s="5">
        <f>17564.43</f>
        <v>17564.43</v>
      </c>
      <c r="X43" s="5">
        <f>18250</f>
        <v>18250</v>
      </c>
      <c r="Y43" s="5">
        <f>7524.36</f>
        <v>7524.36</v>
      </c>
      <c r="Z43" s="4"/>
      <c r="AA43" s="5">
        <f>16280.98</f>
        <v>16280.98</v>
      </c>
      <c r="AB43" s="5">
        <f>1046.55</f>
        <v>1046.55</v>
      </c>
      <c r="AC43" s="5">
        <f>209.31</f>
        <v>209.31</v>
      </c>
      <c r="AD43" s="5">
        <f>9050.66</f>
        <v>9050.66</v>
      </c>
      <c r="AE43" s="4"/>
      <c r="AF43" s="5">
        <f>9176.68</f>
        <v>9176.68</v>
      </c>
      <c r="AG43" s="4"/>
      <c r="AH43" s="5">
        <f t="shared" si="6"/>
        <v>126148.48000000001</v>
      </c>
    </row>
    <row r="44" spans="1:34" x14ac:dyDescent="0.25">
      <c r="A44" s="3" t="s">
        <v>71</v>
      </c>
      <c r="B44" s="5">
        <f>7902.13</f>
        <v>7902.13</v>
      </c>
      <c r="C44" s="4"/>
      <c r="D44" s="5">
        <f>120</f>
        <v>120</v>
      </c>
      <c r="E44" s="4"/>
      <c r="F44" s="5">
        <f>329.63</f>
        <v>329.63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>102.95</f>
        <v>102.95</v>
      </c>
      <c r="S44" s="4"/>
      <c r="T44" s="4"/>
      <c r="U44" s="5">
        <f>54.9</f>
        <v>54.9</v>
      </c>
      <c r="V44" s="4"/>
      <c r="W44" s="4"/>
      <c r="X44" s="5">
        <f>60</f>
        <v>60</v>
      </c>
      <c r="Y44" s="4"/>
      <c r="Z44" s="4"/>
      <c r="AA44" s="4"/>
      <c r="AB44" s="4"/>
      <c r="AC44" s="4"/>
      <c r="AD44" s="5">
        <f>120</f>
        <v>120</v>
      </c>
      <c r="AE44" s="4"/>
      <c r="AF44" s="5">
        <f>120</f>
        <v>120</v>
      </c>
      <c r="AG44" s="5">
        <f>0</f>
        <v>0</v>
      </c>
      <c r="AH44" s="5">
        <f t="shared" si="6"/>
        <v>8809.61</v>
      </c>
    </row>
    <row r="45" spans="1:34" x14ac:dyDescent="0.25">
      <c r="A45" s="3" t="s">
        <v>72</v>
      </c>
      <c r="B45" s="5">
        <f>-252</f>
        <v>-252</v>
      </c>
      <c r="C45" s="4"/>
      <c r="D45" s="5">
        <f>-31.2</f>
        <v>-31.2</v>
      </c>
      <c r="E45" s="4"/>
      <c r="F45" s="4"/>
      <c r="G45" s="5">
        <f>42.9</f>
        <v>42.9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>
        <f>-11.7</f>
        <v>-11.7</v>
      </c>
      <c r="AB45" s="4"/>
      <c r="AC45" s="4"/>
      <c r="AD45" s="4"/>
      <c r="AE45" s="4"/>
      <c r="AF45" s="4"/>
      <c r="AG45" s="4"/>
      <c r="AH45" s="5">
        <f t="shared" si="6"/>
        <v>-251.99999999999997</v>
      </c>
    </row>
    <row r="46" spans="1:34" x14ac:dyDescent="0.25">
      <c r="A46" s="3" t="s">
        <v>73</v>
      </c>
      <c r="B46" s="4"/>
      <c r="C46" s="4"/>
      <c r="D46" s="5">
        <f>3816.76</f>
        <v>3816.76</v>
      </c>
      <c r="E46" s="4"/>
      <c r="F46" s="5">
        <f>5902.58</f>
        <v>5902.58</v>
      </c>
      <c r="G46" s="5">
        <f>686.36</f>
        <v>686.36</v>
      </c>
      <c r="H46" s="4"/>
      <c r="I46" s="5">
        <f>1157.52</f>
        <v>1157.52</v>
      </c>
      <c r="J46" s="5">
        <f>893.94</f>
        <v>893.94</v>
      </c>
      <c r="K46" s="4"/>
      <c r="L46" s="4"/>
      <c r="M46" s="5">
        <f>279.54</f>
        <v>279.54000000000002</v>
      </c>
      <c r="N46" s="5">
        <f>8707.1</f>
        <v>8707.1</v>
      </c>
      <c r="O46" s="5">
        <f>552.06</f>
        <v>552.05999999999995</v>
      </c>
      <c r="P46" s="4"/>
      <c r="Q46" s="5">
        <f>1589.22</f>
        <v>1589.22</v>
      </c>
      <c r="R46" s="4"/>
      <c r="S46" s="5">
        <f>775.02</f>
        <v>775.02</v>
      </c>
      <c r="T46" s="4"/>
      <c r="U46" s="4"/>
      <c r="V46" s="4"/>
      <c r="W46" s="4"/>
      <c r="X46" s="4"/>
      <c r="Y46" s="5">
        <f>1963.56</f>
        <v>1963.56</v>
      </c>
      <c r="Z46" s="4"/>
      <c r="AA46" s="5">
        <f>3358.62</f>
        <v>3358.62</v>
      </c>
      <c r="AB46" s="4"/>
      <c r="AC46" s="4"/>
      <c r="AD46" s="5">
        <f>1784.82</f>
        <v>1784.82</v>
      </c>
      <c r="AE46" s="4"/>
      <c r="AF46" s="5">
        <f>2985.92</f>
        <v>2985.92</v>
      </c>
      <c r="AG46" s="4"/>
      <c r="AH46" s="5">
        <f t="shared" si="6"/>
        <v>34453.020000000004</v>
      </c>
    </row>
    <row r="47" spans="1:34" x14ac:dyDescent="0.25">
      <c r="A47" s="3" t="s">
        <v>74</v>
      </c>
      <c r="B47" s="4"/>
      <c r="C47" s="4"/>
      <c r="D47" s="5">
        <f>221.04</f>
        <v>221.04</v>
      </c>
      <c r="E47" s="4"/>
      <c r="F47" s="4"/>
      <c r="G47" s="5">
        <f>13.36</f>
        <v>13.36</v>
      </c>
      <c r="H47" s="5">
        <f>51.36</f>
        <v>51.36</v>
      </c>
      <c r="I47" s="4"/>
      <c r="J47" s="4"/>
      <c r="K47" s="5">
        <f>0.8</f>
        <v>0.8</v>
      </c>
      <c r="L47" s="5">
        <f>-1.44</f>
        <v>-1.44</v>
      </c>
      <c r="M47" s="4"/>
      <c r="N47" s="4"/>
      <c r="O47" s="4"/>
      <c r="P47" s="4"/>
      <c r="Q47" s="5">
        <f>107.52</f>
        <v>107.52</v>
      </c>
      <c r="R47" s="4"/>
      <c r="S47" s="5">
        <f>60</f>
        <v>60</v>
      </c>
      <c r="T47" s="4"/>
      <c r="U47" s="4"/>
      <c r="V47" s="5">
        <f>-0.8</f>
        <v>-0.8</v>
      </c>
      <c r="W47" s="5">
        <f>174.08</f>
        <v>174.08</v>
      </c>
      <c r="X47" s="5">
        <f>174.08</f>
        <v>174.08</v>
      </c>
      <c r="Y47" s="5">
        <f>95.52</f>
        <v>95.52</v>
      </c>
      <c r="Z47" s="4"/>
      <c r="AA47" s="5">
        <f>202.56</f>
        <v>202.56</v>
      </c>
      <c r="AB47" s="5">
        <f>6</f>
        <v>6</v>
      </c>
      <c r="AC47" s="5">
        <f>1.2</f>
        <v>1.2</v>
      </c>
      <c r="AD47" s="5">
        <f>89.76</f>
        <v>89.76</v>
      </c>
      <c r="AE47" s="4"/>
      <c r="AF47" s="5">
        <f>121.28</f>
        <v>121.28</v>
      </c>
      <c r="AG47" s="4"/>
      <c r="AH47" s="5">
        <f t="shared" si="6"/>
        <v>1316.32</v>
      </c>
    </row>
    <row r="48" spans="1:34" x14ac:dyDescent="0.25">
      <c r="A48" s="3" t="s">
        <v>75</v>
      </c>
      <c r="B48" s="6">
        <f t="shared" ref="B48:AG48" si="8">(((((((((((B36)+(B37))+(B38))+(B39))+(B40))+(B41))+(B42))+(B43))+(B44))+(B45))+(B46))+(B47)</f>
        <v>52734.93</v>
      </c>
      <c r="C48" s="6">
        <f t="shared" si="8"/>
        <v>0</v>
      </c>
      <c r="D48" s="6">
        <f t="shared" si="8"/>
        <v>68730.469999999987</v>
      </c>
      <c r="E48" s="6">
        <f t="shared" si="8"/>
        <v>1571.51</v>
      </c>
      <c r="F48" s="6">
        <f t="shared" si="8"/>
        <v>68863.069999999992</v>
      </c>
      <c r="G48" s="6">
        <f t="shared" si="8"/>
        <v>6634.4599999999991</v>
      </c>
      <c r="H48" s="6">
        <f t="shared" si="8"/>
        <v>6895.0199999999995</v>
      </c>
      <c r="I48" s="6">
        <f t="shared" si="8"/>
        <v>4219.6000000000004</v>
      </c>
      <c r="J48" s="6">
        <f t="shared" si="8"/>
        <v>14582.400000000001</v>
      </c>
      <c r="K48" s="6">
        <f t="shared" si="8"/>
        <v>235.89000000000001</v>
      </c>
      <c r="L48" s="6">
        <f t="shared" si="8"/>
        <v>-424.6</v>
      </c>
      <c r="M48" s="6">
        <f t="shared" si="8"/>
        <v>1516.32</v>
      </c>
      <c r="N48" s="6">
        <f t="shared" si="8"/>
        <v>35991.030000000006</v>
      </c>
      <c r="O48" s="6">
        <f t="shared" si="8"/>
        <v>1775.1</v>
      </c>
      <c r="P48" s="6">
        <f t="shared" si="8"/>
        <v>14.5</v>
      </c>
      <c r="Q48" s="6">
        <f t="shared" si="8"/>
        <v>31024.710000000003</v>
      </c>
      <c r="R48" s="6">
        <f t="shared" si="8"/>
        <v>94636.819999999992</v>
      </c>
      <c r="S48" s="6">
        <f t="shared" si="8"/>
        <v>11827.440000000002</v>
      </c>
      <c r="T48" s="6">
        <f t="shared" si="8"/>
        <v>13709.689999999999</v>
      </c>
      <c r="U48" s="6">
        <f t="shared" si="8"/>
        <v>2558.1799999999998</v>
      </c>
      <c r="V48" s="6">
        <f t="shared" si="8"/>
        <v>-235.89000000000001</v>
      </c>
      <c r="W48" s="6">
        <f t="shared" si="8"/>
        <v>42355.56</v>
      </c>
      <c r="X48" s="6">
        <f t="shared" si="8"/>
        <v>50160.160000000003</v>
      </c>
      <c r="Y48" s="6">
        <f t="shared" si="8"/>
        <v>23133.210000000003</v>
      </c>
      <c r="Z48" s="6">
        <f t="shared" si="8"/>
        <v>0</v>
      </c>
      <c r="AA48" s="6">
        <f t="shared" si="8"/>
        <v>54506.93</v>
      </c>
      <c r="AB48" s="6">
        <f t="shared" si="8"/>
        <v>1307.7</v>
      </c>
      <c r="AC48" s="6">
        <f t="shared" si="8"/>
        <v>261.56</v>
      </c>
      <c r="AD48" s="6">
        <f t="shared" si="8"/>
        <v>26593.62</v>
      </c>
      <c r="AE48" s="6">
        <f t="shared" si="8"/>
        <v>0</v>
      </c>
      <c r="AF48" s="6">
        <f t="shared" si="8"/>
        <v>39182.18</v>
      </c>
      <c r="AG48" s="6">
        <f t="shared" si="8"/>
        <v>0</v>
      </c>
      <c r="AH48" s="6">
        <f t="shared" si="6"/>
        <v>654361.57000000007</v>
      </c>
    </row>
    <row r="49" spans="1:34" x14ac:dyDescent="0.25">
      <c r="A49" s="3" t="s">
        <v>76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>
        <f t="shared" si="6"/>
        <v>0</v>
      </c>
    </row>
    <row r="50" spans="1:34" x14ac:dyDescent="0.25">
      <c r="A50" s="3" t="s">
        <v>77</v>
      </c>
      <c r="B50" s="5">
        <f>7852.68</f>
        <v>7852.68</v>
      </c>
      <c r="C50" s="4"/>
      <c r="D50" s="5">
        <f>3389.17</f>
        <v>3389.17</v>
      </c>
      <c r="E50" s="4"/>
      <c r="F50" s="5">
        <f>1062.58</f>
        <v>1062.58</v>
      </c>
      <c r="G50" s="4"/>
      <c r="H50" s="4"/>
      <c r="I50" s="5">
        <f>170</f>
        <v>170</v>
      </c>
      <c r="J50" s="4"/>
      <c r="K50" s="4"/>
      <c r="L50" s="4"/>
      <c r="M50" s="4"/>
      <c r="N50" s="5">
        <f>63.25</f>
        <v>63.25</v>
      </c>
      <c r="O50" s="5">
        <f>15</f>
        <v>15</v>
      </c>
      <c r="P50" s="4"/>
      <c r="Q50" s="5">
        <f>350.79</f>
        <v>350.79</v>
      </c>
      <c r="R50" s="5">
        <f>189.75</f>
        <v>189.75</v>
      </c>
      <c r="S50" s="4"/>
      <c r="T50" s="4"/>
      <c r="U50" s="5">
        <f>1094.25</f>
        <v>1094.25</v>
      </c>
      <c r="V50" s="4"/>
      <c r="W50" s="5">
        <f>1276.31</f>
        <v>1276.31</v>
      </c>
      <c r="X50" s="5">
        <f>4415.06</f>
        <v>4415.0600000000004</v>
      </c>
      <c r="Y50" s="5">
        <f>1352.25</f>
        <v>1352.25</v>
      </c>
      <c r="Z50" s="5">
        <f>7576</f>
        <v>7576</v>
      </c>
      <c r="AA50" s="4"/>
      <c r="AB50" s="4"/>
      <c r="AC50" s="4"/>
      <c r="AD50" s="5">
        <f>-1569.13</f>
        <v>-1569.13</v>
      </c>
      <c r="AE50" s="4"/>
      <c r="AF50" s="5">
        <f>136.5</f>
        <v>136.5</v>
      </c>
      <c r="AG50" s="4"/>
      <c r="AH50" s="5">
        <f t="shared" si="6"/>
        <v>27374.46</v>
      </c>
    </row>
    <row r="51" spans="1:34" x14ac:dyDescent="0.25">
      <c r="A51" s="3" t="s">
        <v>78</v>
      </c>
      <c r="B51" s="5">
        <f>20360</f>
        <v>20360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>
        <f t="shared" si="6"/>
        <v>20360</v>
      </c>
    </row>
    <row r="52" spans="1:34" x14ac:dyDescent="0.25">
      <c r="A52" s="3" t="s">
        <v>79</v>
      </c>
      <c r="B52" s="5">
        <f>4041.26</f>
        <v>4041.26</v>
      </c>
      <c r="C52" s="4"/>
      <c r="D52" s="4"/>
      <c r="E52" s="4"/>
      <c r="F52" s="5">
        <f>3175.26</f>
        <v>3175.26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>
        <f t="shared" si="6"/>
        <v>7216.52</v>
      </c>
    </row>
    <row r="53" spans="1:34" x14ac:dyDescent="0.25">
      <c r="A53" s="3" t="s">
        <v>80</v>
      </c>
      <c r="B53" s="5">
        <f>1735.15</f>
        <v>1735.15</v>
      </c>
      <c r="C53" s="4"/>
      <c r="D53" s="5">
        <f>2566.32</f>
        <v>2566.3200000000002</v>
      </c>
      <c r="E53" s="4"/>
      <c r="F53" s="5">
        <f>6451.35</f>
        <v>6451.35</v>
      </c>
      <c r="G53" s="5">
        <f>20.22</f>
        <v>20.22</v>
      </c>
      <c r="H53" s="5">
        <f>116.97</f>
        <v>116.97</v>
      </c>
      <c r="I53" s="5">
        <f>233.94</f>
        <v>233.94</v>
      </c>
      <c r="J53" s="4"/>
      <c r="K53" s="4"/>
      <c r="L53" s="4"/>
      <c r="M53" s="5">
        <f>116.97</f>
        <v>116.97</v>
      </c>
      <c r="N53" s="4"/>
      <c r="O53" s="4"/>
      <c r="P53" s="4"/>
      <c r="Q53" s="5">
        <f>213.72</f>
        <v>213.72</v>
      </c>
      <c r="R53" s="4"/>
      <c r="S53" s="4"/>
      <c r="T53" s="4"/>
      <c r="U53" s="4"/>
      <c r="V53" s="4"/>
      <c r="W53" s="5">
        <f>181.98</f>
        <v>181.98</v>
      </c>
      <c r="X53" s="5">
        <f>4711.98</f>
        <v>4711.9799999999996</v>
      </c>
      <c r="Y53" s="5">
        <f>233.94</f>
        <v>233.94</v>
      </c>
      <c r="Z53" s="4"/>
      <c r="AA53" s="5">
        <f>2408.91</f>
        <v>2408.91</v>
      </c>
      <c r="AB53" s="4"/>
      <c r="AC53" s="4"/>
      <c r="AD53" s="5">
        <f>4235.1</f>
        <v>4235.1000000000004</v>
      </c>
      <c r="AE53" s="4"/>
      <c r="AF53" s="5">
        <f>387</f>
        <v>387</v>
      </c>
      <c r="AG53" s="4"/>
      <c r="AH53" s="5">
        <f t="shared" si="6"/>
        <v>23613.549999999996</v>
      </c>
    </row>
    <row r="54" spans="1:34" x14ac:dyDescent="0.25">
      <c r="A54" s="3" t="s">
        <v>81</v>
      </c>
      <c r="B54" s="6">
        <f t="shared" ref="B54:AG54" si="9">((((B49)+(B50))+(B51))+(B52))+(B53)</f>
        <v>33989.090000000004</v>
      </c>
      <c r="C54" s="6">
        <f t="shared" si="9"/>
        <v>0</v>
      </c>
      <c r="D54" s="6">
        <f t="shared" si="9"/>
        <v>5955.49</v>
      </c>
      <c r="E54" s="6">
        <f t="shared" si="9"/>
        <v>0</v>
      </c>
      <c r="F54" s="6">
        <f t="shared" si="9"/>
        <v>10689.19</v>
      </c>
      <c r="G54" s="6">
        <f t="shared" si="9"/>
        <v>20.22</v>
      </c>
      <c r="H54" s="6">
        <f t="shared" si="9"/>
        <v>116.97</v>
      </c>
      <c r="I54" s="6">
        <f t="shared" si="9"/>
        <v>403.94</v>
      </c>
      <c r="J54" s="6">
        <f t="shared" si="9"/>
        <v>0</v>
      </c>
      <c r="K54" s="6">
        <f t="shared" si="9"/>
        <v>0</v>
      </c>
      <c r="L54" s="6">
        <f t="shared" si="9"/>
        <v>0</v>
      </c>
      <c r="M54" s="6">
        <f t="shared" si="9"/>
        <v>116.97</v>
      </c>
      <c r="N54" s="6">
        <f t="shared" si="9"/>
        <v>63.25</v>
      </c>
      <c r="O54" s="6">
        <f t="shared" si="9"/>
        <v>15</v>
      </c>
      <c r="P54" s="6">
        <f t="shared" si="9"/>
        <v>0</v>
      </c>
      <c r="Q54" s="6">
        <f t="shared" si="9"/>
        <v>564.51</v>
      </c>
      <c r="R54" s="6">
        <f t="shared" si="9"/>
        <v>189.75</v>
      </c>
      <c r="S54" s="6">
        <f t="shared" si="9"/>
        <v>0</v>
      </c>
      <c r="T54" s="6">
        <f t="shared" si="9"/>
        <v>0</v>
      </c>
      <c r="U54" s="6">
        <f t="shared" si="9"/>
        <v>1094.25</v>
      </c>
      <c r="V54" s="6">
        <f t="shared" si="9"/>
        <v>0</v>
      </c>
      <c r="W54" s="6">
        <f t="shared" si="9"/>
        <v>1458.29</v>
      </c>
      <c r="X54" s="6">
        <f t="shared" si="9"/>
        <v>9127.0400000000009</v>
      </c>
      <c r="Y54" s="6">
        <f t="shared" si="9"/>
        <v>1586.19</v>
      </c>
      <c r="Z54" s="6">
        <f t="shared" si="9"/>
        <v>7576</v>
      </c>
      <c r="AA54" s="6">
        <f t="shared" si="9"/>
        <v>2408.91</v>
      </c>
      <c r="AB54" s="6">
        <f t="shared" si="9"/>
        <v>0</v>
      </c>
      <c r="AC54" s="6">
        <f t="shared" si="9"/>
        <v>0</v>
      </c>
      <c r="AD54" s="6">
        <f t="shared" si="9"/>
        <v>2665.9700000000003</v>
      </c>
      <c r="AE54" s="6">
        <f t="shared" si="9"/>
        <v>0</v>
      </c>
      <c r="AF54" s="6">
        <f t="shared" si="9"/>
        <v>523.5</v>
      </c>
      <c r="AG54" s="6">
        <f t="shared" si="9"/>
        <v>0</v>
      </c>
      <c r="AH54" s="6">
        <f t="shared" si="6"/>
        <v>78564.530000000028</v>
      </c>
    </row>
    <row r="55" spans="1:34" x14ac:dyDescent="0.25">
      <c r="A55" s="3" t="s">
        <v>82</v>
      </c>
      <c r="B55" s="5">
        <f>25060.75</f>
        <v>25060.75</v>
      </c>
      <c r="C55" s="4"/>
      <c r="D55" s="5">
        <f>24387.8</f>
        <v>24387.8</v>
      </c>
      <c r="E55" s="4"/>
      <c r="F55" s="5">
        <f>1218.75</f>
        <v>1218.75</v>
      </c>
      <c r="G55" s="5">
        <f>22388.88</f>
        <v>22388.880000000001</v>
      </c>
      <c r="H55" s="5">
        <f>43467.75</f>
        <v>43467.75</v>
      </c>
      <c r="I55" s="4"/>
      <c r="J55" s="4"/>
      <c r="K55" s="5">
        <f>15000</f>
        <v>15000</v>
      </c>
      <c r="L55" s="4"/>
      <c r="M55" s="4"/>
      <c r="N55" s="4"/>
      <c r="O55" s="4"/>
      <c r="P55" s="4"/>
      <c r="Q55" s="5">
        <f>192739.65</f>
        <v>192739.65</v>
      </c>
      <c r="R55" s="4"/>
      <c r="S55" s="4"/>
      <c r="T55" s="4"/>
      <c r="U55" s="5">
        <f>1880</f>
        <v>1880</v>
      </c>
      <c r="V55" s="4"/>
      <c r="W55" s="4"/>
      <c r="X55" s="4"/>
      <c r="Y55" s="4"/>
      <c r="Z55" s="4"/>
      <c r="AA55" s="5">
        <f>264083.26</f>
        <v>264083.26</v>
      </c>
      <c r="AB55" s="4"/>
      <c r="AC55" s="4"/>
      <c r="AD55" s="5">
        <f>20000</f>
        <v>20000</v>
      </c>
      <c r="AE55" s="5">
        <f>156170.19</f>
        <v>156170.19</v>
      </c>
      <c r="AF55" s="5">
        <f>255</f>
        <v>255</v>
      </c>
      <c r="AG55" s="4"/>
      <c r="AH55" s="5">
        <f t="shared" si="6"/>
        <v>766652.03</v>
      </c>
    </row>
    <row r="56" spans="1:34" x14ac:dyDescent="0.25">
      <c r="A56" s="3" t="s">
        <v>83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>
        <f t="shared" si="6"/>
        <v>0</v>
      </c>
    </row>
    <row r="57" spans="1:34" x14ac:dyDescent="0.25">
      <c r="A57" s="3" t="s">
        <v>84</v>
      </c>
      <c r="B57" s="5">
        <f>114.38</f>
        <v>114.38</v>
      </c>
      <c r="C57" s="4"/>
      <c r="D57" s="4"/>
      <c r="E57" s="4"/>
      <c r="F57" s="5">
        <f>232.23</f>
        <v>232.23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>
        <f t="shared" si="6"/>
        <v>346.61</v>
      </c>
    </row>
    <row r="58" spans="1:34" x14ac:dyDescent="0.25">
      <c r="A58" s="3" t="s">
        <v>85</v>
      </c>
      <c r="B58" s="5">
        <f>1737.45</f>
        <v>1737.45</v>
      </c>
      <c r="C58" s="4"/>
      <c r="D58" s="4"/>
      <c r="E58" s="4"/>
      <c r="F58" s="5">
        <f>3527.55</f>
        <v>3527.55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>
        <f t="shared" si="6"/>
        <v>5265</v>
      </c>
    </row>
    <row r="59" spans="1:34" x14ac:dyDescent="0.25">
      <c r="A59" s="3" t="s">
        <v>86</v>
      </c>
      <c r="B59" s="5">
        <f>926.36</f>
        <v>926.36</v>
      </c>
      <c r="C59" s="4"/>
      <c r="D59" s="4"/>
      <c r="E59" s="4"/>
      <c r="F59" s="5">
        <f>2050.79</f>
        <v>2050.79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>
        <f t="shared" si="6"/>
        <v>2977.15</v>
      </c>
    </row>
    <row r="60" spans="1:34" x14ac:dyDescent="0.25">
      <c r="A60" s="3" t="s">
        <v>87</v>
      </c>
      <c r="B60" s="5">
        <f>26337.54</f>
        <v>26337.54</v>
      </c>
      <c r="C60" s="4"/>
      <c r="D60" s="4"/>
      <c r="E60" s="4"/>
      <c r="F60" s="5">
        <f>206146.76</f>
        <v>206146.76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5">
        <f>2129.9</f>
        <v>2129.9</v>
      </c>
      <c r="AF60" s="4"/>
      <c r="AG60" s="4"/>
      <c r="AH60" s="5">
        <f t="shared" si="6"/>
        <v>234614.2</v>
      </c>
    </row>
    <row r="61" spans="1:34" x14ac:dyDescent="0.25">
      <c r="A61" s="3" t="s">
        <v>88</v>
      </c>
      <c r="B61" s="4"/>
      <c r="C61" s="4"/>
      <c r="D61" s="5">
        <f>14000</f>
        <v>14000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5">
        <f>700</f>
        <v>700</v>
      </c>
      <c r="P61" s="4"/>
      <c r="Q61" s="4"/>
      <c r="R61" s="4"/>
      <c r="S61" s="4"/>
      <c r="T61" s="4"/>
      <c r="U61" s="4"/>
      <c r="V61" s="4"/>
      <c r="W61" s="4"/>
      <c r="X61" s="5">
        <f>40000</f>
        <v>40000</v>
      </c>
      <c r="Y61" s="4"/>
      <c r="Z61" s="4"/>
      <c r="AA61" s="5">
        <f>7000</f>
        <v>7000</v>
      </c>
      <c r="AB61" s="4"/>
      <c r="AC61" s="4"/>
      <c r="AD61" s="4"/>
      <c r="AE61" s="4"/>
      <c r="AF61" s="4"/>
      <c r="AG61" s="4"/>
      <c r="AH61" s="5">
        <f t="shared" si="6"/>
        <v>61700</v>
      </c>
    </row>
    <row r="62" spans="1:34" x14ac:dyDescent="0.25">
      <c r="A62" s="3" t="s">
        <v>89</v>
      </c>
      <c r="B62" s="5">
        <f>6750.84</f>
        <v>6750.84</v>
      </c>
      <c r="C62" s="4"/>
      <c r="D62" s="4"/>
      <c r="E62" s="4"/>
      <c r="F62" s="5">
        <f>13726.93</f>
        <v>13726.93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>
        <f t="shared" si="6"/>
        <v>20477.77</v>
      </c>
    </row>
    <row r="63" spans="1:34" x14ac:dyDescent="0.25">
      <c r="A63" s="3" t="s">
        <v>90</v>
      </c>
      <c r="B63" s="5">
        <f>1645.21</f>
        <v>1645.21</v>
      </c>
      <c r="C63" s="4"/>
      <c r="D63" s="5">
        <f>2613.84</f>
        <v>2613.84</v>
      </c>
      <c r="E63" s="4"/>
      <c r="F63" s="5">
        <f>822.06</f>
        <v>822.06</v>
      </c>
      <c r="G63" s="4"/>
      <c r="H63" s="4"/>
      <c r="I63" s="5">
        <f>2165.12</f>
        <v>2165.12</v>
      </c>
      <c r="J63" s="4"/>
      <c r="K63" s="4"/>
      <c r="L63" s="4"/>
      <c r="M63" s="4"/>
      <c r="N63" s="4"/>
      <c r="O63" s="5">
        <f>112.06</f>
        <v>112.06</v>
      </c>
      <c r="P63" s="4"/>
      <c r="Q63" s="5">
        <f>224.12</f>
        <v>224.12</v>
      </c>
      <c r="R63" s="4"/>
      <c r="S63" s="4"/>
      <c r="T63" s="4"/>
      <c r="U63" s="5">
        <f>38.04</f>
        <v>38.04</v>
      </c>
      <c r="V63" s="4"/>
      <c r="W63" s="5">
        <f>560.85</f>
        <v>560.85</v>
      </c>
      <c r="X63" s="5">
        <f>636.06</f>
        <v>636.05999999999995</v>
      </c>
      <c r="Y63" s="5">
        <f>150.8</f>
        <v>150.80000000000001</v>
      </c>
      <c r="Z63" s="4"/>
      <c r="AA63" s="5">
        <f>411.58</f>
        <v>411.58</v>
      </c>
      <c r="AB63" s="5">
        <f>1694.8</f>
        <v>1694.8</v>
      </c>
      <c r="AC63" s="4"/>
      <c r="AD63" s="5">
        <f>187.46</f>
        <v>187.46</v>
      </c>
      <c r="AE63" s="4"/>
      <c r="AF63" s="5">
        <f>374.92</f>
        <v>374.92</v>
      </c>
      <c r="AG63" s="4"/>
      <c r="AH63" s="5">
        <f t="shared" si="6"/>
        <v>11636.919999999998</v>
      </c>
    </row>
    <row r="64" spans="1:34" x14ac:dyDescent="0.25">
      <c r="A64" s="3" t="s">
        <v>91</v>
      </c>
      <c r="B64" s="4"/>
      <c r="C64" s="4"/>
      <c r="D64" s="4"/>
      <c r="E64" s="4"/>
      <c r="F64" s="5">
        <f>327.19</f>
        <v>327.19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>
        <f t="shared" ref="AH64:AH95" si="10">(((((((((((((((((((((((((((((((B64)+(C64))+(D64))+(E64))+(F64))+(G64))+(H64))+(I64))+(J64))+(K64))+(L64))+(M64))+(N64))+(O64))+(P64))+(Q64))+(R64))+(S64))+(T64))+(U64))+(V64))+(W64))+(X64))+(Y64))+(Z64))+(AA64))+(AB64))+(AC64))+(AD64))+(AE64))+(AF64))+(AG64)</f>
        <v>327.19</v>
      </c>
    </row>
    <row r="65" spans="1:34" x14ac:dyDescent="0.25">
      <c r="A65" s="3" t="s">
        <v>92</v>
      </c>
      <c r="B65" s="5">
        <f>6276.71</f>
        <v>6276.71</v>
      </c>
      <c r="C65" s="4"/>
      <c r="D65" s="4"/>
      <c r="E65" s="4"/>
      <c r="F65" s="5">
        <f>4744.66</f>
        <v>4744.66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>
        <f>1226</f>
        <v>1226</v>
      </c>
      <c r="X65" s="4"/>
      <c r="Y65" s="4"/>
      <c r="Z65" s="4"/>
      <c r="AA65" s="5">
        <f>2357.19</f>
        <v>2357.19</v>
      </c>
      <c r="AB65" s="4"/>
      <c r="AC65" s="4"/>
      <c r="AD65" s="5">
        <f>4764</f>
        <v>4764</v>
      </c>
      <c r="AE65" s="4"/>
      <c r="AF65" s="5">
        <f>9468.64</f>
        <v>9468.64</v>
      </c>
      <c r="AG65" s="4"/>
      <c r="AH65" s="5">
        <f t="shared" si="10"/>
        <v>28837.199999999997</v>
      </c>
    </row>
    <row r="66" spans="1:34" x14ac:dyDescent="0.25">
      <c r="A66" s="3" t="s">
        <v>93</v>
      </c>
      <c r="B66" s="6">
        <f t="shared" ref="B66:AG66" si="11">(((((((((B56)+(B57))+(B58))+(B59))+(B60))+(B61))+(B62))+(B63))+(B64))+(B65)</f>
        <v>43788.49</v>
      </c>
      <c r="C66" s="6">
        <f t="shared" si="11"/>
        <v>0</v>
      </c>
      <c r="D66" s="6">
        <f t="shared" si="11"/>
        <v>16613.84</v>
      </c>
      <c r="E66" s="6">
        <f t="shared" si="11"/>
        <v>0</v>
      </c>
      <c r="F66" s="6">
        <f t="shared" si="11"/>
        <v>231578.17</v>
      </c>
      <c r="G66" s="6">
        <f t="shared" si="11"/>
        <v>0</v>
      </c>
      <c r="H66" s="6">
        <f t="shared" si="11"/>
        <v>0</v>
      </c>
      <c r="I66" s="6">
        <f t="shared" si="11"/>
        <v>2165.12</v>
      </c>
      <c r="J66" s="6">
        <f t="shared" si="11"/>
        <v>0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812.06</v>
      </c>
      <c r="P66" s="6">
        <f t="shared" si="11"/>
        <v>0</v>
      </c>
      <c r="Q66" s="6">
        <f t="shared" si="11"/>
        <v>224.12</v>
      </c>
      <c r="R66" s="6">
        <f t="shared" si="11"/>
        <v>0</v>
      </c>
      <c r="S66" s="6">
        <f t="shared" si="11"/>
        <v>0</v>
      </c>
      <c r="T66" s="6">
        <f t="shared" si="11"/>
        <v>0</v>
      </c>
      <c r="U66" s="6">
        <f t="shared" si="11"/>
        <v>38.04</v>
      </c>
      <c r="V66" s="6">
        <f t="shared" si="11"/>
        <v>0</v>
      </c>
      <c r="W66" s="6">
        <f t="shared" si="11"/>
        <v>1786.85</v>
      </c>
      <c r="X66" s="6">
        <f t="shared" si="11"/>
        <v>40636.06</v>
      </c>
      <c r="Y66" s="6">
        <f t="shared" si="11"/>
        <v>150.80000000000001</v>
      </c>
      <c r="Z66" s="6">
        <f t="shared" si="11"/>
        <v>0</v>
      </c>
      <c r="AA66" s="6">
        <f t="shared" si="11"/>
        <v>9768.77</v>
      </c>
      <c r="AB66" s="6">
        <f t="shared" si="11"/>
        <v>1694.8</v>
      </c>
      <c r="AC66" s="6">
        <f t="shared" si="11"/>
        <v>0</v>
      </c>
      <c r="AD66" s="6">
        <f t="shared" si="11"/>
        <v>4951.46</v>
      </c>
      <c r="AE66" s="6">
        <f t="shared" si="11"/>
        <v>2129.9</v>
      </c>
      <c r="AF66" s="6">
        <f t="shared" si="11"/>
        <v>9843.56</v>
      </c>
      <c r="AG66" s="6">
        <f t="shared" si="11"/>
        <v>0</v>
      </c>
      <c r="AH66" s="6">
        <f t="shared" si="10"/>
        <v>366182.04</v>
      </c>
    </row>
    <row r="67" spans="1:34" x14ac:dyDescent="0.25">
      <c r="A67" s="3" t="s">
        <v>94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>
        <f t="shared" si="10"/>
        <v>0</v>
      </c>
    </row>
    <row r="68" spans="1:34" x14ac:dyDescent="0.25">
      <c r="A68" s="3" t="s">
        <v>95</v>
      </c>
      <c r="B68" s="5">
        <f>23989.2</f>
        <v>23989.200000000001</v>
      </c>
      <c r="C68" s="4"/>
      <c r="D68" s="4"/>
      <c r="E68" s="4"/>
      <c r="F68" s="5">
        <f>9034.56</f>
        <v>9034.56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>
        <f t="shared" si="10"/>
        <v>33023.760000000002</v>
      </c>
    </row>
    <row r="69" spans="1:34" x14ac:dyDescent="0.25">
      <c r="A69" s="3" t="s">
        <v>96</v>
      </c>
      <c r="B69" s="5">
        <f>6832.5</f>
        <v>6832.5</v>
      </c>
      <c r="C69" s="4"/>
      <c r="D69" s="4"/>
      <c r="E69" s="4"/>
      <c r="F69" s="5">
        <f>6832.5</f>
        <v>6832.5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>
        <f t="shared" si="10"/>
        <v>13665</v>
      </c>
    </row>
    <row r="70" spans="1:34" x14ac:dyDescent="0.25">
      <c r="A70" s="3" t="s">
        <v>97</v>
      </c>
      <c r="B70" s="5">
        <f>2570.46</f>
        <v>2570.46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5">
        <f t="shared" si="10"/>
        <v>2570.46</v>
      </c>
    </row>
    <row r="71" spans="1:34" x14ac:dyDescent="0.25">
      <c r="A71" s="3" t="s">
        <v>98</v>
      </c>
      <c r="B71" s="6">
        <f t="shared" ref="B71:AG71" si="12">(((B67)+(B68))+(B69))+(B70)</f>
        <v>33392.160000000003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15867.06</v>
      </c>
      <c r="G71" s="6">
        <f t="shared" si="12"/>
        <v>0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0"/>
        <v>49259.22</v>
      </c>
    </row>
    <row r="72" spans="1:34" x14ac:dyDescent="0.25">
      <c r="A72" s="3" t="s">
        <v>99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>
        <f t="shared" si="10"/>
        <v>0</v>
      </c>
    </row>
    <row r="73" spans="1:34" x14ac:dyDescent="0.25">
      <c r="A73" s="3" t="s">
        <v>100</v>
      </c>
      <c r="B73" s="5">
        <f>388.15</f>
        <v>388.15</v>
      </c>
      <c r="C73" s="4"/>
      <c r="D73" s="4"/>
      <c r="E73" s="4"/>
      <c r="F73" s="5">
        <f>232.88</f>
        <v>232.88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>
        <f>82.31</f>
        <v>82.31</v>
      </c>
      <c r="X73" s="5">
        <f>72.94</f>
        <v>72.94</v>
      </c>
      <c r="Y73" s="4"/>
      <c r="Z73" s="4"/>
      <c r="AA73" s="4"/>
      <c r="AB73" s="4"/>
      <c r="AC73" s="4"/>
      <c r="AD73" s="4"/>
      <c r="AE73" s="4"/>
      <c r="AF73" s="4"/>
      <c r="AG73" s="4"/>
      <c r="AH73" s="5">
        <f t="shared" si="10"/>
        <v>776.28</v>
      </c>
    </row>
    <row r="74" spans="1:34" x14ac:dyDescent="0.25">
      <c r="A74" s="3" t="s">
        <v>101</v>
      </c>
      <c r="B74" s="5">
        <f>241.25</f>
        <v>241.25</v>
      </c>
      <c r="C74" s="4"/>
      <c r="D74" s="4"/>
      <c r="E74" s="4"/>
      <c r="F74" s="5">
        <f>90</f>
        <v>90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5">
        <f>31.45</f>
        <v>31.45</v>
      </c>
      <c r="R74" s="4"/>
      <c r="S74" s="4"/>
      <c r="T74" s="4"/>
      <c r="U74" s="4"/>
      <c r="V74" s="4"/>
      <c r="W74" s="5">
        <f>0</f>
        <v>0</v>
      </c>
      <c r="X74" s="5">
        <f>60</f>
        <v>60</v>
      </c>
      <c r="Y74" s="4"/>
      <c r="Z74" s="4"/>
      <c r="AA74" s="4"/>
      <c r="AB74" s="4"/>
      <c r="AC74" s="4"/>
      <c r="AD74" s="4"/>
      <c r="AE74" s="4"/>
      <c r="AF74" s="4"/>
      <c r="AG74" s="4"/>
      <c r="AH74" s="5">
        <f t="shared" si="10"/>
        <v>422.7</v>
      </c>
    </row>
    <row r="75" spans="1:34" x14ac:dyDescent="0.25">
      <c r="A75" s="3" t="s">
        <v>102</v>
      </c>
      <c r="B75" s="5">
        <f>2706.35</f>
        <v>2706.35</v>
      </c>
      <c r="C75" s="4"/>
      <c r="D75" s="5">
        <f>2282.51</f>
        <v>2282.5100000000002</v>
      </c>
      <c r="E75" s="4"/>
      <c r="F75" s="5">
        <f>2731.85</f>
        <v>2731.85</v>
      </c>
      <c r="G75" s="5">
        <f>18.18</f>
        <v>18.18</v>
      </c>
      <c r="H75" s="4"/>
      <c r="I75" s="4"/>
      <c r="J75" s="4"/>
      <c r="K75" s="4"/>
      <c r="L75" s="4"/>
      <c r="M75" s="4"/>
      <c r="N75" s="4"/>
      <c r="O75" s="5">
        <f>85.06</f>
        <v>85.06</v>
      </c>
      <c r="P75" s="4"/>
      <c r="Q75" s="5">
        <f>215.65</f>
        <v>215.65</v>
      </c>
      <c r="R75" s="4"/>
      <c r="S75" s="4"/>
      <c r="T75" s="4"/>
      <c r="U75" s="4"/>
      <c r="V75" s="4"/>
      <c r="W75" s="5">
        <f>599.23</f>
        <v>599.23</v>
      </c>
      <c r="X75" s="5">
        <f>1743.99</f>
        <v>1743.99</v>
      </c>
      <c r="Y75" s="5">
        <f>432.02</f>
        <v>432.02</v>
      </c>
      <c r="Z75" s="4"/>
      <c r="AA75" s="5">
        <f>663.87</f>
        <v>663.87</v>
      </c>
      <c r="AB75" s="4"/>
      <c r="AC75" s="4"/>
      <c r="AD75" s="5">
        <f>107.06</f>
        <v>107.06</v>
      </c>
      <c r="AE75" s="4"/>
      <c r="AF75" s="5">
        <f>163.59</f>
        <v>163.59</v>
      </c>
      <c r="AG75" s="4"/>
      <c r="AH75" s="5">
        <f t="shared" si="10"/>
        <v>11749.360000000002</v>
      </c>
    </row>
    <row r="76" spans="1:34" x14ac:dyDescent="0.25">
      <c r="A76" s="3" t="s">
        <v>103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5">
        <f>1700</f>
        <v>1700</v>
      </c>
      <c r="AE76" s="4"/>
      <c r="AF76" s="4"/>
      <c r="AG76" s="4"/>
      <c r="AH76" s="5">
        <f t="shared" si="10"/>
        <v>1700</v>
      </c>
    </row>
    <row r="77" spans="1:34" x14ac:dyDescent="0.25">
      <c r="A77" s="3" t="s">
        <v>104</v>
      </c>
      <c r="B77" s="5">
        <f>938.07</f>
        <v>938.07</v>
      </c>
      <c r="C77" s="4"/>
      <c r="D77" s="5">
        <f>30.53</f>
        <v>30.53</v>
      </c>
      <c r="E77" s="4"/>
      <c r="F77" s="5">
        <f>820.86</f>
        <v>820.86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>
        <f>1172.3</f>
        <v>1172.3</v>
      </c>
      <c r="X77" s="5">
        <f>465.55</f>
        <v>465.55</v>
      </c>
      <c r="Y77" s="4"/>
      <c r="Z77" s="4"/>
      <c r="AA77" s="5">
        <f>30.53</f>
        <v>30.53</v>
      </c>
      <c r="AB77" s="4"/>
      <c r="AC77" s="4"/>
      <c r="AD77" s="5">
        <f>30.53</f>
        <v>30.53</v>
      </c>
      <c r="AE77" s="4"/>
      <c r="AF77" s="5">
        <f>30.52</f>
        <v>30.52</v>
      </c>
      <c r="AG77" s="4"/>
      <c r="AH77" s="5">
        <f t="shared" si="10"/>
        <v>3518.8900000000008</v>
      </c>
    </row>
    <row r="78" spans="1:34" x14ac:dyDescent="0.25">
      <c r="A78" s="3" t="s">
        <v>105</v>
      </c>
      <c r="B78" s="5">
        <f>10477.5</f>
        <v>10477.5</v>
      </c>
      <c r="C78" s="4"/>
      <c r="D78" s="5">
        <f>9592.94</f>
        <v>9592.94</v>
      </c>
      <c r="E78" s="4"/>
      <c r="F78" s="5">
        <f>143.5</f>
        <v>143.5</v>
      </c>
      <c r="G78" s="5">
        <f>1416.94</f>
        <v>1416.94</v>
      </c>
      <c r="H78" s="4"/>
      <c r="I78" s="4"/>
      <c r="J78" s="4"/>
      <c r="K78" s="4"/>
      <c r="L78" s="5">
        <f>3137.77</f>
        <v>3137.77</v>
      </c>
      <c r="M78" s="4"/>
      <c r="N78" s="4"/>
      <c r="O78" s="5">
        <f>427.89</f>
        <v>427.89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5">
        <f>6078.88</f>
        <v>6078.88</v>
      </c>
      <c r="AA78" s="4"/>
      <c r="AB78" s="4"/>
      <c r="AC78" s="4"/>
      <c r="AD78" s="4"/>
      <c r="AE78" s="5">
        <f>-502.54</f>
        <v>-502.54</v>
      </c>
      <c r="AF78" s="5">
        <f>-176.59</f>
        <v>-176.59</v>
      </c>
      <c r="AG78" s="4"/>
      <c r="AH78" s="5">
        <f t="shared" si="10"/>
        <v>30596.29</v>
      </c>
    </row>
    <row r="79" spans="1:34" x14ac:dyDescent="0.25">
      <c r="A79" s="3" t="s">
        <v>106</v>
      </c>
      <c r="B79" s="5">
        <f>53826.05</f>
        <v>53826.05</v>
      </c>
      <c r="C79" s="4"/>
      <c r="D79" s="5">
        <f>7086.61</f>
        <v>7086.61</v>
      </c>
      <c r="E79" s="4"/>
      <c r="F79" s="5">
        <f>21893.41</f>
        <v>21893.41</v>
      </c>
      <c r="G79" s="5">
        <f>340</f>
        <v>340</v>
      </c>
      <c r="H79" s="5">
        <f>0</f>
        <v>0</v>
      </c>
      <c r="I79" s="4"/>
      <c r="J79" s="4"/>
      <c r="K79" s="5">
        <f>58.84</f>
        <v>58.84</v>
      </c>
      <c r="L79" s="5">
        <f>1053.95</f>
        <v>1053.95</v>
      </c>
      <c r="M79" s="4"/>
      <c r="N79" s="4"/>
      <c r="O79" s="5">
        <f>1022.69</f>
        <v>1022.69</v>
      </c>
      <c r="P79" s="4"/>
      <c r="Q79" s="5">
        <f>573552.22</f>
        <v>573552.22</v>
      </c>
      <c r="R79" s="4"/>
      <c r="S79" s="4"/>
      <c r="T79" s="4"/>
      <c r="U79" s="5">
        <f>3387.3</f>
        <v>3387.3</v>
      </c>
      <c r="V79" s="4"/>
      <c r="W79" s="5">
        <f>8396.54</f>
        <v>8396.5400000000009</v>
      </c>
      <c r="X79" s="5">
        <f>7953.35</f>
        <v>7953.35</v>
      </c>
      <c r="Y79" s="5">
        <f>11855.92</f>
        <v>11855.92</v>
      </c>
      <c r="Z79" s="5">
        <f>5490.93</f>
        <v>5490.93</v>
      </c>
      <c r="AA79" s="5">
        <f>13803.14</f>
        <v>13803.14</v>
      </c>
      <c r="AB79" s="4"/>
      <c r="AC79" s="4"/>
      <c r="AD79" s="5">
        <f>8284.43</f>
        <v>8284.43</v>
      </c>
      <c r="AE79" s="5">
        <f>1085.06</f>
        <v>1085.06</v>
      </c>
      <c r="AF79" s="5">
        <f>10237.15</f>
        <v>10237.15</v>
      </c>
      <c r="AG79" s="4"/>
      <c r="AH79" s="5">
        <f t="shared" si="10"/>
        <v>729327.59000000032</v>
      </c>
    </row>
    <row r="80" spans="1:34" x14ac:dyDescent="0.25">
      <c r="A80" s="3" t="s">
        <v>107</v>
      </c>
      <c r="B80" s="5">
        <f>1952.56</f>
        <v>1952.56</v>
      </c>
      <c r="C80" s="4"/>
      <c r="D80" s="4"/>
      <c r="E80" s="4"/>
      <c r="F80" s="5">
        <f>2555.15</f>
        <v>2555.15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>
        <f t="shared" si="10"/>
        <v>4507.71</v>
      </c>
    </row>
    <row r="81" spans="1:34" x14ac:dyDescent="0.25">
      <c r="A81" s="3" t="s">
        <v>108</v>
      </c>
      <c r="B81" s="6">
        <f t="shared" ref="B81:AG81" si="13">((((((((B72)+(B73))+(B74))+(B75))+(B76))+(B77))+(B78))+(B79))+(B80)</f>
        <v>70529.929999999993</v>
      </c>
      <c r="C81" s="6">
        <f t="shared" si="13"/>
        <v>0</v>
      </c>
      <c r="D81" s="6">
        <f t="shared" si="13"/>
        <v>18992.59</v>
      </c>
      <c r="E81" s="6">
        <f t="shared" si="13"/>
        <v>0</v>
      </c>
      <c r="F81" s="6">
        <f t="shared" si="13"/>
        <v>28467.65</v>
      </c>
      <c r="G81" s="6">
        <f t="shared" si="13"/>
        <v>1775.1200000000001</v>
      </c>
      <c r="H81" s="6">
        <f t="shared" si="13"/>
        <v>0</v>
      </c>
      <c r="I81" s="6">
        <f t="shared" si="13"/>
        <v>0</v>
      </c>
      <c r="J81" s="6">
        <f t="shared" si="13"/>
        <v>0</v>
      </c>
      <c r="K81" s="6">
        <f t="shared" si="13"/>
        <v>58.84</v>
      </c>
      <c r="L81" s="6">
        <f t="shared" si="13"/>
        <v>4191.72</v>
      </c>
      <c r="M81" s="6">
        <f t="shared" si="13"/>
        <v>0</v>
      </c>
      <c r="N81" s="6">
        <f t="shared" si="13"/>
        <v>0</v>
      </c>
      <c r="O81" s="6">
        <f t="shared" si="13"/>
        <v>1535.64</v>
      </c>
      <c r="P81" s="6">
        <f t="shared" si="13"/>
        <v>0</v>
      </c>
      <c r="Q81" s="6">
        <f t="shared" si="13"/>
        <v>573799.31999999995</v>
      </c>
      <c r="R81" s="6">
        <f t="shared" si="13"/>
        <v>0</v>
      </c>
      <c r="S81" s="6">
        <f t="shared" si="13"/>
        <v>0</v>
      </c>
      <c r="T81" s="6">
        <f t="shared" si="13"/>
        <v>0</v>
      </c>
      <c r="U81" s="6">
        <f t="shared" si="13"/>
        <v>3387.3</v>
      </c>
      <c r="V81" s="6">
        <f t="shared" si="13"/>
        <v>0</v>
      </c>
      <c r="W81" s="6">
        <f t="shared" si="13"/>
        <v>10250.380000000001</v>
      </c>
      <c r="X81" s="6">
        <f t="shared" si="13"/>
        <v>10295.83</v>
      </c>
      <c r="Y81" s="6">
        <f t="shared" si="13"/>
        <v>12287.94</v>
      </c>
      <c r="Z81" s="6">
        <f t="shared" si="13"/>
        <v>11569.810000000001</v>
      </c>
      <c r="AA81" s="6">
        <f t="shared" si="13"/>
        <v>14497.539999999999</v>
      </c>
      <c r="AB81" s="6">
        <f t="shared" si="13"/>
        <v>0</v>
      </c>
      <c r="AC81" s="6">
        <f t="shared" si="13"/>
        <v>0</v>
      </c>
      <c r="AD81" s="6">
        <f t="shared" si="13"/>
        <v>10122.02</v>
      </c>
      <c r="AE81" s="6">
        <f t="shared" si="13"/>
        <v>582.52</v>
      </c>
      <c r="AF81" s="6">
        <f t="shared" si="13"/>
        <v>10254.67</v>
      </c>
      <c r="AG81" s="6">
        <f t="shared" si="13"/>
        <v>0</v>
      </c>
      <c r="AH81" s="6">
        <f t="shared" si="10"/>
        <v>782598.82000000007</v>
      </c>
    </row>
    <row r="82" spans="1:34" x14ac:dyDescent="0.25">
      <c r="A82" s="3" t="s">
        <v>109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5">
        <f t="shared" si="10"/>
        <v>0</v>
      </c>
    </row>
    <row r="83" spans="1:34" x14ac:dyDescent="0.25">
      <c r="A83" s="3" t="s">
        <v>110</v>
      </c>
      <c r="B83" s="5">
        <f>80</f>
        <v>80</v>
      </c>
      <c r="C83" s="4"/>
      <c r="D83" s="5">
        <f>32637.22</f>
        <v>32637.22</v>
      </c>
      <c r="E83" s="4"/>
      <c r="F83" s="5">
        <f>299.99</f>
        <v>299.99</v>
      </c>
      <c r="G83" s="5">
        <f>200</f>
        <v>200</v>
      </c>
      <c r="H83" s="4"/>
      <c r="I83" s="4"/>
      <c r="J83" s="4"/>
      <c r="K83" s="4"/>
      <c r="L83" s="5">
        <f>94920</f>
        <v>94920</v>
      </c>
      <c r="M83" s="4"/>
      <c r="N83" s="5">
        <f>55722.2</f>
        <v>55722.2</v>
      </c>
      <c r="O83" s="5">
        <f>4200</f>
        <v>4200</v>
      </c>
      <c r="P83" s="4"/>
      <c r="Q83" s="5">
        <f>71936.74</f>
        <v>71936.740000000005</v>
      </c>
      <c r="R83" s="4"/>
      <c r="S83" s="4"/>
      <c r="T83" s="4"/>
      <c r="U83" s="5">
        <f>4980</f>
        <v>4980</v>
      </c>
      <c r="V83" s="4"/>
      <c r="W83" s="5">
        <f>30662.5</f>
        <v>30662.5</v>
      </c>
      <c r="X83" s="5">
        <f>4750</f>
        <v>4750</v>
      </c>
      <c r="Y83" s="4"/>
      <c r="Z83" s="4"/>
      <c r="AA83" s="5">
        <f>0</f>
        <v>0</v>
      </c>
      <c r="AB83" s="4"/>
      <c r="AC83" s="4"/>
      <c r="AD83" s="5">
        <f>54670.55</f>
        <v>54670.55</v>
      </c>
      <c r="AE83" s="5">
        <f>36650</f>
        <v>36650</v>
      </c>
      <c r="AF83" s="5">
        <f>186013.81</f>
        <v>186013.81</v>
      </c>
      <c r="AG83" s="4"/>
      <c r="AH83" s="5">
        <f t="shared" si="10"/>
        <v>577723.01</v>
      </c>
    </row>
    <row r="84" spans="1:34" x14ac:dyDescent="0.25">
      <c r="A84" s="3" t="s">
        <v>111</v>
      </c>
      <c r="B84" s="5">
        <f>3283</f>
        <v>3283</v>
      </c>
      <c r="C84" s="4"/>
      <c r="D84" s="5">
        <f>1347</f>
        <v>1347</v>
      </c>
      <c r="E84" s="4"/>
      <c r="F84" s="5">
        <f>6299</f>
        <v>6299</v>
      </c>
      <c r="G84" s="5">
        <f>7546.25</f>
        <v>7546.25</v>
      </c>
      <c r="H84" s="4"/>
      <c r="I84" s="4"/>
      <c r="J84" s="4"/>
      <c r="K84" s="4"/>
      <c r="L84" s="4"/>
      <c r="M84" s="4"/>
      <c r="N84" s="4"/>
      <c r="O84" s="5">
        <f>4825</f>
        <v>4825</v>
      </c>
      <c r="P84" s="4"/>
      <c r="Q84" s="5">
        <f>19807.4</f>
        <v>19807.400000000001</v>
      </c>
      <c r="R84" s="4"/>
      <c r="S84" s="4"/>
      <c r="T84" s="4"/>
      <c r="U84" s="5">
        <f>145</f>
        <v>145</v>
      </c>
      <c r="V84" s="4"/>
      <c r="W84" s="5">
        <f>1158</f>
        <v>1158</v>
      </c>
      <c r="X84" s="5">
        <f>14354</f>
        <v>14354</v>
      </c>
      <c r="Y84" s="5">
        <f>733.64</f>
        <v>733.64</v>
      </c>
      <c r="Z84" s="4"/>
      <c r="AA84" s="5">
        <f>4439.97</f>
        <v>4439.97</v>
      </c>
      <c r="AB84" s="4"/>
      <c r="AC84" s="4"/>
      <c r="AD84" s="5">
        <f>10055.9</f>
        <v>10055.9</v>
      </c>
      <c r="AE84" s="5">
        <f>28908.2</f>
        <v>28908.2</v>
      </c>
      <c r="AF84" s="5">
        <f>2939</f>
        <v>2939</v>
      </c>
      <c r="AG84" s="4"/>
      <c r="AH84" s="5">
        <f t="shared" si="10"/>
        <v>105841.36</v>
      </c>
    </row>
    <row r="85" spans="1:34" x14ac:dyDescent="0.25">
      <c r="A85" s="3" t="s">
        <v>112</v>
      </c>
      <c r="B85" s="5">
        <f>3356.23</f>
        <v>3356.23</v>
      </c>
      <c r="C85" s="4"/>
      <c r="D85" s="5">
        <f>9229.72</f>
        <v>9229.7199999999993</v>
      </c>
      <c r="E85" s="4"/>
      <c r="F85" s="5">
        <f>1899.64</f>
        <v>1899.64</v>
      </c>
      <c r="G85" s="5">
        <f>16784.32</f>
        <v>16784.32</v>
      </c>
      <c r="H85" s="4"/>
      <c r="I85" s="5">
        <f>175.81</f>
        <v>175.81</v>
      </c>
      <c r="J85" s="4"/>
      <c r="K85" s="5">
        <f>-5652.1</f>
        <v>-5652.1</v>
      </c>
      <c r="L85" s="4"/>
      <c r="M85" s="4"/>
      <c r="N85" s="4"/>
      <c r="O85" s="5">
        <f>40407.98</f>
        <v>40407.980000000003</v>
      </c>
      <c r="P85" s="4"/>
      <c r="Q85" s="5">
        <f>7855.43</f>
        <v>7855.43</v>
      </c>
      <c r="R85" s="4"/>
      <c r="S85" s="5">
        <f>163647.54</f>
        <v>163647.54</v>
      </c>
      <c r="T85" s="4"/>
      <c r="U85" s="5">
        <f>1188.53</f>
        <v>1188.53</v>
      </c>
      <c r="V85" s="4"/>
      <c r="W85" s="5">
        <f>4780.77</f>
        <v>4780.7700000000004</v>
      </c>
      <c r="X85" s="5">
        <f>10929.66</f>
        <v>10929.66</v>
      </c>
      <c r="Y85" s="5">
        <f>5845.78</f>
        <v>5845.78</v>
      </c>
      <c r="Z85" s="5">
        <f>2334</f>
        <v>2334</v>
      </c>
      <c r="AA85" s="5">
        <f>11819.13</f>
        <v>11819.13</v>
      </c>
      <c r="AB85" s="4"/>
      <c r="AC85" s="4"/>
      <c r="AD85" s="5">
        <f>27779.25</f>
        <v>27779.25</v>
      </c>
      <c r="AE85" s="5">
        <f>34940.68</f>
        <v>34940.68</v>
      </c>
      <c r="AF85" s="5">
        <f>13291.12</f>
        <v>13291.12</v>
      </c>
      <c r="AG85" s="5"/>
      <c r="AH85" s="5">
        <f t="shared" si="10"/>
        <v>350613.49</v>
      </c>
    </row>
    <row r="86" spans="1:34" x14ac:dyDescent="0.25">
      <c r="A86" s="3" t="s">
        <v>113</v>
      </c>
      <c r="B86" s="5">
        <f>-3209.2</f>
        <v>-3209.2</v>
      </c>
      <c r="C86" s="4"/>
      <c r="D86" s="5">
        <f>7776.1</f>
        <v>7776.1</v>
      </c>
      <c r="E86" s="4"/>
      <c r="F86" s="4"/>
      <c r="G86" s="4"/>
      <c r="H86" s="4"/>
      <c r="I86" s="4"/>
      <c r="J86" s="4"/>
      <c r="K86" s="5">
        <f>294.9</f>
        <v>294.89999999999998</v>
      </c>
      <c r="L86" s="5">
        <f>2570.09</f>
        <v>2570.09</v>
      </c>
      <c r="M86" s="4"/>
      <c r="N86" s="4"/>
      <c r="O86" s="4"/>
      <c r="P86" s="4"/>
      <c r="Q86" s="4"/>
      <c r="R86" s="4"/>
      <c r="S86" s="4"/>
      <c r="T86" s="4"/>
      <c r="U86" s="5">
        <f>644</f>
        <v>644</v>
      </c>
      <c r="V86" s="4"/>
      <c r="W86" s="5">
        <f>2180.33</f>
        <v>2180.33</v>
      </c>
      <c r="X86" s="5">
        <f>4233.05</f>
        <v>4233.05</v>
      </c>
      <c r="Y86" s="4"/>
      <c r="Z86" s="4"/>
      <c r="AA86" s="5">
        <f>384.6</f>
        <v>384.6</v>
      </c>
      <c r="AB86" s="5">
        <f>167.98</f>
        <v>167.98</v>
      </c>
      <c r="AC86" s="4"/>
      <c r="AD86" s="5">
        <f>499.75</f>
        <v>499.75</v>
      </c>
      <c r="AE86" s="5">
        <f>938.19</f>
        <v>938.19</v>
      </c>
      <c r="AF86" s="5">
        <f>0</f>
        <v>0</v>
      </c>
      <c r="AG86" s="4"/>
      <c r="AH86" s="5">
        <f t="shared" si="10"/>
        <v>16479.79</v>
      </c>
    </row>
    <row r="87" spans="1:34" x14ac:dyDescent="0.25">
      <c r="A87" s="3" t="s">
        <v>114</v>
      </c>
      <c r="B87" s="5">
        <f>5384.76</f>
        <v>5384.76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>
        <f t="shared" si="10"/>
        <v>5384.76</v>
      </c>
    </row>
    <row r="88" spans="1:34" x14ac:dyDescent="0.25">
      <c r="A88" s="3" t="s">
        <v>115</v>
      </c>
      <c r="B88" s="6">
        <f t="shared" ref="B88:AG88" si="14">(((((B82)+(B83))+(B84))+(B85))+(B86))+(B87)</f>
        <v>8894.7900000000009</v>
      </c>
      <c r="C88" s="6">
        <f t="shared" si="14"/>
        <v>0</v>
      </c>
      <c r="D88" s="6">
        <f t="shared" si="14"/>
        <v>50990.04</v>
      </c>
      <c r="E88" s="6">
        <f t="shared" si="14"/>
        <v>0</v>
      </c>
      <c r="F88" s="6">
        <f t="shared" si="14"/>
        <v>8498.6299999999992</v>
      </c>
      <c r="G88" s="6">
        <f t="shared" si="14"/>
        <v>24530.57</v>
      </c>
      <c r="H88" s="6">
        <f t="shared" si="14"/>
        <v>0</v>
      </c>
      <c r="I88" s="6">
        <f t="shared" si="14"/>
        <v>175.81</v>
      </c>
      <c r="J88" s="6">
        <f t="shared" si="14"/>
        <v>0</v>
      </c>
      <c r="K88" s="6">
        <f t="shared" si="14"/>
        <v>-5357.2000000000007</v>
      </c>
      <c r="L88" s="6">
        <f t="shared" si="14"/>
        <v>97490.09</v>
      </c>
      <c r="M88" s="6">
        <f t="shared" si="14"/>
        <v>0</v>
      </c>
      <c r="N88" s="6">
        <f t="shared" si="14"/>
        <v>55722.2</v>
      </c>
      <c r="O88" s="6">
        <f t="shared" si="14"/>
        <v>49432.98</v>
      </c>
      <c r="P88" s="6">
        <f t="shared" si="14"/>
        <v>0</v>
      </c>
      <c r="Q88" s="6">
        <f t="shared" si="14"/>
        <v>99599.57</v>
      </c>
      <c r="R88" s="6">
        <f t="shared" si="14"/>
        <v>0</v>
      </c>
      <c r="S88" s="6">
        <f t="shared" si="14"/>
        <v>163647.54</v>
      </c>
      <c r="T88" s="6">
        <f t="shared" si="14"/>
        <v>0</v>
      </c>
      <c r="U88" s="6">
        <f t="shared" si="14"/>
        <v>6957.53</v>
      </c>
      <c r="V88" s="6">
        <f t="shared" si="14"/>
        <v>0</v>
      </c>
      <c r="W88" s="6">
        <f t="shared" si="14"/>
        <v>38781.600000000006</v>
      </c>
      <c r="X88" s="6">
        <f t="shared" si="14"/>
        <v>34266.71</v>
      </c>
      <c r="Y88" s="6">
        <f t="shared" si="14"/>
        <v>6579.42</v>
      </c>
      <c r="Z88" s="6">
        <f t="shared" si="14"/>
        <v>2334</v>
      </c>
      <c r="AA88" s="6">
        <f t="shared" si="14"/>
        <v>16643.699999999997</v>
      </c>
      <c r="AB88" s="6">
        <f t="shared" si="14"/>
        <v>167.98</v>
      </c>
      <c r="AC88" s="6">
        <f t="shared" si="14"/>
        <v>0</v>
      </c>
      <c r="AD88" s="6">
        <f t="shared" si="14"/>
        <v>93005.450000000012</v>
      </c>
      <c r="AE88" s="6">
        <f t="shared" si="14"/>
        <v>101437.07</v>
      </c>
      <c r="AF88" s="6">
        <f t="shared" si="14"/>
        <v>202243.93</v>
      </c>
      <c r="AG88" s="6">
        <f t="shared" si="14"/>
        <v>0</v>
      </c>
      <c r="AH88" s="6">
        <f t="shared" si="10"/>
        <v>1056042.4099999999</v>
      </c>
    </row>
    <row r="89" spans="1:34" x14ac:dyDescent="0.25">
      <c r="A89" s="3" t="s">
        <v>116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5">
        <f t="shared" si="10"/>
        <v>0</v>
      </c>
    </row>
    <row r="90" spans="1:34" x14ac:dyDescent="0.25">
      <c r="A90" s="3" t="s">
        <v>117</v>
      </c>
      <c r="B90" s="5">
        <f>6269.03</f>
        <v>6269.03</v>
      </c>
      <c r="C90" s="4"/>
      <c r="D90" s="5">
        <f>379.09</f>
        <v>379.09</v>
      </c>
      <c r="E90" s="4"/>
      <c r="F90" s="4"/>
      <c r="G90" s="4"/>
      <c r="H90" s="4"/>
      <c r="I90" s="5">
        <f>154.06</f>
        <v>154.06</v>
      </c>
      <c r="J90" s="4"/>
      <c r="K90" s="4"/>
      <c r="L90" s="4"/>
      <c r="M90" s="4"/>
      <c r="N90" s="4"/>
      <c r="O90" s="5">
        <f>77.03</f>
        <v>77.03</v>
      </c>
      <c r="P90" s="4"/>
      <c r="Q90" s="5">
        <f>154.06</f>
        <v>154.06</v>
      </c>
      <c r="R90" s="4"/>
      <c r="S90" s="4"/>
      <c r="T90" s="4"/>
      <c r="U90" s="5">
        <f>77.03</f>
        <v>77.03</v>
      </c>
      <c r="V90" s="4"/>
      <c r="W90" s="5">
        <f>321.04</f>
        <v>321.04000000000002</v>
      </c>
      <c r="X90" s="5">
        <f>4486.28</f>
        <v>4486.28</v>
      </c>
      <c r="Y90" s="5">
        <f>154.06</f>
        <v>154.06</v>
      </c>
      <c r="Z90" s="4"/>
      <c r="AA90" s="5">
        <f>308.12</f>
        <v>308.12</v>
      </c>
      <c r="AB90" s="4"/>
      <c r="AC90" s="4"/>
      <c r="AD90" s="5">
        <f>154.16</f>
        <v>154.16</v>
      </c>
      <c r="AE90" s="4"/>
      <c r="AF90" s="5">
        <f>4128.73</f>
        <v>4128.7299999999996</v>
      </c>
      <c r="AG90" s="4"/>
      <c r="AH90" s="5">
        <f t="shared" si="10"/>
        <v>16662.689999999999</v>
      </c>
    </row>
    <row r="91" spans="1:34" x14ac:dyDescent="0.25">
      <c r="A91" s="3" t="s">
        <v>118</v>
      </c>
      <c r="B91" s="4"/>
      <c r="C91" s="4"/>
      <c r="D91" s="4"/>
      <c r="E91" s="4"/>
      <c r="F91" s="5">
        <f>15000</f>
        <v>15000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5">
        <f t="shared" si="10"/>
        <v>15000</v>
      </c>
    </row>
    <row r="92" spans="1:34" x14ac:dyDescent="0.25">
      <c r="A92" s="3" t="s">
        <v>119</v>
      </c>
      <c r="B92" s="4"/>
      <c r="C92" s="4"/>
      <c r="D92" s="5">
        <f>30592.53</f>
        <v>30592.53</v>
      </c>
      <c r="E92" s="5">
        <f>1231.68</f>
        <v>1231.68</v>
      </c>
      <c r="F92" s="5">
        <f>99444.05</f>
        <v>99444.05</v>
      </c>
      <c r="G92" s="5">
        <f>7911.98</f>
        <v>7911.98</v>
      </c>
      <c r="H92" s="5">
        <f>9611.74</f>
        <v>9611.74</v>
      </c>
      <c r="I92" s="5">
        <f>6480.23</f>
        <v>6480.23</v>
      </c>
      <c r="J92" s="5">
        <f>4739.12</f>
        <v>4739.12</v>
      </c>
      <c r="K92" s="4"/>
      <c r="L92" s="5">
        <f>10045.3</f>
        <v>10045.299999999999</v>
      </c>
      <c r="M92" s="5">
        <f>2958.49</f>
        <v>2958.49</v>
      </c>
      <c r="N92" s="5">
        <f>52749.12</f>
        <v>52749.120000000003</v>
      </c>
      <c r="O92" s="5">
        <f>11253.95</f>
        <v>11253.95</v>
      </c>
      <c r="P92" s="5">
        <f>81.16</f>
        <v>81.16</v>
      </c>
      <c r="Q92" s="5">
        <f>128177.39</f>
        <v>128177.39</v>
      </c>
      <c r="R92" s="5">
        <f>50915.54</f>
        <v>50915.54</v>
      </c>
      <c r="S92" s="5">
        <f>21422.5</f>
        <v>21422.5</v>
      </c>
      <c r="T92" s="5">
        <f>8021.46</f>
        <v>8021.46</v>
      </c>
      <c r="U92" s="5">
        <f>2596.91</f>
        <v>2596.91</v>
      </c>
      <c r="V92" s="4"/>
      <c r="W92" s="5">
        <f>19088.63</f>
        <v>19088.63</v>
      </c>
      <c r="X92" s="5">
        <f>25193.67</f>
        <v>25193.67</v>
      </c>
      <c r="Y92" s="5">
        <f>19501.74</f>
        <v>19501.740000000002</v>
      </c>
      <c r="Z92" s="5">
        <f>2936.68</f>
        <v>2936.68</v>
      </c>
      <c r="AA92" s="5">
        <f>53821.71</f>
        <v>53821.71</v>
      </c>
      <c r="AB92" s="5">
        <f>127.75</f>
        <v>127.75</v>
      </c>
      <c r="AC92" s="5">
        <f>36.04</f>
        <v>36.04</v>
      </c>
      <c r="AD92" s="5">
        <f>33711.42</f>
        <v>33711.42</v>
      </c>
      <c r="AE92" s="5">
        <f>26988.72</f>
        <v>26988.720000000001</v>
      </c>
      <c r="AF92" s="5">
        <f>58201.73</f>
        <v>58201.73</v>
      </c>
      <c r="AG92" s="4"/>
      <c r="AH92" s="5">
        <f t="shared" si="10"/>
        <v>687841.24</v>
      </c>
    </row>
    <row r="93" spans="1:34" x14ac:dyDescent="0.25">
      <c r="A93" s="3" t="s">
        <v>120</v>
      </c>
      <c r="B93" s="6">
        <f t="shared" ref="B93:AG93" si="15">(((B89)+(B90))+(B91))+(B92)</f>
        <v>6269.03</v>
      </c>
      <c r="C93" s="6">
        <f t="shared" si="15"/>
        <v>0</v>
      </c>
      <c r="D93" s="6">
        <f t="shared" si="15"/>
        <v>30971.62</v>
      </c>
      <c r="E93" s="6">
        <f t="shared" si="15"/>
        <v>1231.68</v>
      </c>
      <c r="F93" s="6">
        <f t="shared" si="15"/>
        <v>114444.05</v>
      </c>
      <c r="G93" s="6">
        <f t="shared" si="15"/>
        <v>7911.98</v>
      </c>
      <c r="H93" s="6">
        <f t="shared" si="15"/>
        <v>9611.74</v>
      </c>
      <c r="I93" s="6">
        <f t="shared" si="15"/>
        <v>6634.29</v>
      </c>
      <c r="J93" s="6">
        <f t="shared" si="15"/>
        <v>4739.12</v>
      </c>
      <c r="K93" s="6">
        <f t="shared" si="15"/>
        <v>0</v>
      </c>
      <c r="L93" s="6">
        <f t="shared" si="15"/>
        <v>10045.299999999999</v>
      </c>
      <c r="M93" s="6">
        <f t="shared" si="15"/>
        <v>2958.49</v>
      </c>
      <c r="N93" s="6">
        <f t="shared" si="15"/>
        <v>52749.120000000003</v>
      </c>
      <c r="O93" s="6">
        <f t="shared" si="15"/>
        <v>11330.980000000001</v>
      </c>
      <c r="P93" s="6">
        <f t="shared" si="15"/>
        <v>81.16</v>
      </c>
      <c r="Q93" s="6">
        <f t="shared" si="15"/>
        <v>128331.45</v>
      </c>
      <c r="R93" s="6">
        <f t="shared" si="15"/>
        <v>50915.54</v>
      </c>
      <c r="S93" s="6">
        <f t="shared" si="15"/>
        <v>21422.5</v>
      </c>
      <c r="T93" s="6">
        <f t="shared" si="15"/>
        <v>8021.46</v>
      </c>
      <c r="U93" s="6">
        <f t="shared" si="15"/>
        <v>2673.94</v>
      </c>
      <c r="V93" s="6">
        <f t="shared" si="15"/>
        <v>0</v>
      </c>
      <c r="W93" s="6">
        <f t="shared" si="15"/>
        <v>19409.670000000002</v>
      </c>
      <c r="X93" s="6">
        <f t="shared" si="15"/>
        <v>29679.949999999997</v>
      </c>
      <c r="Y93" s="6">
        <f t="shared" si="15"/>
        <v>19655.800000000003</v>
      </c>
      <c r="Z93" s="6">
        <f t="shared" si="15"/>
        <v>2936.68</v>
      </c>
      <c r="AA93" s="6">
        <f t="shared" si="15"/>
        <v>54129.83</v>
      </c>
      <c r="AB93" s="6">
        <f t="shared" si="15"/>
        <v>127.75</v>
      </c>
      <c r="AC93" s="6">
        <f t="shared" si="15"/>
        <v>36.04</v>
      </c>
      <c r="AD93" s="6">
        <f t="shared" si="15"/>
        <v>33865.58</v>
      </c>
      <c r="AE93" s="6">
        <f t="shared" si="15"/>
        <v>26988.720000000001</v>
      </c>
      <c r="AF93" s="6">
        <f t="shared" si="15"/>
        <v>62330.460000000006</v>
      </c>
      <c r="AG93" s="6">
        <f t="shared" si="15"/>
        <v>0</v>
      </c>
      <c r="AH93" s="6">
        <f t="shared" si="10"/>
        <v>719503.92999999993</v>
      </c>
    </row>
    <row r="94" spans="1:34" x14ac:dyDescent="0.25">
      <c r="A94" s="3" t="s">
        <v>121</v>
      </c>
      <c r="B94" s="6">
        <f t="shared" ref="B94:AG94" si="16">((((((((B35)+(B48))+(B54))+(B55))+(B66))+(B71))+(B81))+(B88))+(B93)</f>
        <v>487079.67000000004</v>
      </c>
      <c r="C94" s="6">
        <f t="shared" si="16"/>
        <v>0</v>
      </c>
      <c r="D94" s="6">
        <f t="shared" si="16"/>
        <v>416740.81</v>
      </c>
      <c r="E94" s="6">
        <f t="shared" si="16"/>
        <v>25865.75</v>
      </c>
      <c r="F94" s="6">
        <f t="shared" si="16"/>
        <v>1069884.5</v>
      </c>
      <c r="G94" s="6">
        <f t="shared" si="16"/>
        <v>86578.75</v>
      </c>
      <c r="H94" s="6">
        <f t="shared" si="16"/>
        <v>105759.09000000001</v>
      </c>
      <c r="I94" s="6">
        <f t="shared" si="16"/>
        <v>71475.599999999991</v>
      </c>
      <c r="J94" s="6">
        <f t="shared" si="16"/>
        <v>64019.360000000001</v>
      </c>
      <c r="K94" s="6">
        <f t="shared" si="16"/>
        <v>10638.189999999999</v>
      </c>
      <c r="L94" s="6">
        <f t="shared" si="16"/>
        <v>110041.33</v>
      </c>
      <c r="M94" s="6">
        <f t="shared" si="16"/>
        <v>32543.260000000002</v>
      </c>
      <c r="N94" s="6">
        <f t="shared" si="16"/>
        <v>579880.44000000006</v>
      </c>
      <c r="O94" s="6">
        <f t="shared" si="16"/>
        <v>124627.43999999999</v>
      </c>
      <c r="P94" s="6">
        <f t="shared" si="16"/>
        <v>1095.6600000000001</v>
      </c>
      <c r="Q94" s="6">
        <f t="shared" si="16"/>
        <v>1106630.6599999999</v>
      </c>
      <c r="R94" s="6">
        <f t="shared" si="16"/>
        <v>475211.69</v>
      </c>
      <c r="S94" s="6">
        <f t="shared" si="16"/>
        <v>235647.40000000002</v>
      </c>
      <c r="T94" s="6">
        <f t="shared" si="16"/>
        <v>108289.91000000002</v>
      </c>
      <c r="U94" s="6">
        <f t="shared" si="16"/>
        <v>35058.25</v>
      </c>
      <c r="V94" s="6">
        <f t="shared" si="16"/>
        <v>-936.55</v>
      </c>
      <c r="W94" s="6">
        <f t="shared" si="16"/>
        <v>257714.97000000003</v>
      </c>
      <c r="X94" s="6">
        <f t="shared" si="16"/>
        <v>340114.51000000007</v>
      </c>
      <c r="Y94" s="6">
        <f t="shared" si="16"/>
        <v>158799.88</v>
      </c>
      <c r="Z94" s="6">
        <f t="shared" si="16"/>
        <v>24416.49</v>
      </c>
      <c r="AA94" s="6">
        <f t="shared" si="16"/>
        <v>591092.93999999994</v>
      </c>
      <c r="AB94" s="6">
        <f t="shared" si="16"/>
        <v>6515.37</v>
      </c>
      <c r="AC94" s="6">
        <f t="shared" si="16"/>
        <v>1825.98</v>
      </c>
      <c r="AD94" s="6">
        <f t="shared" si="16"/>
        <v>280445.21999999997</v>
      </c>
      <c r="AE94" s="6">
        <f t="shared" si="16"/>
        <v>297308.40000000002</v>
      </c>
      <c r="AF94" s="6">
        <f t="shared" si="16"/>
        <v>473928.4</v>
      </c>
      <c r="AG94" s="6">
        <f t="shared" si="16"/>
        <v>0</v>
      </c>
      <c r="AH94" s="6">
        <f t="shared" si="10"/>
        <v>7578293.370000001</v>
      </c>
    </row>
    <row r="95" spans="1:34" x14ac:dyDescent="0.25">
      <c r="A95" s="3" t="s">
        <v>122</v>
      </c>
      <c r="B95" s="6">
        <f t="shared" ref="B95:AG95" si="17">(B30)-(B94)</f>
        <v>755243.54999999993</v>
      </c>
      <c r="C95" s="6">
        <f t="shared" si="17"/>
        <v>275</v>
      </c>
      <c r="D95" s="6">
        <f t="shared" si="17"/>
        <v>0</v>
      </c>
      <c r="E95" s="6">
        <f t="shared" si="17"/>
        <v>0</v>
      </c>
      <c r="F95" s="6">
        <f t="shared" si="17"/>
        <v>1115194</v>
      </c>
      <c r="G95" s="6">
        <f t="shared" si="17"/>
        <v>-7251.2599999999948</v>
      </c>
      <c r="H95" s="6">
        <f t="shared" si="17"/>
        <v>-31499.330000000016</v>
      </c>
      <c r="I95" s="6">
        <f t="shared" si="17"/>
        <v>18145.200000000012</v>
      </c>
      <c r="J95" s="6">
        <f t="shared" si="17"/>
        <v>0</v>
      </c>
      <c r="K95" s="6">
        <f t="shared" si="17"/>
        <v>330458.48</v>
      </c>
      <c r="L95" s="6">
        <f t="shared" si="17"/>
        <v>-96883.83</v>
      </c>
      <c r="M95" s="6">
        <f t="shared" si="17"/>
        <v>31713.279999999999</v>
      </c>
      <c r="N95" s="6">
        <f t="shared" si="17"/>
        <v>0</v>
      </c>
      <c r="O95" s="6">
        <f t="shared" si="17"/>
        <v>-24724.139999999985</v>
      </c>
      <c r="P95" s="6">
        <f t="shared" si="17"/>
        <v>0</v>
      </c>
      <c r="Q95" s="6">
        <f t="shared" si="17"/>
        <v>0</v>
      </c>
      <c r="R95" s="6">
        <f t="shared" si="17"/>
        <v>0</v>
      </c>
      <c r="S95" s="6">
        <f t="shared" si="17"/>
        <v>0</v>
      </c>
      <c r="T95" s="6">
        <f t="shared" si="17"/>
        <v>0</v>
      </c>
      <c r="U95" s="6">
        <f t="shared" si="17"/>
        <v>-27726.21</v>
      </c>
      <c r="V95" s="6">
        <f t="shared" si="17"/>
        <v>936.55</v>
      </c>
      <c r="W95" s="6">
        <f t="shared" si="17"/>
        <v>0</v>
      </c>
      <c r="X95" s="6">
        <f t="shared" si="17"/>
        <v>0.48999999993247911</v>
      </c>
      <c r="Y95" s="6">
        <f t="shared" si="17"/>
        <v>-500</v>
      </c>
      <c r="Z95" s="6">
        <f t="shared" si="17"/>
        <v>25648.51</v>
      </c>
      <c r="AA95" s="6">
        <f t="shared" si="17"/>
        <v>-258170.56999999995</v>
      </c>
      <c r="AB95" s="6">
        <f t="shared" si="17"/>
        <v>7.999999999992724E-2</v>
      </c>
      <c r="AC95" s="6">
        <f t="shared" si="17"/>
        <v>1.999999999998181E-2</v>
      </c>
      <c r="AD95" s="6">
        <f t="shared" si="17"/>
        <v>0</v>
      </c>
      <c r="AE95" s="6">
        <f t="shared" si="17"/>
        <v>-2129.9000000000233</v>
      </c>
      <c r="AF95" s="6">
        <f t="shared" si="17"/>
        <v>0</v>
      </c>
      <c r="AG95" s="6">
        <f t="shared" si="17"/>
        <v>0</v>
      </c>
      <c r="AH95" s="6">
        <f t="shared" si="10"/>
        <v>1828729.92</v>
      </c>
    </row>
    <row r="96" spans="1:34" x14ac:dyDescent="0.25">
      <c r="A96" s="3" t="s">
        <v>123</v>
      </c>
      <c r="B96" s="7">
        <f t="shared" ref="B96:AG96" si="18">(B95)+(0)</f>
        <v>755243.54999999993</v>
      </c>
      <c r="C96" s="7">
        <f t="shared" si="18"/>
        <v>275</v>
      </c>
      <c r="D96" s="7">
        <f t="shared" si="18"/>
        <v>0</v>
      </c>
      <c r="E96" s="7">
        <f t="shared" si="18"/>
        <v>0</v>
      </c>
      <c r="F96" s="7">
        <f t="shared" si="18"/>
        <v>1115194</v>
      </c>
      <c r="G96" s="7">
        <f t="shared" si="18"/>
        <v>-7251.2599999999948</v>
      </c>
      <c r="H96" s="7">
        <f t="shared" si="18"/>
        <v>-31499.330000000016</v>
      </c>
      <c r="I96" s="7">
        <f t="shared" si="18"/>
        <v>18145.200000000012</v>
      </c>
      <c r="J96" s="7">
        <f t="shared" si="18"/>
        <v>0</v>
      </c>
      <c r="K96" s="7">
        <f t="shared" si="18"/>
        <v>330458.48</v>
      </c>
      <c r="L96" s="7">
        <f t="shared" si="18"/>
        <v>-96883.83</v>
      </c>
      <c r="M96" s="7">
        <f t="shared" si="18"/>
        <v>31713.279999999999</v>
      </c>
      <c r="N96" s="7">
        <f t="shared" si="18"/>
        <v>0</v>
      </c>
      <c r="O96" s="7">
        <f t="shared" si="18"/>
        <v>-24724.139999999985</v>
      </c>
      <c r="P96" s="7">
        <f t="shared" si="18"/>
        <v>0</v>
      </c>
      <c r="Q96" s="7">
        <f t="shared" si="18"/>
        <v>0</v>
      </c>
      <c r="R96" s="7">
        <f t="shared" si="18"/>
        <v>0</v>
      </c>
      <c r="S96" s="7">
        <f t="shared" si="18"/>
        <v>0</v>
      </c>
      <c r="T96" s="7">
        <f t="shared" si="18"/>
        <v>0</v>
      </c>
      <c r="U96" s="7">
        <f t="shared" si="18"/>
        <v>-27726.21</v>
      </c>
      <c r="V96" s="7">
        <f t="shared" si="18"/>
        <v>936.55</v>
      </c>
      <c r="W96" s="7">
        <f t="shared" si="18"/>
        <v>0</v>
      </c>
      <c r="X96" s="7">
        <f t="shared" si="18"/>
        <v>0.48999999993247911</v>
      </c>
      <c r="Y96" s="7">
        <f t="shared" si="18"/>
        <v>-500</v>
      </c>
      <c r="Z96" s="7">
        <f t="shared" si="18"/>
        <v>25648.51</v>
      </c>
      <c r="AA96" s="7">
        <f t="shared" si="18"/>
        <v>-258170.56999999995</v>
      </c>
      <c r="AB96" s="7">
        <f t="shared" si="18"/>
        <v>7.999999999992724E-2</v>
      </c>
      <c r="AC96" s="7">
        <f t="shared" si="18"/>
        <v>1.999999999998181E-2</v>
      </c>
      <c r="AD96" s="7">
        <f t="shared" si="18"/>
        <v>0</v>
      </c>
      <c r="AE96" s="7">
        <f t="shared" si="18"/>
        <v>-2129.9000000000233</v>
      </c>
      <c r="AF96" s="7">
        <f t="shared" si="18"/>
        <v>0</v>
      </c>
      <c r="AG96" s="7">
        <f t="shared" si="18"/>
        <v>0</v>
      </c>
      <c r="AH96" s="7">
        <f t="shared" ref="AH96" si="19">(((((((((((((((((((((((((((((((B96)+(C96))+(D96))+(E96))+(F96))+(G96))+(H96))+(I96))+(J96))+(K96))+(L96))+(M96))+(N96))+(O96))+(P96))+(Q96))+(R96))+(S96))+(T96))+(U96))+(V96))+(W96))+(X96))+(Y96))+(Z96))+(AA96))+(AB96))+(AC96))+(AD96))+(AE96))+(AF96))+(AG96)</f>
        <v>1828729.92</v>
      </c>
    </row>
    <row r="97" spans="1:34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100" spans="1:34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</sheetData>
  <sheetProtection algorithmName="SHA-512" hashValue="ZlsBUPlrW2CGzpD+1jrar/TsrHHAxfK9ExTcabgtMwGXDPjbe2KCyGSo1qgN9pJl4dgLphoUELA6wPFCKV0imA==" saltValue="A3KkGHQ2e4atQDpsWLlZVg==" spinCount="100000" sheet="1" objects="1" scenarios="1"/>
  <mergeCells count="4">
    <mergeCell ref="A100:AH100"/>
    <mergeCell ref="A1:AH1"/>
    <mergeCell ref="A2:AH2"/>
    <mergeCell ref="A3:AH3"/>
  </mergeCells>
  <pageMargins left="0.7" right="0.7" top="0.75" bottom="0.75" header="0.3" footer="0.3"/>
  <pageSetup paperSize="5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2024-01-10T16:43:22Z</cp:lastPrinted>
  <dcterms:created xsi:type="dcterms:W3CDTF">2024-01-09T18:55:45Z</dcterms:created>
  <dcterms:modified xsi:type="dcterms:W3CDTF">2024-02-06T19:30:17Z</dcterms:modified>
</cp:coreProperties>
</file>