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0BE9E2EF-F94F-4591-B152-A665B4621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1" l="1"/>
  <c r="C98" i="1"/>
  <c r="C96" i="1"/>
  <c r="C95" i="1"/>
  <c r="C94" i="1"/>
  <c r="C92" i="1"/>
  <c r="C90" i="1"/>
  <c r="C89" i="1"/>
  <c r="C88" i="1"/>
  <c r="C87" i="1"/>
  <c r="C86" i="1"/>
  <c r="C91" i="1" s="1"/>
  <c r="C83" i="1"/>
  <c r="C82" i="1"/>
  <c r="C81" i="1"/>
  <c r="C80" i="1"/>
  <c r="C79" i="1"/>
  <c r="C78" i="1"/>
  <c r="C77" i="1"/>
  <c r="C76" i="1"/>
  <c r="C75" i="1"/>
  <c r="C72" i="1"/>
  <c r="C71" i="1"/>
  <c r="C70" i="1"/>
  <c r="C73" i="1" s="1"/>
  <c r="C67" i="1"/>
  <c r="C66" i="1"/>
  <c r="C65" i="1"/>
  <c r="C64" i="1"/>
  <c r="C63" i="1"/>
  <c r="C62" i="1"/>
  <c r="C61" i="1"/>
  <c r="C60" i="1"/>
  <c r="C59" i="1"/>
  <c r="C57" i="1"/>
  <c r="C55" i="1"/>
  <c r="C54" i="1"/>
  <c r="C53" i="1"/>
  <c r="C52" i="1"/>
  <c r="C51" i="1"/>
  <c r="C49" i="1"/>
  <c r="C48" i="1"/>
  <c r="C47" i="1"/>
  <c r="C46" i="1"/>
  <c r="C45" i="1"/>
  <c r="C44" i="1"/>
  <c r="C43" i="1"/>
  <c r="C42" i="1"/>
  <c r="C41" i="1"/>
  <c r="C50" i="1" s="1"/>
  <c r="C39" i="1"/>
  <c r="C36" i="1"/>
  <c r="C35" i="1"/>
  <c r="C29" i="1"/>
  <c r="C28" i="1"/>
  <c r="C30" i="1" s="1"/>
  <c r="C26" i="1"/>
  <c r="C22" i="1"/>
  <c r="C24" i="1" s="1"/>
  <c r="C20" i="1"/>
  <c r="C19" i="1"/>
  <c r="C18" i="1"/>
  <c r="C17" i="1"/>
  <c r="C16" i="1"/>
  <c r="C13" i="1"/>
  <c r="C12" i="1"/>
  <c r="C11" i="1"/>
  <c r="C10" i="1"/>
  <c r="C8" i="1"/>
  <c r="C21" i="1" l="1"/>
  <c r="C97" i="1"/>
  <c r="C37" i="1"/>
  <c r="C100" i="1" s="1"/>
  <c r="C56" i="1"/>
  <c r="C68" i="1"/>
  <c r="C84" i="1"/>
  <c r="C31" i="1"/>
  <c r="C32" i="1" s="1"/>
  <c r="C101" i="1" l="1"/>
  <c r="C102" i="1" s="1"/>
  <c r="B96" i="1"/>
  <c r="B95" i="1"/>
  <c r="B94" i="1"/>
  <c r="B90" i="1"/>
  <c r="B89" i="1"/>
  <c r="B88" i="1"/>
  <c r="B87" i="1"/>
  <c r="B86" i="1"/>
  <c r="B82" i="1"/>
  <c r="B81" i="1"/>
  <c r="B80" i="1"/>
  <c r="B79" i="1"/>
  <c r="B78" i="1"/>
  <c r="B77" i="1"/>
  <c r="B76" i="1"/>
  <c r="B75" i="1"/>
  <c r="B72" i="1"/>
  <c r="B71" i="1"/>
  <c r="B70" i="1"/>
  <c r="B67" i="1"/>
  <c r="B66" i="1"/>
  <c r="B65" i="1"/>
  <c r="B64" i="1"/>
  <c r="B63" i="1"/>
  <c r="B62" i="1"/>
  <c r="B61" i="1"/>
  <c r="B60" i="1"/>
  <c r="B59" i="1"/>
  <c r="B57" i="1"/>
  <c r="B55" i="1"/>
  <c r="B54" i="1"/>
  <c r="B53" i="1"/>
  <c r="B52" i="1"/>
  <c r="B56" i="1" s="1"/>
  <c r="B49" i="1"/>
  <c r="B48" i="1"/>
  <c r="B47" i="1"/>
  <c r="B46" i="1"/>
  <c r="B45" i="1"/>
  <c r="B44" i="1"/>
  <c r="B43" i="1"/>
  <c r="B42" i="1"/>
  <c r="B41" i="1"/>
  <c r="B40" i="1"/>
  <c r="B39" i="1"/>
  <c r="B36" i="1"/>
  <c r="B35" i="1"/>
  <c r="B37" i="1" s="1"/>
  <c r="B29" i="1"/>
  <c r="B28" i="1"/>
  <c r="B30" i="1" s="1"/>
  <c r="B26" i="1"/>
  <c r="B25" i="1"/>
  <c r="B23" i="1"/>
  <c r="B22" i="1"/>
  <c r="B24" i="1" s="1"/>
  <c r="B20" i="1"/>
  <c r="B19" i="1"/>
  <c r="B18" i="1"/>
  <c r="B17" i="1"/>
  <c r="B16" i="1"/>
  <c r="B15" i="1"/>
  <c r="B14" i="1"/>
  <c r="B13" i="1"/>
  <c r="B12" i="1"/>
  <c r="B11" i="1"/>
  <c r="B10" i="1"/>
  <c r="B21" i="1" l="1"/>
  <c r="B68" i="1"/>
  <c r="B50" i="1"/>
  <c r="B100" i="1" s="1"/>
  <c r="B97" i="1"/>
  <c r="B84" i="1"/>
  <c r="B73" i="1"/>
  <c r="B91" i="1"/>
  <c r="B31" i="1"/>
  <c r="B32" i="1" s="1"/>
  <c r="B101" i="1" l="1"/>
  <c r="B102" i="1" s="1"/>
</calcChain>
</file>

<file path=xl/sharedStrings.xml><?xml version="1.0" encoding="utf-8"?>
<sst xmlns="http://schemas.openxmlformats.org/spreadsheetml/2006/main" count="102" uniqueCount="102">
  <si>
    <t>Total</t>
  </si>
  <si>
    <t>Actual</t>
  </si>
  <si>
    <t>Budget</t>
  </si>
  <si>
    <t>Income</t>
  </si>
  <si>
    <t xml:space="preserve">   30999 BEGINNING BALANCE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</si>
  <si>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</si>
  <si>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</si>
  <si>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</si>
  <si>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</si>
  <si>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</si>
  <si>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</si>
  <si>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</si>
  <si>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</si>
  <si>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</si>
  <si>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</si>
  <si>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</si>
  <si>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</si>
  <si>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</si>
  <si>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</si>
  <si>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</si>
  <si>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</si>
  <si>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</si>
  <si>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</si>
  <si>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</si>
  <si>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</si>
  <si>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</si>
  <si>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</si>
  <si>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</si>
  <si>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</si>
  <si>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</si>
  <si>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</si>
  <si>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</si>
  <si>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</si>
  <si>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</si>
  <si>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</si>
  <si>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</si>
  <si>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</si>
  <si>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</si>
  <si>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</si>
  <si>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</si>
  <si>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</si>
  <si>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</si>
  <si>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</si>
  <si>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</si>
  <si>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</si>
  <si>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</si>
  <si>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</si>
  <si>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</si>
  <si>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</si>
  <si>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</si>
  <si>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</si>
  <si>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</si>
  <si>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</si>
  <si>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</si>
  <si>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</si>
  <si>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</si>
  <si>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</si>
  <si>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</si>
  <si>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</si>
  <si>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</si>
  <si>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</si>
  <si>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</si>
  <si>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</si>
  <si>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</si>
  <si>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</si>
  <si>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</si>
  <si>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</si>
  <si>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</si>
  <si>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</si>
  <si>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</si>
  <si>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</si>
  <si>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</si>
  <si>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</si>
  <si>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</si>
  <si>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</si>
  <si>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</si>
  <si>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</si>
  <si>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</si>
  <si>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</si>
  <si>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   40650 TECH RELATED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</si>
  <si>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</si>
  <si>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</si>
  <si>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</si>
  <si>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</si>
  <si>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</si>
  <si>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</si>
  <si>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</si>
  <si>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</si>
  <si>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40721 DEPRECIATION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</si>
  <si>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</si>
  <si>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</si>
  <si>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</si>
  <si>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</si>
  <si>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</si>
  <si>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 xml:space="preserve">   40825 SUSTAINMENT</t>
  </si>
  <si>
    <t xml:space="preserve">   40840 CONTINGENCY</t>
  </si>
  <si>
    <t>Total Expenses</t>
  </si>
  <si>
    <t>Net Operating Income</t>
  </si>
  <si>
    <t>Net Income</t>
  </si>
  <si>
    <t>Northern Kentucky Cooperative For Educational Services</t>
  </si>
  <si>
    <t>Budget vs. Actuals: 2023-24 Budget Report - FY24 P&amp;L  Classes</t>
  </si>
  <si>
    <t>July - December,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</si>
</sst>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5" fontId="2" fillId="0" borderId="4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"/>
  <sheetViews>
    <sheetView tabSelected="1" workbookViewId="0">
      <selection activeCell="B12" sqref="B12:B13"/>
    </sheetView>
  </sheetViews>
  <sheetFormatPr defaultRowHeight="15" x14ac:dyDescent="0.25"/>
  <cols>
    <col min="1" max="1" width="37.85546875" customWidth="1"/>
    <col min="2" max="3" width="35.28515625" customWidth="1"/>
  </cols>
  <sheetData>
    <row r="1" spans="1:3" ht="18" x14ac:dyDescent="0.25">
      <c r="A1" s="15" t="s">
        <v>99</v>
      </c>
      <c r="B1" s="14"/>
      <c r="C1" s="14"/>
    </row>
    <row r="2" spans="1:3" ht="18" x14ac:dyDescent="0.25">
      <c r="A2" s="15" t="s">
        <v>100</v>
      </c>
      <c r="B2" s="14"/>
      <c r="C2" s="14"/>
    </row>
    <row r="3" spans="1:3" x14ac:dyDescent="0.25">
      <c r="A3" s="16" t="s">
        <v>101</v>
      </c>
      <c r="B3" s="14"/>
      <c r="C3" s="14"/>
    </row>
    <row r="5" spans="1:3" x14ac:dyDescent="0.25">
      <c r="A5" s="1"/>
      <c r="B5" s="11" t="s">
        <v>0</v>
      </c>
      <c r="C5" s="12"/>
    </row>
    <row r="6" spans="1:3" x14ac:dyDescent="0.25">
      <c r="A6" s="1"/>
      <c r="B6" s="2" t="s">
        <v>1</v>
      </c>
      <c r="C6" s="10" t="s">
        <v>2</v>
      </c>
    </row>
    <row r="7" spans="1:3" x14ac:dyDescent="0.25">
      <c r="A7" s="3" t="s">
        <v>3</v>
      </c>
      <c r="B7" s="4"/>
      <c r="C7" s="4"/>
    </row>
    <row r="8" spans="1:3" x14ac:dyDescent="0.25">
      <c r="A8" s="3" t="s">
        <v>4</v>
      </c>
      <c r="B8" s="4"/>
      <c r="C8" s="5">
        <f>825077.82</f>
        <v>825077.82</v>
      </c>
    </row>
    <row r="9" spans="1:3" x14ac:dyDescent="0.25">
      <c r="A9" s="3" t="s">
        <v>5</v>
      </c>
      <c r="B9" s="4"/>
      <c r="C9" s="4"/>
    </row>
    <row r="10" spans="1:3" x14ac:dyDescent="0.25">
      <c r="A10" s="3" t="s">
        <v>6</v>
      </c>
      <c r="B10" s="5">
        <f>272522.23</f>
        <v>272522.23</v>
      </c>
      <c r="C10" s="5">
        <f>412268</f>
        <v>412268</v>
      </c>
    </row>
    <row r="11" spans="1:3" x14ac:dyDescent="0.25">
      <c r="A11" s="3" t="s">
        <v>7</v>
      </c>
      <c r="B11" s="5">
        <f>61600.83</f>
        <v>61600.83</v>
      </c>
      <c r="C11" s="5">
        <f>18000</f>
        <v>18000</v>
      </c>
    </row>
    <row r="12" spans="1:3" x14ac:dyDescent="0.25">
      <c r="A12" s="3" t="s">
        <v>8</v>
      </c>
      <c r="B12" s="5">
        <f>352096.67</f>
        <v>352096.67</v>
      </c>
      <c r="C12" s="5">
        <f>500000</f>
        <v>500000</v>
      </c>
    </row>
    <row r="13" spans="1:3" x14ac:dyDescent="0.25">
      <c r="A13" s="3" t="s">
        <v>9</v>
      </c>
      <c r="B13" s="5">
        <f>269853.41</f>
        <v>269853.40999999997</v>
      </c>
      <c r="C13" s="5">
        <f>552694.71</f>
        <v>552694.71</v>
      </c>
    </row>
    <row r="14" spans="1:3" x14ac:dyDescent="0.25">
      <c r="A14" s="3" t="s">
        <v>10</v>
      </c>
      <c r="B14" s="5">
        <f>12995</f>
        <v>12995</v>
      </c>
      <c r="C14" s="4"/>
    </row>
    <row r="15" spans="1:3" x14ac:dyDescent="0.25">
      <c r="A15" s="3" t="s">
        <v>11</v>
      </c>
      <c r="B15" s="5">
        <f>2103.03</f>
        <v>2103.0300000000002</v>
      </c>
    </row>
    <row r="16" spans="1:3" x14ac:dyDescent="0.25">
      <c r="A16" s="3" t="s">
        <v>12</v>
      </c>
      <c r="B16" s="5">
        <f>32616.19</f>
        <v>32616.19</v>
      </c>
      <c r="C16" s="5">
        <f>77000</f>
        <v>77000</v>
      </c>
    </row>
    <row r="17" spans="1:3" x14ac:dyDescent="0.25">
      <c r="A17" s="3" t="s">
        <v>13</v>
      </c>
      <c r="B17" s="5">
        <f>687841.24</f>
        <v>687841.24</v>
      </c>
      <c r="C17" s="5">
        <f>1218320</f>
        <v>1218320</v>
      </c>
    </row>
    <row r="18" spans="1:3" x14ac:dyDescent="0.25">
      <c r="A18" s="3" t="s">
        <v>14</v>
      </c>
      <c r="B18" s="5">
        <f>61700</f>
        <v>61700</v>
      </c>
      <c r="C18" s="5">
        <f>54700</f>
        <v>54700</v>
      </c>
    </row>
    <row r="19" spans="1:3" x14ac:dyDescent="0.25">
      <c r="A19" s="3" t="s">
        <v>15</v>
      </c>
      <c r="B19" s="5">
        <f>410</f>
        <v>410</v>
      </c>
      <c r="C19" s="5">
        <f>625</f>
        <v>625</v>
      </c>
    </row>
    <row r="20" spans="1:3" x14ac:dyDescent="0.25">
      <c r="A20" s="3" t="s">
        <v>16</v>
      </c>
      <c r="B20" s="5">
        <f>93240</f>
        <v>93240</v>
      </c>
      <c r="C20" s="5">
        <f>186480</f>
        <v>186480</v>
      </c>
    </row>
    <row r="21" spans="1:3" x14ac:dyDescent="0.25">
      <c r="A21" s="3" t="s">
        <v>17</v>
      </c>
      <c r="B21" s="6">
        <f>(((((((((((B9)+(B10))+(B11))+(B12))+(B13))+(B14))+(B15))+(B16))+(B17))+(B18))+(B19))+(B20)</f>
        <v>1846978.5999999999</v>
      </c>
      <c r="C21" s="7">
        <f>((((((((((C9)+(C10))+(C11))+(C12))+(C13))+(C14))+(C16))+(C17))+(C18))+(C19))+(C20)</f>
        <v>3020087.71</v>
      </c>
    </row>
    <row r="22" spans="1:3" x14ac:dyDescent="0.25">
      <c r="A22" s="3" t="s">
        <v>18</v>
      </c>
      <c r="B22" s="5">
        <f>2202461.99</f>
        <v>2202461.9900000002</v>
      </c>
      <c r="C22" s="5">
        <f>2147057</f>
        <v>2147057</v>
      </c>
    </row>
    <row r="23" spans="1:3" x14ac:dyDescent="0.25">
      <c r="A23" s="3" t="s">
        <v>19</v>
      </c>
      <c r="B23" s="5">
        <f>35104.35</f>
        <v>35104.35</v>
      </c>
      <c r="C23" s="4"/>
    </row>
    <row r="24" spans="1:3" x14ac:dyDescent="0.25">
      <c r="A24" s="3" t="s">
        <v>20</v>
      </c>
      <c r="B24" s="6">
        <f>(B22)+(B23)</f>
        <v>2237566.3400000003</v>
      </c>
      <c r="C24" s="7">
        <f>(C22)+(C23)</f>
        <v>2147057</v>
      </c>
    </row>
    <row r="25" spans="1:3" x14ac:dyDescent="0.25">
      <c r="A25" s="3" t="s">
        <v>21</v>
      </c>
      <c r="B25" s="5">
        <f>55566</f>
        <v>55566</v>
      </c>
      <c r="C25" s="4"/>
    </row>
    <row r="26" spans="1:3" x14ac:dyDescent="0.25">
      <c r="A26" s="3" t="s">
        <v>22</v>
      </c>
      <c r="B26" s="5">
        <f>34453.02</f>
        <v>34453.019999999997</v>
      </c>
      <c r="C26" s="5">
        <f>59451</f>
        <v>59451</v>
      </c>
    </row>
    <row r="27" spans="1:3" x14ac:dyDescent="0.25">
      <c r="A27" s="3" t="s">
        <v>23</v>
      </c>
      <c r="B27" s="4"/>
      <c r="C27" s="4"/>
    </row>
    <row r="28" spans="1:3" x14ac:dyDescent="0.25">
      <c r="A28" s="3" t="s">
        <v>24</v>
      </c>
      <c r="B28" s="5">
        <f>1163382.04</f>
        <v>1163382.04</v>
      </c>
      <c r="C28" s="5">
        <f>3059905.33</f>
        <v>3059905.33</v>
      </c>
    </row>
    <row r="29" spans="1:3" x14ac:dyDescent="0.25">
      <c r="A29" s="3" t="s">
        <v>25</v>
      </c>
      <c r="B29" s="5">
        <f>4069077.29</f>
        <v>4069077.29</v>
      </c>
      <c r="C29" s="5">
        <f>12750437.92</f>
        <v>12750437.92</v>
      </c>
    </row>
    <row r="30" spans="1:3" x14ac:dyDescent="0.25">
      <c r="A30" s="3" t="s">
        <v>26</v>
      </c>
      <c r="B30" s="6">
        <f>((B27)+(B28))+(B29)</f>
        <v>5232459.33</v>
      </c>
      <c r="C30" s="7">
        <f>((C27)+(C28))+(C29)</f>
        <v>15810343.25</v>
      </c>
    </row>
    <row r="31" spans="1:3" x14ac:dyDescent="0.25">
      <c r="A31" s="3" t="s">
        <v>27</v>
      </c>
      <c r="B31" s="6">
        <f>(((((B8)+(B21))+(B24))+(B25))+(B26))+(B30)</f>
        <v>9407023.290000001</v>
      </c>
      <c r="C31" s="7">
        <f>(((((C8)+(C21))+(C24))+(C25))+(C26))+(C30)</f>
        <v>21862016.780000001</v>
      </c>
    </row>
    <row r="32" spans="1:3" x14ac:dyDescent="0.25">
      <c r="A32" s="3" t="s">
        <v>28</v>
      </c>
      <c r="B32" s="6">
        <f>(B31)-(0)</f>
        <v>9407023.290000001</v>
      </c>
      <c r="C32" s="7">
        <f>(C31)-(0)</f>
        <v>21862016.780000001</v>
      </c>
    </row>
    <row r="33" spans="1:3" x14ac:dyDescent="0.25">
      <c r="A33" s="3" t="s">
        <v>29</v>
      </c>
      <c r="B33" s="4"/>
      <c r="C33" s="4"/>
    </row>
    <row r="34" spans="1:3" x14ac:dyDescent="0.25">
      <c r="A34" s="3" t="s">
        <v>30</v>
      </c>
      <c r="B34" s="4"/>
      <c r="C34" s="4"/>
    </row>
    <row r="35" spans="1:3" x14ac:dyDescent="0.25">
      <c r="A35" s="3" t="s">
        <v>31</v>
      </c>
      <c r="B35" s="5">
        <f>2291175.94</f>
        <v>2291175.94</v>
      </c>
      <c r="C35" s="5">
        <f>5621873.22</f>
        <v>5621873.2199999997</v>
      </c>
    </row>
    <row r="36" spans="1:3" x14ac:dyDescent="0.25">
      <c r="A36" s="3" t="s">
        <v>32</v>
      </c>
      <c r="B36" s="5">
        <f>813952.88</f>
        <v>813952.88</v>
      </c>
      <c r="C36" s="5">
        <f>1965365.37</f>
        <v>1965365.37</v>
      </c>
    </row>
    <row r="37" spans="1:3" x14ac:dyDescent="0.25">
      <c r="A37" s="3" t="s">
        <v>33</v>
      </c>
      <c r="B37" s="6">
        <f>((B34)+(B35))+(B36)</f>
        <v>3105128.82</v>
      </c>
      <c r="C37" s="7">
        <f>((C34)+(C35))+(C36)</f>
        <v>7587238.5899999999</v>
      </c>
    </row>
    <row r="38" spans="1:3" x14ac:dyDescent="0.25">
      <c r="A38" s="3" t="s">
        <v>34</v>
      </c>
      <c r="B38" s="4"/>
      <c r="C38" s="4"/>
    </row>
    <row r="39" spans="1:3" x14ac:dyDescent="0.25">
      <c r="A39" s="3" t="s">
        <v>35</v>
      </c>
      <c r="B39" s="5">
        <f>164.54</f>
        <v>164.54</v>
      </c>
      <c r="C39" s="5">
        <f>608.2</f>
        <v>608.20000000000005</v>
      </c>
    </row>
    <row r="40" spans="1:3" x14ac:dyDescent="0.25">
      <c r="A40" s="3" t="s">
        <v>36</v>
      </c>
      <c r="B40" s="5">
        <f>3068.73</f>
        <v>3068.73</v>
      </c>
      <c r="C40" s="4"/>
    </row>
    <row r="41" spans="1:3" x14ac:dyDescent="0.25">
      <c r="A41" s="3" t="s">
        <v>37</v>
      </c>
      <c r="B41" s="5">
        <f>47900.06</f>
        <v>47900.06</v>
      </c>
      <c r="C41" s="5">
        <f>128074.56</f>
        <v>128074.56</v>
      </c>
    </row>
    <row r="42" spans="1:3" x14ac:dyDescent="0.25">
      <c r="A42" s="3" t="s">
        <v>38</v>
      </c>
      <c r="B42" s="5">
        <f>42664.43</f>
        <v>42664.43</v>
      </c>
      <c r="C42" s="5">
        <f>105769.82</f>
        <v>105769.82</v>
      </c>
    </row>
    <row r="43" spans="1:3" x14ac:dyDescent="0.25">
      <c r="A43" s="3" t="s">
        <v>39</v>
      </c>
      <c r="B43" s="5">
        <f>214718.75</f>
        <v>214718.75</v>
      </c>
      <c r="C43" s="5">
        <f>588549.99</f>
        <v>588549.99</v>
      </c>
    </row>
    <row r="44" spans="1:3" x14ac:dyDescent="0.25">
      <c r="A44" s="3" t="s">
        <v>40</v>
      </c>
      <c r="B44" s="5">
        <f>175369.63</f>
        <v>175369.63</v>
      </c>
      <c r="C44" s="5">
        <f>469305.79</f>
        <v>469305.79</v>
      </c>
    </row>
    <row r="45" spans="1:3" x14ac:dyDescent="0.25">
      <c r="A45" s="3" t="s">
        <v>41</v>
      </c>
      <c r="B45" s="5">
        <f>126148.48</f>
        <v>126148.48</v>
      </c>
      <c r="C45" s="5">
        <f>683072.41</f>
        <v>683072.41</v>
      </c>
    </row>
    <row r="46" spans="1:3" x14ac:dyDescent="0.25">
      <c r="A46" s="3" t="s">
        <v>42</v>
      </c>
      <c r="B46" s="5">
        <f>8809.61</f>
        <v>8809.61</v>
      </c>
      <c r="C46" s="5">
        <f>9922.35</f>
        <v>9922.35</v>
      </c>
    </row>
    <row r="47" spans="1:3" x14ac:dyDescent="0.25">
      <c r="A47" s="3" t="s">
        <v>43</v>
      </c>
      <c r="B47" s="5">
        <f>-252</f>
        <v>-252</v>
      </c>
      <c r="C47" s="5">
        <f>24421.98</f>
        <v>24421.98</v>
      </c>
    </row>
    <row r="48" spans="1:3" x14ac:dyDescent="0.25">
      <c r="A48" s="3" t="s">
        <v>44</v>
      </c>
      <c r="B48" s="5">
        <f>34453.02</f>
        <v>34453.019999999997</v>
      </c>
      <c r="C48" s="5">
        <f>92173.02</f>
        <v>92173.02</v>
      </c>
    </row>
    <row r="49" spans="1:3" x14ac:dyDescent="0.25">
      <c r="A49" s="3" t="s">
        <v>45</v>
      </c>
      <c r="B49" s="5">
        <f>1316.32</f>
        <v>1316.32</v>
      </c>
      <c r="C49" s="5">
        <f>2186.6</f>
        <v>2186.6</v>
      </c>
    </row>
    <row r="50" spans="1:3" x14ac:dyDescent="0.25">
      <c r="A50" s="3" t="s">
        <v>46</v>
      </c>
      <c r="B50" s="6">
        <f>(((((((((((B38)+(B39))+(B40))+(B41))+(B42))+(B43))+(B44))+(B45))+(B46))+(B47))+(B48))+(B49)</f>
        <v>654361.56999999995</v>
      </c>
      <c r="C50" s="7">
        <f>(((((((((((C38)+(C39))+(C40))+(C41))+(C42))+(C43))+(C44))+(C45))+(C46))+(C47))+(C48))+(C49)</f>
        <v>2104084.7200000002</v>
      </c>
    </row>
    <row r="51" spans="1:3" x14ac:dyDescent="0.25">
      <c r="A51" s="3" t="s">
        <v>47</v>
      </c>
      <c r="B51" s="4"/>
      <c r="C51" s="5">
        <f>1000</f>
        <v>1000</v>
      </c>
    </row>
    <row r="52" spans="1:3" x14ac:dyDescent="0.25">
      <c r="A52" s="3" t="s">
        <v>48</v>
      </c>
      <c r="B52" s="5">
        <f>27374.46</f>
        <v>27374.46</v>
      </c>
      <c r="C52" s="5">
        <f>167000</f>
        <v>167000</v>
      </c>
    </row>
    <row r="53" spans="1:3" x14ac:dyDescent="0.25">
      <c r="A53" s="3" t="s">
        <v>49</v>
      </c>
      <c r="B53" s="5">
        <f>20360</f>
        <v>20360</v>
      </c>
      <c r="C53" s="5">
        <f>23200</f>
        <v>23200</v>
      </c>
    </row>
    <row r="54" spans="1:3" x14ac:dyDescent="0.25">
      <c r="A54" s="3" t="s">
        <v>50</v>
      </c>
      <c r="B54" s="5">
        <f>7216.52</f>
        <v>7216.52</v>
      </c>
      <c r="C54" s="5">
        <f>16000</f>
        <v>16000</v>
      </c>
    </row>
    <row r="55" spans="1:3" x14ac:dyDescent="0.25">
      <c r="A55" s="3" t="s">
        <v>51</v>
      </c>
      <c r="B55" s="5">
        <f>23613.55</f>
        <v>23613.55</v>
      </c>
      <c r="C55" s="5">
        <f>35571</f>
        <v>35571</v>
      </c>
    </row>
    <row r="56" spans="1:3" x14ac:dyDescent="0.25">
      <c r="A56" s="3" t="s">
        <v>52</v>
      </c>
      <c r="B56" s="6">
        <f>((((B51)+(B52))+(B53))+(B54))+(B55)</f>
        <v>78564.53</v>
      </c>
      <c r="C56" s="7">
        <f>((((C51)+(C52))+(C53))+(C54))+(C55)</f>
        <v>242771</v>
      </c>
    </row>
    <row r="57" spans="1:3" x14ac:dyDescent="0.25">
      <c r="A57" s="3" t="s">
        <v>53</v>
      </c>
      <c r="B57" s="5">
        <f>766652.03</f>
        <v>766652.03</v>
      </c>
      <c r="C57" s="5">
        <f>1995514</f>
        <v>1995514</v>
      </c>
    </row>
    <row r="58" spans="1:3" x14ac:dyDescent="0.25">
      <c r="A58" s="3" t="s">
        <v>54</v>
      </c>
      <c r="B58" s="4"/>
      <c r="C58" s="4"/>
    </row>
    <row r="59" spans="1:3" x14ac:dyDescent="0.25">
      <c r="A59" s="3" t="s">
        <v>55</v>
      </c>
      <c r="B59" s="5">
        <f>346.61</f>
        <v>346.61</v>
      </c>
      <c r="C59" s="5">
        <f>4600</f>
        <v>4600</v>
      </c>
    </row>
    <row r="60" spans="1:3" x14ac:dyDescent="0.25">
      <c r="A60" s="3" t="s">
        <v>56</v>
      </c>
      <c r="B60" s="5">
        <f>5265</f>
        <v>5265</v>
      </c>
      <c r="C60" s="5">
        <f>13000</f>
        <v>13000</v>
      </c>
    </row>
    <row r="61" spans="1:3" x14ac:dyDescent="0.25">
      <c r="A61" s="3" t="s">
        <v>57</v>
      </c>
      <c r="B61" s="5">
        <f>2977.15</f>
        <v>2977.15</v>
      </c>
      <c r="C61" s="5">
        <f>6500</f>
        <v>6500</v>
      </c>
    </row>
    <row r="62" spans="1:3" x14ac:dyDescent="0.25">
      <c r="A62" s="3" t="s">
        <v>58</v>
      </c>
      <c r="B62" s="5">
        <f>234614.2</f>
        <v>234614.2</v>
      </c>
      <c r="C62" s="5">
        <f>289936</f>
        <v>289936</v>
      </c>
    </row>
    <row r="63" spans="1:3" x14ac:dyDescent="0.25">
      <c r="A63" s="3" t="s">
        <v>59</v>
      </c>
      <c r="B63" s="5">
        <f>61700</f>
        <v>61700</v>
      </c>
      <c r="C63" s="5">
        <f>66800</f>
        <v>66800</v>
      </c>
    </row>
    <row r="64" spans="1:3" x14ac:dyDescent="0.25">
      <c r="A64" s="3" t="s">
        <v>60</v>
      </c>
      <c r="B64" s="5">
        <f>20477.77</f>
        <v>20477.77</v>
      </c>
      <c r="C64" s="5">
        <f>60000</f>
        <v>60000</v>
      </c>
    </row>
    <row r="65" spans="1:3" x14ac:dyDescent="0.25">
      <c r="A65" s="3" t="s">
        <v>61</v>
      </c>
      <c r="B65" s="5">
        <f>11636.92</f>
        <v>11636.92</v>
      </c>
      <c r="C65" s="5">
        <f>37539</f>
        <v>37539</v>
      </c>
    </row>
    <row r="66" spans="1:3" x14ac:dyDescent="0.25">
      <c r="A66" s="3" t="s">
        <v>62</v>
      </c>
      <c r="B66" s="5">
        <f>327.19</f>
        <v>327.19</v>
      </c>
      <c r="C66" s="5">
        <f>87933</f>
        <v>87933</v>
      </c>
    </row>
    <row r="67" spans="1:3" x14ac:dyDescent="0.25">
      <c r="A67" s="3" t="s">
        <v>63</v>
      </c>
      <c r="B67" s="5">
        <f>28837.2</f>
        <v>28837.200000000001</v>
      </c>
      <c r="C67" s="5">
        <f>68199</f>
        <v>68199</v>
      </c>
    </row>
    <row r="68" spans="1:3" x14ac:dyDescent="0.25">
      <c r="A68" s="3" t="s">
        <v>64</v>
      </c>
      <c r="B68" s="6">
        <f>(((((((((B58)+(B59))+(B60))+(B61))+(B62))+(B63))+(B64))+(B65))+(B66))+(B67)</f>
        <v>366182.04000000004</v>
      </c>
      <c r="C68" s="7">
        <f>(((((((((C58)+(C59))+(C60))+(C61))+(C62))+(C63))+(C64))+(C65))+(C66))+(C67)</f>
        <v>634507</v>
      </c>
    </row>
    <row r="69" spans="1:3" x14ac:dyDescent="0.25">
      <c r="A69" s="3" t="s">
        <v>65</v>
      </c>
      <c r="B69" s="4"/>
      <c r="C69" s="4"/>
    </row>
    <row r="70" spans="1:3" x14ac:dyDescent="0.25">
      <c r="A70" s="3" t="s">
        <v>66</v>
      </c>
      <c r="B70" s="5">
        <f>33023.76</f>
        <v>33023.760000000002</v>
      </c>
      <c r="C70" s="5">
        <f>38200</f>
        <v>38200</v>
      </c>
    </row>
    <row r="71" spans="1:3" x14ac:dyDescent="0.25">
      <c r="A71" s="3" t="s">
        <v>67</v>
      </c>
      <c r="B71" s="5">
        <f>13665</f>
        <v>13665</v>
      </c>
      <c r="C71" s="5">
        <f>14300</f>
        <v>14300</v>
      </c>
    </row>
    <row r="72" spans="1:3" x14ac:dyDescent="0.25">
      <c r="A72" s="3" t="s">
        <v>68</v>
      </c>
      <c r="B72" s="5">
        <f>2570.46</f>
        <v>2570.46</v>
      </c>
      <c r="C72" s="5">
        <f>725</f>
        <v>725</v>
      </c>
    </row>
    <row r="73" spans="1:3" x14ac:dyDescent="0.25">
      <c r="A73" s="3" t="s">
        <v>69</v>
      </c>
      <c r="B73" s="6">
        <f>(((B69)+(B70))+(B71))+(B72)</f>
        <v>49259.22</v>
      </c>
      <c r="C73" s="7">
        <f>(((C69)+(C70))+(C71))+(C72)</f>
        <v>53225</v>
      </c>
    </row>
    <row r="74" spans="1:3" x14ac:dyDescent="0.25">
      <c r="A74" s="3" t="s">
        <v>70</v>
      </c>
      <c r="B74" s="4"/>
      <c r="C74" s="4"/>
    </row>
    <row r="75" spans="1:3" x14ac:dyDescent="0.25">
      <c r="A75" s="3" t="s">
        <v>71</v>
      </c>
      <c r="B75" s="5">
        <f>776.28</f>
        <v>776.28</v>
      </c>
      <c r="C75" s="5">
        <f>1635</f>
        <v>1635</v>
      </c>
    </row>
    <row r="76" spans="1:3" x14ac:dyDescent="0.25">
      <c r="A76" s="3" t="s">
        <v>72</v>
      </c>
      <c r="B76" s="5">
        <f>422.7</f>
        <v>422.7</v>
      </c>
      <c r="C76" s="5">
        <f>2200</f>
        <v>2200</v>
      </c>
    </row>
    <row r="77" spans="1:3" x14ac:dyDescent="0.25">
      <c r="A77" s="3" t="s">
        <v>73</v>
      </c>
      <c r="B77" s="5">
        <f>11749.36</f>
        <v>11749.36</v>
      </c>
      <c r="C77" s="5">
        <f>23432</f>
        <v>23432</v>
      </c>
    </row>
    <row r="78" spans="1:3" x14ac:dyDescent="0.25">
      <c r="A78" s="3" t="s">
        <v>74</v>
      </c>
      <c r="B78" s="5">
        <f>1700</f>
        <v>1700</v>
      </c>
      <c r="C78" s="5">
        <f>500</f>
        <v>500</v>
      </c>
    </row>
    <row r="79" spans="1:3" x14ac:dyDescent="0.25">
      <c r="A79" s="3" t="s">
        <v>75</v>
      </c>
      <c r="B79" s="5">
        <f>3518.89</f>
        <v>3518.89</v>
      </c>
      <c r="C79" s="5">
        <f>20599.09</f>
        <v>20599.09</v>
      </c>
    </row>
    <row r="80" spans="1:3" x14ac:dyDescent="0.25">
      <c r="A80" s="3" t="s">
        <v>76</v>
      </c>
      <c r="B80" s="5">
        <f>30596.29</f>
        <v>30596.29</v>
      </c>
      <c r="C80" s="5">
        <f>61917.31</f>
        <v>61917.31</v>
      </c>
    </row>
    <row r="81" spans="1:3" x14ac:dyDescent="0.25">
      <c r="A81" s="3" t="s">
        <v>77</v>
      </c>
      <c r="B81" s="5">
        <f>729327.59</f>
        <v>729327.59</v>
      </c>
      <c r="C81" s="5">
        <f>1616911.64</f>
        <v>1616911.64</v>
      </c>
    </row>
    <row r="82" spans="1:3" x14ac:dyDescent="0.25">
      <c r="A82" s="3" t="s">
        <v>78</v>
      </c>
      <c r="B82" s="5">
        <f>4507.71</f>
        <v>4507.71</v>
      </c>
      <c r="C82" s="5">
        <f>9000</f>
        <v>9000</v>
      </c>
    </row>
    <row r="83" spans="1:3" x14ac:dyDescent="0.25">
      <c r="A83" s="3" t="s">
        <v>79</v>
      </c>
      <c r="B83" s="4"/>
      <c r="C83" s="5">
        <f>1080</f>
        <v>1080</v>
      </c>
    </row>
    <row r="84" spans="1:3" x14ac:dyDescent="0.25">
      <c r="A84" s="3" t="s">
        <v>80</v>
      </c>
      <c r="B84" s="6">
        <f>(((((((((B74)+(B75))+(B76))+(B77))+(B78))+(B79))+(B80))+(B81))+(B82))+(B83)</f>
        <v>782598.82</v>
      </c>
      <c r="C84" s="7">
        <f>(((((((((C74)+(C75))+(C76))+(C77))+(C78))+(C79))+(C80))+(C81))+(C82))+(C83)</f>
        <v>1737275.0399999998</v>
      </c>
    </row>
    <row r="85" spans="1:3" x14ac:dyDescent="0.25">
      <c r="A85" s="3" t="s">
        <v>81</v>
      </c>
      <c r="B85" s="4"/>
      <c r="C85" s="4"/>
    </row>
    <row r="86" spans="1:3" x14ac:dyDescent="0.25">
      <c r="A86" s="3" t="s">
        <v>82</v>
      </c>
      <c r="B86" s="5">
        <f>577723.01</f>
        <v>577723.01</v>
      </c>
      <c r="C86" s="5">
        <f>2673106.07</f>
        <v>2673106.0699999998</v>
      </c>
    </row>
    <row r="87" spans="1:3" x14ac:dyDescent="0.25">
      <c r="A87" s="3" t="s">
        <v>83</v>
      </c>
      <c r="B87" s="5">
        <f>105841.36</f>
        <v>105841.36</v>
      </c>
      <c r="C87" s="5">
        <f>294978</f>
        <v>294978</v>
      </c>
    </row>
    <row r="88" spans="1:3" x14ac:dyDescent="0.25">
      <c r="A88" s="3" t="s">
        <v>84</v>
      </c>
      <c r="B88" s="5">
        <f>350613.49</f>
        <v>350613.49</v>
      </c>
      <c r="C88" s="5">
        <f>942721.24</f>
        <v>942721.24</v>
      </c>
    </row>
    <row r="89" spans="1:3" x14ac:dyDescent="0.25">
      <c r="A89" s="3" t="s">
        <v>85</v>
      </c>
      <c r="B89" s="5">
        <f>16479.79</f>
        <v>16479.79</v>
      </c>
      <c r="C89" s="5">
        <f>64683.25</f>
        <v>64683.25</v>
      </c>
    </row>
    <row r="90" spans="1:3" x14ac:dyDescent="0.25">
      <c r="A90" s="3" t="s">
        <v>86</v>
      </c>
      <c r="B90" s="5">
        <f>5384.76</f>
        <v>5384.76</v>
      </c>
      <c r="C90" s="5">
        <f>11400</f>
        <v>11400</v>
      </c>
    </row>
    <row r="91" spans="1:3" x14ac:dyDescent="0.25">
      <c r="A91" s="3" t="s">
        <v>87</v>
      </c>
      <c r="B91" s="6">
        <f>(((((B85)+(B86))+(B87))+(B88))+(B89))+(B90)</f>
        <v>1056042.4099999999</v>
      </c>
      <c r="C91" s="7">
        <f>(((((C85)+(C86))+(C87))+(C88))+(C89))+(C90)</f>
        <v>3986888.5599999996</v>
      </c>
    </row>
    <row r="92" spans="1:3" x14ac:dyDescent="0.25">
      <c r="A92" s="3" t="s">
        <v>88</v>
      </c>
      <c r="B92" s="4"/>
      <c r="C92" s="5">
        <f>75000</f>
        <v>75000</v>
      </c>
    </row>
    <row r="93" spans="1:3" x14ac:dyDescent="0.25">
      <c r="A93" s="3" t="s">
        <v>89</v>
      </c>
      <c r="B93" s="4"/>
      <c r="C93" s="4"/>
    </row>
    <row r="94" spans="1:3" x14ac:dyDescent="0.25">
      <c r="A94" s="3" t="s">
        <v>90</v>
      </c>
      <c r="B94" s="5">
        <f>16662.69</f>
        <v>16662.689999999999</v>
      </c>
      <c r="C94" s="5">
        <f>21410</f>
        <v>21410</v>
      </c>
    </row>
    <row r="95" spans="1:3" x14ac:dyDescent="0.25">
      <c r="A95" s="3" t="s">
        <v>91</v>
      </c>
      <c r="B95" s="5">
        <f>15000</f>
        <v>15000</v>
      </c>
      <c r="C95" s="5">
        <f>30000</f>
        <v>30000</v>
      </c>
    </row>
    <row r="96" spans="1:3" x14ac:dyDescent="0.25">
      <c r="A96" s="3" t="s">
        <v>92</v>
      </c>
      <c r="B96" s="5">
        <f>687841.24</f>
        <v>687841.24</v>
      </c>
      <c r="C96" s="5">
        <f>1728808.61</f>
        <v>1728808.61</v>
      </c>
    </row>
    <row r="97" spans="1:3" x14ac:dyDescent="0.25">
      <c r="A97" s="3" t="s">
        <v>93</v>
      </c>
      <c r="B97" s="6">
        <f>(((B93)+(B94))+(B95))+(B96)</f>
        <v>719503.92999999993</v>
      </c>
      <c r="C97" s="7">
        <f>(((C93)+(C94))+(C95))+(C96)</f>
        <v>1780218.61</v>
      </c>
    </row>
    <row r="98" spans="1:3" x14ac:dyDescent="0.25">
      <c r="A98" s="3" t="s">
        <v>94</v>
      </c>
      <c r="B98" s="4"/>
      <c r="C98" s="5">
        <f>514798</f>
        <v>514798</v>
      </c>
    </row>
    <row r="99" spans="1:3" x14ac:dyDescent="0.25">
      <c r="A99" s="3" t="s">
        <v>95</v>
      </c>
      <c r="B99" s="4"/>
      <c r="C99" s="5">
        <f>1150496.26</f>
        <v>1150496.26</v>
      </c>
    </row>
    <row r="100" spans="1:3" x14ac:dyDescent="0.25">
      <c r="A100" s="3" t="s">
        <v>96</v>
      </c>
      <c r="B100" s="6">
        <f>(((((((((((B37)+(B50))+(B56))+(B57))+(B68))+(B73))+(B84))+(B91))+(B92))+(B97))+(B98))+(B99)</f>
        <v>7578293.3699999992</v>
      </c>
      <c r="C100" s="7">
        <f>(((((((((((C37)+(C50))+(C56))+(C57))+(C68))+(C73))+(C84))+(C91))+(C92))+(C97))+(C98))+(C99)</f>
        <v>21862016.780000001</v>
      </c>
    </row>
    <row r="101" spans="1:3" x14ac:dyDescent="0.25">
      <c r="A101" s="3" t="s">
        <v>97</v>
      </c>
      <c r="B101" s="6">
        <f>(B32)-(B100)</f>
        <v>1828729.9200000018</v>
      </c>
      <c r="C101" s="8">
        <f>(C32)-(C100)</f>
        <v>0</v>
      </c>
    </row>
    <row r="102" spans="1:3" x14ac:dyDescent="0.25">
      <c r="A102" s="3" t="s">
        <v>98</v>
      </c>
      <c r="B102" s="7">
        <f>(B101)+(0)</f>
        <v>1828729.9200000018</v>
      </c>
      <c r="C102" s="9">
        <f>(C101)+(0)</f>
        <v>0</v>
      </c>
    </row>
    <row r="103" spans="1:3" x14ac:dyDescent="0.25">
      <c r="A103" s="3"/>
      <c r="B103" s="4"/>
      <c r="C103" s="4"/>
    </row>
    <row r="106" spans="1:3" x14ac:dyDescent="0.25">
      <c r="A106" s="13"/>
      <c r="B106" s="14"/>
      <c r="C106" s="14"/>
    </row>
  </sheetData>
  <mergeCells count="5">
    <mergeCell ref="B5:C5"/>
    <mergeCell ref="A106:C106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dcterms:created xsi:type="dcterms:W3CDTF">2024-01-09T19:07:15Z</dcterms:created>
  <dcterms:modified xsi:type="dcterms:W3CDTF">2024-02-06T19:28:32Z</dcterms:modified>
</cp:coreProperties>
</file>