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613B47A3-C267-4118-B07F-6551F0EDB8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1" l="1"/>
  <c r="AG93" i="1" s="1"/>
  <c r="AF92" i="1"/>
  <c r="Z92" i="1"/>
  <c r="T92" i="1"/>
  <c r="K92" i="1"/>
  <c r="C92" i="1"/>
  <c r="AE91" i="1"/>
  <c r="AD91" i="1"/>
  <c r="AD92" i="1" s="1"/>
  <c r="AC91" i="1"/>
  <c r="AC92" i="1" s="1"/>
  <c r="AB91" i="1"/>
  <c r="AB92" i="1" s="1"/>
  <c r="AA91" i="1"/>
  <c r="AA92" i="1" s="1"/>
  <c r="Z91" i="1"/>
  <c r="Y91" i="1"/>
  <c r="Y92" i="1" s="1"/>
  <c r="X91" i="1"/>
  <c r="X92" i="1" s="1"/>
  <c r="W91" i="1"/>
  <c r="V91" i="1"/>
  <c r="U91" i="1"/>
  <c r="U92" i="1" s="1"/>
  <c r="T91" i="1"/>
  <c r="S91" i="1"/>
  <c r="S92" i="1" s="1"/>
  <c r="R91" i="1"/>
  <c r="R92" i="1" s="1"/>
  <c r="Q91" i="1"/>
  <c r="Q92" i="1" s="1"/>
  <c r="P91" i="1"/>
  <c r="P92" i="1" s="1"/>
  <c r="O91" i="1"/>
  <c r="O92" i="1" s="1"/>
  <c r="N91" i="1"/>
  <c r="N92" i="1" s="1"/>
  <c r="M91" i="1"/>
  <c r="M92" i="1" s="1"/>
  <c r="L91" i="1"/>
  <c r="L92" i="1" s="1"/>
  <c r="J91" i="1"/>
  <c r="J92" i="1" s="1"/>
  <c r="I91" i="1"/>
  <c r="I92" i="1" s="1"/>
  <c r="H91" i="1"/>
  <c r="H92" i="1" s="1"/>
  <c r="G91" i="1"/>
  <c r="G92" i="1" s="1"/>
  <c r="F91" i="1"/>
  <c r="E91" i="1"/>
  <c r="E92" i="1" s="1"/>
  <c r="D91" i="1"/>
  <c r="F90" i="1"/>
  <c r="AG90" i="1" s="1"/>
  <c r="AE89" i="1"/>
  <c r="AG89" i="1" s="1"/>
  <c r="W89" i="1"/>
  <c r="V89" i="1"/>
  <c r="V92" i="1" s="1"/>
  <c r="D89" i="1"/>
  <c r="D92" i="1" s="1"/>
  <c r="B89" i="1"/>
  <c r="B92" i="1" s="1"/>
  <c r="AG88" i="1"/>
  <c r="AF87" i="1"/>
  <c r="AB87" i="1"/>
  <c r="T87" i="1"/>
  <c r="R87" i="1"/>
  <c r="P87" i="1"/>
  <c r="M87" i="1"/>
  <c r="J87" i="1"/>
  <c r="H87" i="1"/>
  <c r="E87" i="1"/>
  <c r="C87" i="1"/>
  <c r="B86" i="1"/>
  <c r="AG86" i="1" s="1"/>
  <c r="AE85" i="1"/>
  <c r="AD85" i="1"/>
  <c r="AC85" i="1"/>
  <c r="AA85" i="1"/>
  <c r="AA87" i="1" s="1"/>
  <c r="Z85" i="1"/>
  <c r="W85" i="1"/>
  <c r="V85" i="1"/>
  <c r="L85" i="1"/>
  <c r="K85" i="1"/>
  <c r="K87" i="1" s="1"/>
  <c r="D85" i="1"/>
  <c r="B85" i="1"/>
  <c r="AE84" i="1"/>
  <c r="AD84" i="1"/>
  <c r="AC84" i="1"/>
  <c r="Z84" i="1"/>
  <c r="Y84" i="1"/>
  <c r="Y87" i="1" s="1"/>
  <c r="X84" i="1"/>
  <c r="W84" i="1"/>
  <c r="V84" i="1"/>
  <c r="U84" i="1"/>
  <c r="S84" i="1"/>
  <c r="S87" i="1" s="1"/>
  <c r="Q84" i="1"/>
  <c r="O84" i="1"/>
  <c r="I84" i="1"/>
  <c r="I87" i="1" s="1"/>
  <c r="G84" i="1"/>
  <c r="F84" i="1"/>
  <c r="D84" i="1"/>
  <c r="B84" i="1"/>
  <c r="AE83" i="1"/>
  <c r="AD83" i="1"/>
  <c r="AC83" i="1"/>
  <c r="Z83" i="1"/>
  <c r="X83" i="1"/>
  <c r="X87" i="1" s="1"/>
  <c r="W83" i="1"/>
  <c r="V83" i="1"/>
  <c r="U83" i="1"/>
  <c r="U87" i="1" s="1"/>
  <c r="Q83" i="1"/>
  <c r="O83" i="1"/>
  <c r="G83" i="1"/>
  <c r="F83" i="1"/>
  <c r="D83" i="1"/>
  <c r="B83" i="1"/>
  <c r="AG83" i="1" s="1"/>
  <c r="AE82" i="1"/>
  <c r="AD82" i="1"/>
  <c r="AC82" i="1"/>
  <c r="Z82" i="1"/>
  <c r="W82" i="1"/>
  <c r="V82" i="1"/>
  <c r="V87" i="1" s="1"/>
  <c r="U82" i="1"/>
  <c r="Q82" i="1"/>
  <c r="Q87" i="1" s="1"/>
  <c r="O82" i="1"/>
  <c r="O87" i="1" s="1"/>
  <c r="N82" i="1"/>
  <c r="N87" i="1" s="1"/>
  <c r="L82" i="1"/>
  <c r="G82" i="1"/>
  <c r="G87" i="1" s="1"/>
  <c r="F82" i="1"/>
  <c r="F87" i="1" s="1"/>
  <c r="D82" i="1"/>
  <c r="D87" i="1" s="1"/>
  <c r="B82" i="1"/>
  <c r="AG81" i="1"/>
  <c r="AF80" i="1"/>
  <c r="AB80" i="1"/>
  <c r="AA80" i="1"/>
  <c r="T80" i="1"/>
  <c r="S80" i="1"/>
  <c r="R80" i="1"/>
  <c r="P80" i="1"/>
  <c r="N80" i="1"/>
  <c r="M80" i="1"/>
  <c r="J80" i="1"/>
  <c r="I80" i="1"/>
  <c r="E80" i="1"/>
  <c r="C80" i="1"/>
  <c r="AG79" i="1"/>
  <c r="F79" i="1"/>
  <c r="B79" i="1"/>
  <c r="AE78" i="1"/>
  <c r="AD78" i="1"/>
  <c r="AC78" i="1"/>
  <c r="Z78" i="1"/>
  <c r="Y78" i="1"/>
  <c r="X78" i="1"/>
  <c r="W78" i="1"/>
  <c r="V78" i="1"/>
  <c r="U78" i="1"/>
  <c r="U80" i="1" s="1"/>
  <c r="Q78" i="1"/>
  <c r="O78" i="1"/>
  <c r="L78" i="1"/>
  <c r="K78" i="1"/>
  <c r="K80" i="1" s="1"/>
  <c r="H78" i="1"/>
  <c r="H80" i="1" s="1"/>
  <c r="G78" i="1"/>
  <c r="F78" i="1"/>
  <c r="D78" i="1"/>
  <c r="B78" i="1"/>
  <c r="AE77" i="1"/>
  <c r="AD77" i="1"/>
  <c r="AD80" i="1" s="1"/>
  <c r="Y77" i="1"/>
  <c r="O77" i="1"/>
  <c r="O80" i="1" s="1"/>
  <c r="L77" i="1"/>
  <c r="L80" i="1" s="1"/>
  <c r="G77" i="1"/>
  <c r="F77" i="1"/>
  <c r="D77" i="1"/>
  <c r="B77" i="1"/>
  <c r="AE76" i="1"/>
  <c r="AC76" i="1"/>
  <c r="Z76" i="1"/>
  <c r="W76" i="1"/>
  <c r="V76" i="1"/>
  <c r="F76" i="1"/>
  <c r="D76" i="1"/>
  <c r="B76" i="1"/>
  <c r="AE75" i="1"/>
  <c r="AC75" i="1"/>
  <c r="Z75" i="1"/>
  <c r="X75" i="1"/>
  <c r="W75" i="1"/>
  <c r="V75" i="1"/>
  <c r="Q75" i="1"/>
  <c r="Q80" i="1" s="1"/>
  <c r="O75" i="1"/>
  <c r="G75" i="1"/>
  <c r="F75" i="1"/>
  <c r="D75" i="1"/>
  <c r="D80" i="1" s="1"/>
  <c r="B75" i="1"/>
  <c r="W74" i="1"/>
  <c r="V74" i="1"/>
  <c r="F74" i="1"/>
  <c r="B74" i="1"/>
  <c r="AG74" i="1" s="1"/>
  <c r="W73" i="1"/>
  <c r="V73" i="1"/>
  <c r="V80" i="1" s="1"/>
  <c r="F73" i="1"/>
  <c r="B73" i="1"/>
  <c r="AG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E71" i="1"/>
  <c r="D71" i="1"/>
  <c r="C71" i="1"/>
  <c r="B70" i="1"/>
  <c r="AG70" i="1" s="1"/>
  <c r="AG69" i="1"/>
  <c r="F69" i="1"/>
  <c r="B69" i="1"/>
  <c r="F68" i="1"/>
  <c r="F71" i="1" s="1"/>
  <c r="B68" i="1"/>
  <c r="AG68" i="1" s="1"/>
  <c r="AG67" i="1"/>
  <c r="AF66" i="1"/>
  <c r="AB66" i="1"/>
  <c r="Y66" i="1"/>
  <c r="T66" i="1"/>
  <c r="S66" i="1"/>
  <c r="R66" i="1"/>
  <c r="P66" i="1"/>
  <c r="N66" i="1"/>
  <c r="M66" i="1"/>
  <c r="L66" i="1"/>
  <c r="K66" i="1"/>
  <c r="J66" i="1"/>
  <c r="H66" i="1"/>
  <c r="G66" i="1"/>
  <c r="E66" i="1"/>
  <c r="C66" i="1"/>
  <c r="AE65" i="1"/>
  <c r="AC65" i="1"/>
  <c r="Z65" i="1"/>
  <c r="V65" i="1"/>
  <c r="F65" i="1"/>
  <c r="B65" i="1"/>
  <c r="F64" i="1"/>
  <c r="AG64" i="1" s="1"/>
  <c r="AE63" i="1"/>
  <c r="AE66" i="1" s="1"/>
  <c r="AC63" i="1"/>
  <c r="AC66" i="1" s="1"/>
  <c r="AA63" i="1"/>
  <c r="AA66" i="1" s="1"/>
  <c r="Z63" i="1"/>
  <c r="Z66" i="1" s="1"/>
  <c r="X63" i="1"/>
  <c r="X66" i="1" s="1"/>
  <c r="W63" i="1"/>
  <c r="V63" i="1"/>
  <c r="U63" i="1"/>
  <c r="U66" i="1" s="1"/>
  <c r="Q63" i="1"/>
  <c r="Q66" i="1" s="1"/>
  <c r="O63" i="1"/>
  <c r="I63" i="1"/>
  <c r="I66" i="1" s="1"/>
  <c r="F63" i="1"/>
  <c r="D63" i="1"/>
  <c r="B63" i="1"/>
  <c r="F62" i="1"/>
  <c r="B62" i="1"/>
  <c r="AG62" i="1" s="1"/>
  <c r="Z61" i="1"/>
  <c r="W61" i="1"/>
  <c r="W66" i="1" s="1"/>
  <c r="O61" i="1"/>
  <c r="D61" i="1"/>
  <c r="AG61" i="1" s="1"/>
  <c r="AG60" i="1"/>
  <c r="AD60" i="1"/>
  <c r="AD66" i="1" s="1"/>
  <c r="F60" i="1"/>
  <c r="B60" i="1"/>
  <c r="F59" i="1"/>
  <c r="B59" i="1"/>
  <c r="F58" i="1"/>
  <c r="AG58" i="1" s="1"/>
  <c r="B58" i="1"/>
  <c r="F57" i="1"/>
  <c r="B57" i="1"/>
  <c r="AG57" i="1" s="1"/>
  <c r="AG56" i="1"/>
  <c r="AE55" i="1"/>
  <c r="AD55" i="1"/>
  <c r="AC55" i="1"/>
  <c r="Z55" i="1"/>
  <c r="U55" i="1"/>
  <c r="Q55" i="1"/>
  <c r="K55" i="1"/>
  <c r="H55" i="1"/>
  <c r="AG55" i="1" s="1"/>
  <c r="G55" i="1"/>
  <c r="F55" i="1"/>
  <c r="D55" i="1"/>
  <c r="B55" i="1"/>
  <c r="AF54" i="1"/>
  <c r="AD54" i="1"/>
  <c r="AB54" i="1"/>
  <c r="AA54" i="1"/>
  <c r="T54" i="1"/>
  <c r="S54" i="1"/>
  <c r="P54" i="1"/>
  <c r="L54" i="1"/>
  <c r="K54" i="1"/>
  <c r="J54" i="1"/>
  <c r="F54" i="1"/>
  <c r="E54" i="1"/>
  <c r="C54" i="1"/>
  <c r="AE53" i="1"/>
  <c r="AC53" i="1"/>
  <c r="AC54" i="1" s="1"/>
  <c r="Z53" i="1"/>
  <c r="Z54" i="1" s="1"/>
  <c r="X53" i="1"/>
  <c r="W53" i="1"/>
  <c r="V53" i="1"/>
  <c r="Q53" i="1"/>
  <c r="Q54" i="1" s="1"/>
  <c r="M53" i="1"/>
  <c r="M54" i="1" s="1"/>
  <c r="I53" i="1"/>
  <c r="H53" i="1"/>
  <c r="H54" i="1" s="1"/>
  <c r="G53" i="1"/>
  <c r="G54" i="1" s="1"/>
  <c r="F53" i="1"/>
  <c r="D53" i="1"/>
  <c r="D54" i="1" s="1"/>
  <c r="B53" i="1"/>
  <c r="F52" i="1"/>
  <c r="B52" i="1"/>
  <c r="AG52" i="1" s="1"/>
  <c r="B51" i="1"/>
  <c r="AG51" i="1" s="1"/>
  <c r="AE50" i="1"/>
  <c r="AC50" i="1"/>
  <c r="Y50" i="1"/>
  <c r="Y54" i="1" s="1"/>
  <c r="X50" i="1"/>
  <c r="W50" i="1"/>
  <c r="V50" i="1"/>
  <c r="V54" i="1" s="1"/>
  <c r="U50" i="1"/>
  <c r="U54" i="1" s="1"/>
  <c r="R50" i="1"/>
  <c r="R54" i="1" s="1"/>
  <c r="O50" i="1"/>
  <c r="O54" i="1" s="1"/>
  <c r="N50" i="1"/>
  <c r="N54" i="1" s="1"/>
  <c r="I50" i="1"/>
  <c r="I54" i="1" s="1"/>
  <c r="F50" i="1"/>
  <c r="D50" i="1"/>
  <c r="B50" i="1"/>
  <c r="AG49" i="1"/>
  <c r="AF48" i="1"/>
  <c r="AD48" i="1"/>
  <c r="AB48" i="1"/>
  <c r="Y48" i="1"/>
  <c r="K48" i="1"/>
  <c r="C48" i="1"/>
  <c r="B48" i="1"/>
  <c r="AE47" i="1"/>
  <c r="AC47" i="1"/>
  <c r="AA47" i="1"/>
  <c r="Z47" i="1"/>
  <c r="X47" i="1"/>
  <c r="W47" i="1"/>
  <c r="V47" i="1"/>
  <c r="S47" i="1"/>
  <c r="Q47" i="1"/>
  <c r="L47" i="1"/>
  <c r="H47" i="1"/>
  <c r="G47" i="1"/>
  <c r="D47" i="1"/>
  <c r="AE46" i="1"/>
  <c r="AC46" i="1"/>
  <c r="Z46" i="1"/>
  <c r="X46" i="1"/>
  <c r="S46" i="1"/>
  <c r="Q46" i="1"/>
  <c r="O46" i="1"/>
  <c r="N46" i="1"/>
  <c r="M46" i="1"/>
  <c r="J46" i="1"/>
  <c r="I46" i="1"/>
  <c r="AG46" i="1" s="1"/>
  <c r="G46" i="1"/>
  <c r="F46" i="1"/>
  <c r="D46" i="1"/>
  <c r="Z45" i="1"/>
  <c r="G45" i="1"/>
  <c r="D45" i="1"/>
  <c r="B45" i="1"/>
  <c r="AF44" i="1"/>
  <c r="AE44" i="1"/>
  <c r="AC44" i="1"/>
  <c r="W44" i="1"/>
  <c r="U44" i="1"/>
  <c r="R44" i="1"/>
  <c r="F44" i="1"/>
  <c r="D44" i="1"/>
  <c r="B44" i="1"/>
  <c r="AE43" i="1"/>
  <c r="AC43" i="1"/>
  <c r="AA43" i="1"/>
  <c r="Z43" i="1"/>
  <c r="X43" i="1"/>
  <c r="W43" i="1"/>
  <c r="V43" i="1"/>
  <c r="S43" i="1"/>
  <c r="Q43" i="1"/>
  <c r="L43" i="1"/>
  <c r="H43" i="1"/>
  <c r="G43" i="1"/>
  <c r="D43" i="1"/>
  <c r="Z42" i="1"/>
  <c r="W42" i="1"/>
  <c r="V42" i="1"/>
  <c r="T42" i="1"/>
  <c r="R42" i="1"/>
  <c r="Q42" i="1"/>
  <c r="N42" i="1"/>
  <c r="J42" i="1"/>
  <c r="F42" i="1"/>
  <c r="D42" i="1"/>
  <c r="B42" i="1"/>
  <c r="AE41" i="1"/>
  <c r="AC41" i="1"/>
  <c r="AA41" i="1"/>
  <c r="Z41" i="1"/>
  <c r="X41" i="1"/>
  <c r="W41" i="1"/>
  <c r="V41" i="1"/>
  <c r="U41" i="1"/>
  <c r="T41" i="1"/>
  <c r="S41" i="1"/>
  <c r="Q41" i="1"/>
  <c r="O41" i="1"/>
  <c r="N41" i="1"/>
  <c r="M41" i="1"/>
  <c r="L41" i="1"/>
  <c r="I41" i="1"/>
  <c r="H41" i="1"/>
  <c r="G41" i="1"/>
  <c r="F41" i="1"/>
  <c r="D41" i="1"/>
  <c r="B41" i="1"/>
  <c r="AE40" i="1"/>
  <c r="AC40" i="1"/>
  <c r="AA40" i="1"/>
  <c r="Z40" i="1"/>
  <c r="X40" i="1"/>
  <c r="X48" i="1" s="1"/>
  <c r="W40" i="1"/>
  <c r="V40" i="1"/>
  <c r="U40" i="1"/>
  <c r="T40" i="1"/>
  <c r="S40" i="1"/>
  <c r="R40" i="1"/>
  <c r="R48" i="1" s="1"/>
  <c r="Q40" i="1"/>
  <c r="P40" i="1"/>
  <c r="P48" i="1" s="1"/>
  <c r="O40" i="1"/>
  <c r="O48" i="1" s="1"/>
  <c r="N40" i="1"/>
  <c r="M40" i="1"/>
  <c r="L40" i="1"/>
  <c r="J40" i="1"/>
  <c r="I40" i="1"/>
  <c r="H40" i="1"/>
  <c r="G40" i="1"/>
  <c r="F40" i="1"/>
  <c r="E40" i="1"/>
  <c r="D40" i="1"/>
  <c r="B40" i="1"/>
  <c r="Z39" i="1"/>
  <c r="W39" i="1"/>
  <c r="V39" i="1"/>
  <c r="T39" i="1"/>
  <c r="T48" i="1" s="1"/>
  <c r="R39" i="1"/>
  <c r="Q39" i="1"/>
  <c r="N39" i="1"/>
  <c r="J39" i="1"/>
  <c r="J48" i="1" s="1"/>
  <c r="F39" i="1"/>
  <c r="F48" i="1" s="1"/>
  <c r="E39" i="1"/>
  <c r="E48" i="1" s="1"/>
  <c r="D39" i="1"/>
  <c r="B39" i="1"/>
  <c r="B38" i="1"/>
  <c r="AG38" i="1" s="1"/>
  <c r="AE37" i="1"/>
  <c r="AC37" i="1"/>
  <c r="AA37" i="1"/>
  <c r="Z37" i="1"/>
  <c r="X37" i="1"/>
  <c r="W37" i="1"/>
  <c r="V37" i="1"/>
  <c r="S37" i="1"/>
  <c r="Q37" i="1"/>
  <c r="Q48" i="1" s="1"/>
  <c r="L37" i="1"/>
  <c r="H37" i="1"/>
  <c r="G37" i="1"/>
  <c r="D37" i="1"/>
  <c r="AG36" i="1"/>
  <c r="AF35" i="1"/>
  <c r="Y35" i="1"/>
  <c r="V35" i="1"/>
  <c r="T35" i="1"/>
  <c r="L35" i="1"/>
  <c r="K35" i="1"/>
  <c r="C35" i="1"/>
  <c r="Z34" i="1"/>
  <c r="W34" i="1"/>
  <c r="V34" i="1"/>
  <c r="T34" i="1"/>
  <c r="R34" i="1"/>
  <c r="R35" i="1" s="1"/>
  <c r="Q34" i="1"/>
  <c r="N34" i="1"/>
  <c r="J34" i="1"/>
  <c r="J35" i="1" s="1"/>
  <c r="F34" i="1"/>
  <c r="E34" i="1"/>
  <c r="E35" i="1" s="1"/>
  <c r="D34" i="1"/>
  <c r="B34" i="1"/>
  <c r="AE33" i="1"/>
  <c r="AE35" i="1" s="1"/>
  <c r="AD33" i="1"/>
  <c r="AD35" i="1" s="1"/>
  <c r="AC33" i="1"/>
  <c r="AC35" i="1" s="1"/>
  <c r="AB33" i="1"/>
  <c r="AB35" i="1" s="1"/>
  <c r="AB94" i="1" s="1"/>
  <c r="AA33" i="1"/>
  <c r="AA35" i="1" s="1"/>
  <c r="Z33" i="1"/>
  <c r="X33" i="1"/>
  <c r="X35" i="1" s="1"/>
  <c r="W33" i="1"/>
  <c r="W35" i="1" s="1"/>
  <c r="V33" i="1"/>
  <c r="U33" i="1"/>
  <c r="U35" i="1" s="1"/>
  <c r="T33" i="1"/>
  <c r="S33" i="1"/>
  <c r="S35" i="1" s="1"/>
  <c r="Q33" i="1"/>
  <c r="Q35" i="1" s="1"/>
  <c r="P33" i="1"/>
  <c r="P35" i="1" s="1"/>
  <c r="O33" i="1"/>
  <c r="O35" i="1" s="1"/>
  <c r="N33" i="1"/>
  <c r="N35" i="1" s="1"/>
  <c r="M33" i="1"/>
  <c r="M35" i="1" s="1"/>
  <c r="L33" i="1"/>
  <c r="I33" i="1"/>
  <c r="I35" i="1" s="1"/>
  <c r="H33" i="1"/>
  <c r="H35" i="1" s="1"/>
  <c r="G33" i="1"/>
  <c r="G35" i="1" s="1"/>
  <c r="F33" i="1"/>
  <c r="F35" i="1" s="1"/>
  <c r="D33" i="1"/>
  <c r="B33" i="1"/>
  <c r="AG32" i="1"/>
  <c r="AF28" i="1"/>
  <c r="Y28" i="1"/>
  <c r="O28" i="1"/>
  <c r="M28" i="1"/>
  <c r="L28" i="1"/>
  <c r="K28" i="1"/>
  <c r="J28" i="1"/>
  <c r="I28" i="1"/>
  <c r="F28" i="1"/>
  <c r="E28" i="1"/>
  <c r="C28" i="1"/>
  <c r="B28" i="1"/>
  <c r="AE27" i="1"/>
  <c r="AE28" i="1" s="1"/>
  <c r="AD27" i="1"/>
  <c r="AD28" i="1" s="1"/>
  <c r="AC27" i="1"/>
  <c r="AC28" i="1" s="1"/>
  <c r="AB27" i="1"/>
  <c r="AB28" i="1" s="1"/>
  <c r="AA27" i="1"/>
  <c r="AA28" i="1" s="1"/>
  <c r="Z27" i="1"/>
  <c r="Z28" i="1" s="1"/>
  <c r="X27" i="1"/>
  <c r="X28" i="1" s="1"/>
  <c r="W27" i="1"/>
  <c r="W28" i="1" s="1"/>
  <c r="V27" i="1"/>
  <c r="V28" i="1" s="1"/>
  <c r="U27" i="1"/>
  <c r="U28" i="1" s="1"/>
  <c r="S27" i="1"/>
  <c r="S28" i="1" s="1"/>
  <c r="Q27" i="1"/>
  <c r="Q28" i="1" s="1"/>
  <c r="P27" i="1"/>
  <c r="P28" i="1" s="1"/>
  <c r="H27" i="1"/>
  <c r="H28" i="1" s="1"/>
  <c r="G27" i="1"/>
  <c r="G28" i="1" s="1"/>
  <c r="D27" i="1"/>
  <c r="D28" i="1" s="1"/>
  <c r="T26" i="1"/>
  <c r="T28" i="1" s="1"/>
  <c r="R26" i="1"/>
  <c r="R28" i="1" s="1"/>
  <c r="N26" i="1"/>
  <c r="AG25" i="1"/>
  <c r="B24" i="1"/>
  <c r="AG24" i="1" s="1"/>
  <c r="B23" i="1"/>
  <c r="AG23" i="1" s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L22" i="1"/>
  <c r="K22" i="1"/>
  <c r="J22" i="1"/>
  <c r="H22" i="1"/>
  <c r="G22" i="1"/>
  <c r="E22" i="1"/>
  <c r="D22" i="1"/>
  <c r="C22" i="1"/>
  <c r="B22" i="1"/>
  <c r="F21" i="1"/>
  <c r="AG21" i="1" s="1"/>
  <c r="M20" i="1"/>
  <c r="M22" i="1" s="1"/>
  <c r="I20" i="1"/>
  <c r="I22" i="1" s="1"/>
  <c r="F20" i="1"/>
  <c r="AF19" i="1"/>
  <c r="AF29" i="1" s="1"/>
  <c r="AF30" i="1" s="1"/>
  <c r="AE19" i="1"/>
  <c r="AD19" i="1"/>
  <c r="AC19" i="1"/>
  <c r="AB19" i="1"/>
  <c r="AA19" i="1"/>
  <c r="Z19" i="1"/>
  <c r="Z29" i="1" s="1"/>
  <c r="Z30" i="1" s="1"/>
  <c r="W19" i="1"/>
  <c r="W29" i="1" s="1"/>
  <c r="W30" i="1" s="1"/>
  <c r="V19" i="1"/>
  <c r="U19" i="1"/>
  <c r="T19" i="1"/>
  <c r="S19" i="1"/>
  <c r="R19" i="1"/>
  <c r="Q19" i="1"/>
  <c r="Q29" i="1" s="1"/>
  <c r="Q30" i="1" s="1"/>
  <c r="P19" i="1"/>
  <c r="P29" i="1" s="1"/>
  <c r="P30" i="1" s="1"/>
  <c r="N19" i="1"/>
  <c r="M19" i="1"/>
  <c r="I19" i="1"/>
  <c r="H19" i="1"/>
  <c r="G19" i="1"/>
  <c r="E19" i="1"/>
  <c r="E29" i="1" s="1"/>
  <c r="E30" i="1" s="1"/>
  <c r="D19" i="1"/>
  <c r="F18" i="1"/>
  <c r="AG18" i="1" s="1"/>
  <c r="F17" i="1"/>
  <c r="C17" i="1"/>
  <c r="C19" i="1" s="1"/>
  <c r="C29" i="1" s="1"/>
  <c r="C30" i="1" s="1"/>
  <c r="B17" i="1"/>
  <c r="AG17" i="1" s="1"/>
  <c r="AG16" i="1"/>
  <c r="B16" i="1"/>
  <c r="B15" i="1"/>
  <c r="AG15" i="1" s="1"/>
  <c r="B14" i="1"/>
  <c r="AG14" i="1" s="1"/>
  <c r="L13" i="1"/>
  <c r="K13" i="1"/>
  <c r="F13" i="1"/>
  <c r="B13" i="1"/>
  <c r="AG13" i="1" s="1"/>
  <c r="Y12" i="1"/>
  <c r="X12" i="1"/>
  <c r="X19" i="1" s="1"/>
  <c r="X29" i="1" s="1"/>
  <c r="X30" i="1" s="1"/>
  <c r="F12" i="1"/>
  <c r="Y11" i="1"/>
  <c r="O11" i="1"/>
  <c r="O19" i="1" s="1"/>
  <c r="J11" i="1"/>
  <c r="J19" i="1" s="1"/>
  <c r="J29" i="1" s="1"/>
  <c r="J30" i="1" s="1"/>
  <c r="E11" i="1"/>
  <c r="B11" i="1"/>
  <c r="L10" i="1"/>
  <c r="K10" i="1"/>
  <c r="B9" i="1"/>
  <c r="AG9" i="1" s="1"/>
  <c r="K8" i="1"/>
  <c r="B8" i="1"/>
  <c r="B19" i="1" s="1"/>
  <c r="AG7" i="1"/>
  <c r="AC29" i="1" l="1"/>
  <c r="AC30" i="1" s="1"/>
  <c r="V29" i="1"/>
  <c r="V30" i="1" s="1"/>
  <c r="M29" i="1"/>
  <c r="M30" i="1" s="1"/>
  <c r="I48" i="1"/>
  <c r="I94" i="1" s="1"/>
  <c r="AE54" i="1"/>
  <c r="F66" i="1"/>
  <c r="AG76" i="1"/>
  <c r="Y80" i="1"/>
  <c r="Y94" i="1" s="1"/>
  <c r="AD87" i="1"/>
  <c r="Z87" i="1"/>
  <c r="AD29" i="1"/>
  <c r="AD30" i="1" s="1"/>
  <c r="AD95" i="1" s="1"/>
  <c r="AD96" i="1" s="1"/>
  <c r="T94" i="1"/>
  <c r="Y19" i="1"/>
  <c r="Y29" i="1" s="1"/>
  <c r="Y30" i="1" s="1"/>
  <c r="K19" i="1"/>
  <c r="K29" i="1" s="1"/>
  <c r="K30" i="1" s="1"/>
  <c r="D29" i="1"/>
  <c r="D30" i="1" s="1"/>
  <c r="U29" i="1"/>
  <c r="U30" i="1" s="1"/>
  <c r="P94" i="1"/>
  <c r="P95" i="1" s="1"/>
  <c r="P96" i="1" s="1"/>
  <c r="L48" i="1"/>
  <c r="AG45" i="1"/>
  <c r="W54" i="1"/>
  <c r="AG65" i="1"/>
  <c r="Z80" i="1"/>
  <c r="AE87" i="1"/>
  <c r="AG85" i="1"/>
  <c r="Q94" i="1"/>
  <c r="Z35" i="1"/>
  <c r="AG34" i="1"/>
  <c r="AC48" i="1"/>
  <c r="AC94" i="1" s="1"/>
  <c r="AC95" i="1" s="1"/>
  <c r="AC96" i="1" s="1"/>
  <c r="S48" i="1"/>
  <c r="AG43" i="1"/>
  <c r="C94" i="1"/>
  <c r="C95" i="1" s="1"/>
  <c r="C96" i="1" s="1"/>
  <c r="AF94" i="1"/>
  <c r="X54" i="1"/>
  <c r="B71" i="1"/>
  <c r="AG71" i="1" s="1"/>
  <c r="AG75" i="1"/>
  <c r="AG82" i="1"/>
  <c r="W87" i="1"/>
  <c r="AG91" i="1"/>
  <c r="W92" i="1"/>
  <c r="AG8" i="1"/>
  <c r="H29" i="1"/>
  <c r="H30" i="1" s="1"/>
  <c r="AF95" i="1"/>
  <c r="AF96" i="1" s="1"/>
  <c r="D35" i="1"/>
  <c r="D94" i="1" s="1"/>
  <c r="D95" i="1" s="1"/>
  <c r="D96" i="1" s="1"/>
  <c r="D48" i="1"/>
  <c r="AA48" i="1"/>
  <c r="AA94" i="1" s="1"/>
  <c r="AG42" i="1"/>
  <c r="AG44" i="1"/>
  <c r="O66" i="1"/>
  <c r="O94" i="1" s="1"/>
  <c r="AG63" i="1"/>
  <c r="AG73" i="1"/>
  <c r="AC80" i="1"/>
  <c r="W80" i="1"/>
  <c r="S29" i="1"/>
  <c r="S30" i="1" s="1"/>
  <c r="F22" i="1"/>
  <c r="AG22" i="1" s="1"/>
  <c r="E94" i="1"/>
  <c r="E95" i="1" s="1"/>
  <c r="E96" i="1" s="1"/>
  <c r="G48" i="1"/>
  <c r="G94" i="1" s="1"/>
  <c r="W48" i="1"/>
  <c r="N48" i="1"/>
  <c r="Z48" i="1"/>
  <c r="U48" i="1"/>
  <c r="U94" i="1" s="1"/>
  <c r="U95" i="1" s="1"/>
  <c r="U96" i="1" s="1"/>
  <c r="H48" i="1"/>
  <c r="K94" i="1"/>
  <c r="D66" i="1"/>
  <c r="V66" i="1"/>
  <c r="F80" i="1"/>
  <c r="AE80" i="1"/>
  <c r="X80" i="1"/>
  <c r="AC87" i="1"/>
  <c r="B87" i="1"/>
  <c r="Z94" i="1"/>
  <c r="Z95" i="1" s="1"/>
  <c r="Z96" i="1" s="1"/>
  <c r="J94" i="1"/>
  <c r="Q95" i="1"/>
  <c r="Q96" i="1" s="1"/>
  <c r="AG47" i="1"/>
  <c r="AG50" i="1"/>
  <c r="AG11" i="1"/>
  <c r="G29" i="1"/>
  <c r="G30" i="1" s="1"/>
  <c r="R29" i="1"/>
  <c r="R30" i="1" s="1"/>
  <c r="AB29" i="1"/>
  <c r="AB30" i="1" s="1"/>
  <c r="AB95" i="1" s="1"/>
  <c r="AB96" i="1" s="1"/>
  <c r="AG20" i="1"/>
  <c r="AD94" i="1"/>
  <c r="AE48" i="1"/>
  <c r="AG53" i="1"/>
  <c r="B66" i="1"/>
  <c r="AG66" i="1" s="1"/>
  <c r="AG59" i="1"/>
  <c r="AG77" i="1"/>
  <c r="S94" i="1"/>
  <c r="AG40" i="1"/>
  <c r="AA29" i="1"/>
  <c r="AA30" i="1" s="1"/>
  <c r="R94" i="1"/>
  <c r="AG41" i="1"/>
  <c r="AG78" i="1"/>
  <c r="AG12" i="1"/>
  <c r="F19" i="1"/>
  <c r="F29" i="1" s="1"/>
  <c r="F30" i="1" s="1"/>
  <c r="M48" i="1"/>
  <c r="B29" i="1"/>
  <c r="J95" i="1"/>
  <c r="J96" i="1" s="1"/>
  <c r="I29" i="1"/>
  <c r="I30" i="1" s="1"/>
  <c r="T29" i="1"/>
  <c r="T30" i="1" s="1"/>
  <c r="T95" i="1" s="1"/>
  <c r="T96" i="1" s="1"/>
  <c r="AG33" i="1"/>
  <c r="W94" i="1"/>
  <c r="W95" i="1" s="1"/>
  <c r="W96" i="1" s="1"/>
  <c r="N94" i="1"/>
  <c r="V48" i="1"/>
  <c r="V94" i="1" s="1"/>
  <c r="AG28" i="1"/>
  <c r="H94" i="1"/>
  <c r="L19" i="1"/>
  <c r="L29" i="1" s="1"/>
  <c r="L30" i="1" s="1"/>
  <c r="AG10" i="1"/>
  <c r="H95" i="1"/>
  <c r="H96" i="1" s="1"/>
  <c r="O29" i="1"/>
  <c r="O30" i="1" s="1"/>
  <c r="AE29" i="1"/>
  <c r="AE30" i="1" s="1"/>
  <c r="N28" i="1"/>
  <c r="N29" i="1" s="1"/>
  <c r="N30" i="1" s="1"/>
  <c r="N95" i="1" s="1"/>
  <c r="N96" i="1" s="1"/>
  <c r="AG26" i="1"/>
  <c r="X94" i="1"/>
  <c r="X95" i="1" s="1"/>
  <c r="X96" i="1" s="1"/>
  <c r="AG39" i="1"/>
  <c r="AG37" i="1"/>
  <c r="AG84" i="1"/>
  <c r="F92" i="1"/>
  <c r="F94" i="1" s="1"/>
  <c r="L87" i="1"/>
  <c r="AE92" i="1"/>
  <c r="AG27" i="1"/>
  <c r="B35" i="1"/>
  <c r="B54" i="1"/>
  <c r="B80" i="1"/>
  <c r="AG80" i="1" s="1"/>
  <c r="G80" i="1"/>
  <c r="S95" i="1" l="1"/>
  <c r="S96" i="1" s="1"/>
  <c r="G95" i="1"/>
  <c r="G96" i="1" s="1"/>
  <c r="AG19" i="1"/>
  <c r="K95" i="1"/>
  <c r="K96" i="1" s="1"/>
  <c r="V95" i="1"/>
  <c r="V96" i="1" s="1"/>
  <c r="Y95" i="1"/>
  <c r="Y96" i="1" s="1"/>
  <c r="AA95" i="1"/>
  <c r="AA96" i="1" s="1"/>
  <c r="AG54" i="1"/>
  <c r="AG48" i="1"/>
  <c r="AE94" i="1"/>
  <c r="AG87" i="1"/>
  <c r="L94" i="1"/>
  <c r="L95" i="1" s="1"/>
  <c r="L96" i="1" s="1"/>
  <c r="M94" i="1"/>
  <c r="M95" i="1" s="1"/>
  <c r="M96" i="1" s="1"/>
  <c r="AG35" i="1"/>
  <c r="B94" i="1"/>
  <c r="B30" i="1"/>
  <c r="AG29" i="1"/>
  <c r="AE95" i="1"/>
  <c r="AE96" i="1" s="1"/>
  <c r="AG92" i="1"/>
  <c r="I95" i="1"/>
  <c r="I96" i="1" s="1"/>
  <c r="F95" i="1"/>
  <c r="F96" i="1" s="1"/>
  <c r="O95" i="1"/>
  <c r="O96" i="1" s="1"/>
  <c r="R95" i="1"/>
  <c r="R96" i="1" s="1"/>
  <c r="AG94" i="1" l="1"/>
  <c r="AG30" i="1"/>
  <c r="B95" i="1"/>
  <c r="AG95" i="1" l="1"/>
  <c r="B96" i="1"/>
  <c r="AG96" i="1" s="1"/>
</calcChain>
</file>

<file path=xl/sharedStrings.xml><?xml version="1.0" encoding="utf-8"?>
<sst xmlns="http://schemas.openxmlformats.org/spreadsheetml/2006/main" count="126" uniqueCount="126">
  <si>
    <t>0010 - Operations</t>
  </si>
  <si>
    <t>0025 - Staff Account</t>
  </si>
  <si>
    <t>0065 - CRRSA</t>
  </si>
  <si>
    <t>0110 - NKYEC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</si>
  <si>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</si>
  <si>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</si>
  <si>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</si>
  <si>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</si>
  <si>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</si>
  <si>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</si>
  <si>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</si>
  <si>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</si>
  <si>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</si>
  <si>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2200 - Mandarin Program</t>
  </si>
  <si>
    <t>2310 - KDE Intern</t>
  </si>
  <si>
    <t>2800 - Arts in Education</t>
  </si>
  <si>
    <t>2910 - DAIL</t>
  </si>
  <si>
    <t>3010 - FRYSC - Fed</t>
  </si>
  <si>
    <t>3220 - PERS Effectiveness Coach</t>
  </si>
  <si>
    <t>3299 - ARP</t>
  </si>
  <si>
    <t>336J - IDEA B 22-23</t>
  </si>
  <si>
    <t>336K - IDEA B 23-24</t>
  </si>
  <si>
    <t>3416- SPF</t>
  </si>
  <si>
    <t>3420 - Interact for Health</t>
  </si>
  <si>
    <t>3425 - Deeper Learning</t>
  </si>
  <si>
    <t>345J - Title III  EL 22-23</t>
  </si>
  <si>
    <t>345K - Title III EL 23-24</t>
  </si>
  <si>
    <t>3800 - Trauma Informed</t>
  </si>
  <si>
    <t>3900 - New Teacher</t>
  </si>
  <si>
    <t>3925 - Mental Health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</si>
  <si>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</si>
  <si>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</si>
  <si>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</si>
  <si>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</si>
  <si>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</si>
  <si>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</si>
  <si>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</si>
  <si>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</si>
  <si>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</si>
  <si>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</si>
  <si>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</si>
  <si>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</si>
  <si>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</si>
  <si>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</si>
  <si>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</si>
  <si>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</si>
  <si>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</si>
  <si>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</si>
  <si>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</si>
  <si>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</si>
  <si>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</si>
  <si>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</si>
  <si>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</si>
  <si>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</si>
  <si>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</si>
  <si>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</si>
  <si>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</si>
  <si>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</si>
  <si>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</si>
  <si>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</si>
  <si>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</si>
  <si>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</si>
  <si>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</si>
  <si>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</si>
  <si>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</si>
  <si>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</si>
  <si>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</si>
  <si>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</si>
  <si>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</si>
  <si>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</si>
  <si>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</si>
  <si>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</si>
  <si>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</si>
  <si>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</si>
  <si>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</si>
  <si>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</si>
  <si>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</si>
  <si>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</si>
  <si>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</si>
  <si>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</si>
  <si>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</si>
  <si>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</si>
  <si>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</si>
  <si>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</si>
  <si>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</si>
  <si>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</si>
  <si>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</si>
  <si>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</si>
  <si>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</si>
  <si>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</si>
  <si>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</si>
  <si>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</si>
  <si>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</si>
  <si>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</si>
  <si>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</si>
  <si>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</si>
  <si>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</si>
  <si>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</si>
  <si>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</si>
  <si>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</si>
  <si>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</si>
  <si>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</si>
  <si>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</si>
  <si>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</si>
  <si>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</si>
  <si>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</si>
  <si>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</si>
  <si>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</si>
  <si>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</si>
  <si>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</si>
  <si>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</si>
  <si>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</si>
  <si>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</si>
  <si>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</si>
  <si>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</si>
  <si>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</si>
  <si>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</si>
  <si>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</si>
  <si>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</si>
  <si>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 xml:space="preserve">   Purchases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</si>
  <si>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</si>
  <si>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</si>
  <si>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</si>
  <si>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</si>
  <si>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</si>
  <si>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November,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</si>
</sst>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"/>
  <sheetViews>
    <sheetView tabSelected="1" topLeftCell="A31" workbookViewId="0">
      <selection activeCell="A100" sqref="A100:AG100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2" customWidth="1"/>
    <col min="5" max="5" width="10.28515625" customWidth="1"/>
    <col min="6" max="6" width="12" customWidth="1"/>
    <col min="7" max="8" width="11.140625" customWidth="1"/>
    <col min="9" max="9" width="9.42578125" customWidth="1"/>
    <col min="10" max="10" width="11.140625" customWidth="1"/>
    <col min="11" max="11" width="10.28515625" customWidth="1"/>
    <col min="12" max="12" width="11.140625" customWidth="1"/>
    <col min="13" max="13" width="9.42578125" customWidth="1"/>
    <col min="14" max="14" width="10.28515625" customWidth="1"/>
    <col min="15" max="15" width="11.140625" customWidth="1"/>
    <col min="16" max="16" width="8.5703125" customWidth="1"/>
    <col min="17" max="17" width="12" customWidth="1"/>
    <col min="18" max="19" width="10.28515625" customWidth="1"/>
    <col min="20" max="21" width="11.140625" customWidth="1"/>
    <col min="22" max="23" width="10.28515625" customWidth="1"/>
    <col min="24" max="24" width="11.140625" customWidth="1"/>
    <col min="25" max="25" width="9.42578125" customWidth="1"/>
    <col min="26" max="26" width="12" customWidth="1"/>
    <col min="27" max="27" width="8.5703125" customWidth="1"/>
    <col min="28" max="28" width="7.7109375" customWidth="1"/>
    <col min="29" max="29" width="11.140625" customWidth="1"/>
    <col min="30" max="30" width="10.28515625" customWidth="1"/>
    <col min="31" max="31" width="12" customWidth="1"/>
    <col min="32" max="32" width="7.7109375" customWidth="1"/>
    <col min="33" max="33" width="12" customWidth="1"/>
  </cols>
  <sheetData>
    <row r="1" spans="1:33" ht="18" x14ac:dyDescent="0.25">
      <c r="A1" s="10" t="s">
        <v>123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8" x14ac:dyDescent="0.25">
      <c r="A2" s="10" t="s">
        <v>124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x14ac:dyDescent="0.25">
      <c r="A3" s="11" t="s">
        <v>125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5" spans="1:33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</row>
    <row r="6" spans="1:33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3" t="s">
        <v>33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>
        <f t="shared" ref="AG7:AG30" si="0">((((((((((((((((((((((((((((((B7)+(C7))+(D7))+(E7))+(F7))+(G7))+(H7))+(I7))+(J7))+(K7))+(L7))+(M7))+(N7))+(O7))+(P7))+(Q7))+(R7))+(S7))+(T7))+(U7))+(V7))+(W7))+(X7))+(Y7))+(Z7))+(AA7))+(AB7))+(AC7))+(AD7))+(AE7))+(AF7)</f>
        <v>0</v>
      </c>
    </row>
    <row r="8" spans="1:33" x14ac:dyDescent="0.25">
      <c r="A8" s="3" t="s">
        <v>34</v>
      </c>
      <c r="B8" s="5">
        <f>272122.23</f>
        <v>272122.23</v>
      </c>
      <c r="C8" s="4"/>
      <c r="D8" s="4"/>
      <c r="E8" s="4"/>
      <c r="F8" s="4"/>
      <c r="G8" s="4"/>
      <c r="H8" s="4"/>
      <c r="I8" s="4"/>
      <c r="J8" s="4"/>
      <c r="K8" s="5">
        <f>400</f>
        <v>400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5">
        <f t="shared" si="0"/>
        <v>272522.23</v>
      </c>
    </row>
    <row r="9" spans="1:33" x14ac:dyDescent="0.25">
      <c r="A9" s="3" t="s">
        <v>35</v>
      </c>
      <c r="B9" s="5">
        <f>48511.88</f>
        <v>48511.88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>
        <f t="shared" si="0"/>
        <v>48511.88</v>
      </c>
    </row>
    <row r="10" spans="1:33" x14ac:dyDescent="0.25">
      <c r="A10" s="3" t="s">
        <v>36</v>
      </c>
      <c r="B10" s="4"/>
      <c r="C10" s="4"/>
      <c r="D10" s="4"/>
      <c r="E10" s="4"/>
      <c r="F10" s="4"/>
      <c r="G10" s="4"/>
      <c r="H10" s="4"/>
      <c r="I10" s="4"/>
      <c r="J10" s="4"/>
      <c r="K10" s="5">
        <f>329919.81</f>
        <v>329919.81</v>
      </c>
      <c r="L10" s="5">
        <f>11400</f>
        <v>11400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>
        <f t="shared" si="0"/>
        <v>341319.81</v>
      </c>
    </row>
    <row r="11" spans="1:33" x14ac:dyDescent="0.25">
      <c r="A11" s="3" t="s">
        <v>37</v>
      </c>
      <c r="B11" s="5">
        <f>35000</f>
        <v>35000</v>
      </c>
      <c r="C11" s="4"/>
      <c r="D11" s="4"/>
      <c r="E11" s="5">
        <f>12932.87</f>
        <v>12932.87</v>
      </c>
      <c r="F11" s="4"/>
      <c r="G11" s="4"/>
      <c r="H11" s="4"/>
      <c r="I11" s="4"/>
      <c r="J11" s="5">
        <f>32008.01</f>
        <v>32008.01</v>
      </c>
      <c r="K11" s="4"/>
      <c r="L11" s="4"/>
      <c r="M11" s="4"/>
      <c r="N11" s="4"/>
      <c r="O11" s="5">
        <f>99903.3</f>
        <v>99903.3</v>
      </c>
      <c r="P11" s="4"/>
      <c r="Q11" s="4"/>
      <c r="R11" s="4"/>
      <c r="S11" s="4"/>
      <c r="T11" s="4"/>
      <c r="U11" s="4"/>
      <c r="V11" s="4"/>
      <c r="W11" s="4"/>
      <c r="X11" s="4"/>
      <c r="Y11" s="5">
        <f>30065</f>
        <v>30065</v>
      </c>
      <c r="Z11" s="4"/>
      <c r="AA11" s="4"/>
      <c r="AB11" s="4"/>
      <c r="AC11" s="4"/>
      <c r="AD11" s="4"/>
      <c r="AE11" s="4"/>
      <c r="AF11" s="4"/>
      <c r="AG11" s="5">
        <f t="shared" si="0"/>
        <v>209909.18</v>
      </c>
    </row>
    <row r="12" spans="1:33" x14ac:dyDescent="0.25">
      <c r="A12" s="3" t="s">
        <v>38</v>
      </c>
      <c r="B12" s="4"/>
      <c r="C12" s="4"/>
      <c r="D12" s="4"/>
      <c r="E12" s="4"/>
      <c r="F12" s="5">
        <f>2500</f>
        <v>2500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>
        <f>-1000</f>
        <v>-1000</v>
      </c>
      <c r="Y12" s="5">
        <f>5000</f>
        <v>5000</v>
      </c>
      <c r="Z12" s="4"/>
      <c r="AA12" s="4"/>
      <c r="AB12" s="4"/>
      <c r="AC12" s="4"/>
      <c r="AD12" s="4"/>
      <c r="AE12" s="4"/>
      <c r="AF12" s="4"/>
      <c r="AG12" s="5">
        <f t="shared" si="0"/>
        <v>6500</v>
      </c>
    </row>
    <row r="13" spans="1:33" x14ac:dyDescent="0.25">
      <c r="A13" s="3" t="s">
        <v>39</v>
      </c>
      <c r="B13" s="5">
        <f>2830.87</f>
        <v>2830.87</v>
      </c>
      <c r="C13" s="4"/>
      <c r="D13" s="4"/>
      <c r="E13" s="4"/>
      <c r="F13" s="5">
        <f>124.5</f>
        <v>124.5</v>
      </c>
      <c r="G13" s="4"/>
      <c r="H13" s="4"/>
      <c r="I13" s="4"/>
      <c r="J13" s="4"/>
      <c r="K13" s="5">
        <f>0</f>
        <v>0</v>
      </c>
      <c r="L13" s="5">
        <f>787.5</f>
        <v>787.5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>
        <f t="shared" si="0"/>
        <v>3742.87</v>
      </c>
    </row>
    <row r="14" spans="1:33" x14ac:dyDescent="0.25">
      <c r="A14" s="3" t="s">
        <v>40</v>
      </c>
      <c r="B14" s="5">
        <f>32616.19</f>
        <v>32616.19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>
        <f t="shared" si="0"/>
        <v>32616.19</v>
      </c>
    </row>
    <row r="15" spans="1:33" x14ac:dyDescent="0.25">
      <c r="A15" s="3" t="s">
        <v>41</v>
      </c>
      <c r="B15" s="5">
        <f>567480.26</f>
        <v>567480.26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>
        <f t="shared" si="0"/>
        <v>567480.26</v>
      </c>
    </row>
    <row r="16" spans="1:33" x14ac:dyDescent="0.25">
      <c r="A16" s="3" t="s">
        <v>42</v>
      </c>
      <c r="B16" s="5">
        <f>61700</f>
        <v>61700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5">
        <f t="shared" si="0"/>
        <v>61700</v>
      </c>
    </row>
    <row r="17" spans="1:33" x14ac:dyDescent="0.25">
      <c r="A17" s="3" t="s">
        <v>43</v>
      </c>
      <c r="B17" s="5">
        <f>135</f>
        <v>135</v>
      </c>
      <c r="C17" s="5">
        <f>200</f>
        <v>200</v>
      </c>
      <c r="D17" s="4"/>
      <c r="E17" s="4"/>
      <c r="F17" s="5">
        <f>0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5">
        <f t="shared" si="0"/>
        <v>335</v>
      </c>
    </row>
    <row r="18" spans="1:33" x14ac:dyDescent="0.25">
      <c r="A18" s="3" t="s">
        <v>44</v>
      </c>
      <c r="B18" s="4"/>
      <c r="C18" s="4"/>
      <c r="D18" s="4"/>
      <c r="E18" s="4"/>
      <c r="F18" s="5">
        <f>46620</f>
        <v>46620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>
        <f t="shared" si="0"/>
        <v>46620</v>
      </c>
    </row>
    <row r="19" spans="1:33" x14ac:dyDescent="0.25">
      <c r="A19" s="3" t="s">
        <v>45</v>
      </c>
      <c r="B19" s="6">
        <f t="shared" ref="B19:AF19" si="1">(((((((((((B7)+(B8))+(B9))+(B10))+(B11))+(B12))+(B13))+(B14))+(B15))+(B16))+(B17))+(B18)</f>
        <v>1020396.4299999999</v>
      </c>
      <c r="C19" s="6">
        <f t="shared" si="1"/>
        <v>200</v>
      </c>
      <c r="D19" s="6">
        <f t="shared" si="1"/>
        <v>0</v>
      </c>
      <c r="E19" s="6">
        <f t="shared" si="1"/>
        <v>12932.87</v>
      </c>
      <c r="F19" s="6">
        <f t="shared" si="1"/>
        <v>49244.5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32008.01</v>
      </c>
      <c r="K19" s="6">
        <f t="shared" si="1"/>
        <v>330319.81</v>
      </c>
      <c r="L19" s="6">
        <f t="shared" si="1"/>
        <v>12187.5</v>
      </c>
      <c r="M19" s="6">
        <f t="shared" si="1"/>
        <v>0</v>
      </c>
      <c r="N19" s="6">
        <f t="shared" si="1"/>
        <v>0</v>
      </c>
      <c r="O19" s="6">
        <f t="shared" si="1"/>
        <v>99903.3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-1000</v>
      </c>
      <c r="Y19" s="6">
        <f t="shared" si="1"/>
        <v>35065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0"/>
        <v>1591257.42</v>
      </c>
    </row>
    <row r="20" spans="1:33" x14ac:dyDescent="0.25">
      <c r="A20" s="3" t="s">
        <v>46</v>
      </c>
      <c r="B20" s="4"/>
      <c r="C20" s="4"/>
      <c r="D20" s="4"/>
      <c r="E20" s="4"/>
      <c r="F20" s="5">
        <f>1128913.65</f>
        <v>1128913.6499999999</v>
      </c>
      <c r="G20" s="4"/>
      <c r="H20" s="4"/>
      <c r="I20" s="5">
        <f>74684</f>
        <v>74684</v>
      </c>
      <c r="J20" s="4"/>
      <c r="K20" s="4"/>
      <c r="L20" s="4"/>
      <c r="M20" s="5">
        <f>64256.54</f>
        <v>64256.54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"/>
      <c r="AG20" s="5">
        <f t="shared" si="0"/>
        <v>1267854.19</v>
      </c>
    </row>
    <row r="21" spans="1:33" x14ac:dyDescent="0.25">
      <c r="A21" s="3" t="s">
        <v>47</v>
      </c>
      <c r="B21" s="4"/>
      <c r="C21" s="4"/>
      <c r="D21" s="4"/>
      <c r="E21" s="4"/>
      <c r="F21" s="5">
        <f>17180.85</f>
        <v>17180.849999999999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5">
        <f t="shared" si="0"/>
        <v>17180.849999999999</v>
      </c>
    </row>
    <row r="22" spans="1:33" x14ac:dyDescent="0.25">
      <c r="A22" s="3" t="s">
        <v>48</v>
      </c>
      <c r="B22" s="6">
        <f t="shared" ref="B22:AF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1146094.5</v>
      </c>
      <c r="G22" s="6">
        <f t="shared" si="2"/>
        <v>0</v>
      </c>
      <c r="H22" s="6">
        <f t="shared" si="2"/>
        <v>0</v>
      </c>
      <c r="I22" s="6">
        <f t="shared" si="2"/>
        <v>74684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64256.54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0"/>
        <v>1285035.04</v>
      </c>
    </row>
    <row r="23" spans="1:33" x14ac:dyDescent="0.25">
      <c r="A23" s="3" t="s">
        <v>49</v>
      </c>
      <c r="B23" s="5">
        <f>48069</f>
        <v>48069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5">
        <f t="shared" si="0"/>
        <v>48069</v>
      </c>
    </row>
    <row r="24" spans="1:33" x14ac:dyDescent="0.25">
      <c r="A24" s="3" t="s">
        <v>50</v>
      </c>
      <c r="B24" s="5">
        <f>28535.3</f>
        <v>28535.3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">
        <f t="shared" si="0"/>
        <v>28535.3</v>
      </c>
    </row>
    <row r="25" spans="1:33" x14ac:dyDescent="0.25">
      <c r="A25" s="3" t="s">
        <v>51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>
        <f t="shared" si="0"/>
        <v>0</v>
      </c>
    </row>
    <row r="26" spans="1:33" x14ac:dyDescent="0.25">
      <c r="A26" s="3" t="s">
        <v>52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>445244.03</f>
        <v>445244.03</v>
      </c>
      <c r="O26" s="4"/>
      <c r="P26" s="4"/>
      <c r="Q26" s="4"/>
      <c r="R26" s="5">
        <f>393058.76</f>
        <v>393058.76</v>
      </c>
      <c r="S26" s="4"/>
      <c r="T26" s="5">
        <f>54145</f>
        <v>54145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5">
        <f t="shared" si="0"/>
        <v>892447.79</v>
      </c>
    </row>
    <row r="27" spans="1:33" x14ac:dyDescent="0.25">
      <c r="A27" s="3" t="s">
        <v>53</v>
      </c>
      <c r="B27" s="4"/>
      <c r="C27" s="4"/>
      <c r="D27" s="5">
        <f>177395.53</f>
        <v>177395.53</v>
      </c>
      <c r="E27" s="4"/>
      <c r="F27" s="4"/>
      <c r="G27" s="5">
        <f>53949.11</f>
        <v>53949.11</v>
      </c>
      <c r="H27" s="5">
        <f>42064.64</f>
        <v>42064.639999999999</v>
      </c>
      <c r="I27" s="4"/>
      <c r="J27" s="4"/>
      <c r="K27" s="4"/>
      <c r="L27" s="4"/>
      <c r="M27" s="4"/>
      <c r="N27" s="4"/>
      <c r="O27" s="4"/>
      <c r="P27" s="5">
        <f>1095.66</f>
        <v>1095.6600000000001</v>
      </c>
      <c r="Q27" s="5">
        <f>497339.2</f>
        <v>497339.2</v>
      </c>
      <c r="R27" s="4"/>
      <c r="S27" s="5">
        <f>225494.88</f>
        <v>225494.88</v>
      </c>
      <c r="T27" s="4"/>
      <c r="U27" s="5">
        <f>7332.04</f>
        <v>7332.04</v>
      </c>
      <c r="V27" s="5">
        <f>257714.97</f>
        <v>257714.97</v>
      </c>
      <c r="W27" s="5">
        <f>251234</f>
        <v>251234</v>
      </c>
      <c r="X27" s="5">
        <f>114632.89</f>
        <v>114632.89</v>
      </c>
      <c r="Y27" s="4"/>
      <c r="Z27" s="5">
        <f>332922.37</f>
        <v>332922.37</v>
      </c>
      <c r="AA27" s="5">
        <f>6515.45</f>
        <v>6515.45</v>
      </c>
      <c r="AB27" s="5">
        <f>752</f>
        <v>752</v>
      </c>
      <c r="AC27" s="5">
        <f>174979.93</f>
        <v>174979.93</v>
      </c>
      <c r="AD27" s="5">
        <f>295178.5</f>
        <v>295178.5</v>
      </c>
      <c r="AE27" s="5">
        <f>326114.28</f>
        <v>326114.28000000003</v>
      </c>
      <c r="AF27" s="4"/>
      <c r="AG27" s="5">
        <f t="shared" si="0"/>
        <v>2764715.45</v>
      </c>
    </row>
    <row r="28" spans="1:33" x14ac:dyDescent="0.25">
      <c r="A28" s="3" t="s">
        <v>54</v>
      </c>
      <c r="B28" s="6">
        <f t="shared" ref="B28:AF28" si="3">((B25)+(B26))+(B27)</f>
        <v>0</v>
      </c>
      <c r="C28" s="6">
        <f t="shared" si="3"/>
        <v>0</v>
      </c>
      <c r="D28" s="6">
        <f t="shared" si="3"/>
        <v>177395.53</v>
      </c>
      <c r="E28" s="6">
        <f t="shared" si="3"/>
        <v>0</v>
      </c>
      <c r="F28" s="6">
        <f t="shared" si="3"/>
        <v>0</v>
      </c>
      <c r="G28" s="6">
        <f t="shared" si="3"/>
        <v>53949.11</v>
      </c>
      <c r="H28" s="6">
        <f t="shared" si="3"/>
        <v>42064.639999999999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445244.03</v>
      </c>
      <c r="O28" s="6">
        <f t="shared" si="3"/>
        <v>0</v>
      </c>
      <c r="P28" s="6">
        <f t="shared" si="3"/>
        <v>1095.6600000000001</v>
      </c>
      <c r="Q28" s="6">
        <f t="shared" si="3"/>
        <v>497339.2</v>
      </c>
      <c r="R28" s="6">
        <f t="shared" si="3"/>
        <v>393058.76</v>
      </c>
      <c r="S28" s="6">
        <f t="shared" si="3"/>
        <v>225494.88</v>
      </c>
      <c r="T28" s="6">
        <f t="shared" si="3"/>
        <v>54145</v>
      </c>
      <c r="U28" s="6">
        <f t="shared" si="3"/>
        <v>7332.04</v>
      </c>
      <c r="V28" s="6">
        <f t="shared" si="3"/>
        <v>257714.97</v>
      </c>
      <c r="W28" s="6">
        <f t="shared" si="3"/>
        <v>251234</v>
      </c>
      <c r="X28" s="6">
        <f t="shared" si="3"/>
        <v>114632.89</v>
      </c>
      <c r="Y28" s="6">
        <f t="shared" si="3"/>
        <v>0</v>
      </c>
      <c r="Z28" s="6">
        <f t="shared" si="3"/>
        <v>332922.37</v>
      </c>
      <c r="AA28" s="6">
        <f t="shared" si="3"/>
        <v>6515.45</v>
      </c>
      <c r="AB28" s="6">
        <f t="shared" si="3"/>
        <v>752</v>
      </c>
      <c r="AC28" s="6">
        <f t="shared" si="3"/>
        <v>174979.93</v>
      </c>
      <c r="AD28" s="6">
        <f t="shared" si="3"/>
        <v>295178.5</v>
      </c>
      <c r="AE28" s="6">
        <f t="shared" si="3"/>
        <v>326114.28000000003</v>
      </c>
      <c r="AF28" s="6">
        <f t="shared" si="3"/>
        <v>0</v>
      </c>
      <c r="AG28" s="6">
        <f t="shared" si="0"/>
        <v>3657163.2400000012</v>
      </c>
    </row>
    <row r="29" spans="1:33" x14ac:dyDescent="0.25">
      <c r="A29" s="3" t="s">
        <v>55</v>
      </c>
      <c r="B29" s="6">
        <f t="shared" ref="B29:AF29" si="4">((((B19)+(B22))+(B23))+(B24))+(B28)</f>
        <v>1097000.73</v>
      </c>
      <c r="C29" s="6">
        <f t="shared" si="4"/>
        <v>200</v>
      </c>
      <c r="D29" s="6">
        <f t="shared" si="4"/>
        <v>177395.53</v>
      </c>
      <c r="E29" s="6">
        <f t="shared" si="4"/>
        <v>12932.87</v>
      </c>
      <c r="F29" s="6">
        <f t="shared" si="4"/>
        <v>1195339</v>
      </c>
      <c r="G29" s="6">
        <f t="shared" si="4"/>
        <v>53949.11</v>
      </c>
      <c r="H29" s="6">
        <f t="shared" si="4"/>
        <v>42064.639999999999</v>
      </c>
      <c r="I29" s="6">
        <f t="shared" si="4"/>
        <v>74684</v>
      </c>
      <c r="J29" s="6">
        <f t="shared" si="4"/>
        <v>32008.01</v>
      </c>
      <c r="K29" s="6">
        <f t="shared" si="4"/>
        <v>330319.81</v>
      </c>
      <c r="L29" s="6">
        <f t="shared" si="4"/>
        <v>12187.5</v>
      </c>
      <c r="M29" s="6">
        <f t="shared" si="4"/>
        <v>64256.54</v>
      </c>
      <c r="N29" s="6">
        <f t="shared" si="4"/>
        <v>445244.03</v>
      </c>
      <c r="O29" s="6">
        <f t="shared" si="4"/>
        <v>99903.3</v>
      </c>
      <c r="P29" s="6">
        <f t="shared" si="4"/>
        <v>1095.6600000000001</v>
      </c>
      <c r="Q29" s="6">
        <f t="shared" si="4"/>
        <v>497339.2</v>
      </c>
      <c r="R29" s="6">
        <f t="shared" si="4"/>
        <v>393058.76</v>
      </c>
      <c r="S29" s="6">
        <f t="shared" si="4"/>
        <v>225494.88</v>
      </c>
      <c r="T29" s="6">
        <f t="shared" si="4"/>
        <v>54145</v>
      </c>
      <c r="U29" s="6">
        <f t="shared" si="4"/>
        <v>7332.04</v>
      </c>
      <c r="V29" s="6">
        <f t="shared" si="4"/>
        <v>257714.97</v>
      </c>
      <c r="W29" s="6">
        <f t="shared" si="4"/>
        <v>251234</v>
      </c>
      <c r="X29" s="6">
        <f t="shared" si="4"/>
        <v>113632.89</v>
      </c>
      <c r="Y29" s="6">
        <f t="shared" si="4"/>
        <v>35065</v>
      </c>
      <c r="Z29" s="6">
        <f t="shared" si="4"/>
        <v>332922.37</v>
      </c>
      <c r="AA29" s="6">
        <f t="shared" si="4"/>
        <v>6515.45</v>
      </c>
      <c r="AB29" s="6">
        <f t="shared" si="4"/>
        <v>752</v>
      </c>
      <c r="AC29" s="6">
        <f t="shared" si="4"/>
        <v>174979.93</v>
      </c>
      <c r="AD29" s="6">
        <f t="shared" si="4"/>
        <v>295178.5</v>
      </c>
      <c r="AE29" s="6">
        <f t="shared" si="4"/>
        <v>326114.28000000003</v>
      </c>
      <c r="AF29" s="6">
        <f t="shared" si="4"/>
        <v>0</v>
      </c>
      <c r="AG29" s="6">
        <f t="shared" si="0"/>
        <v>6610059.9999999991</v>
      </c>
    </row>
    <row r="30" spans="1:33" x14ac:dyDescent="0.25">
      <c r="A30" s="3" t="s">
        <v>56</v>
      </c>
      <c r="B30" s="6">
        <f t="shared" ref="B30:AF30" si="5">(B29)-(0)</f>
        <v>1097000.73</v>
      </c>
      <c r="C30" s="6">
        <f t="shared" si="5"/>
        <v>200</v>
      </c>
      <c r="D30" s="6">
        <f t="shared" si="5"/>
        <v>177395.53</v>
      </c>
      <c r="E30" s="6">
        <f t="shared" si="5"/>
        <v>12932.87</v>
      </c>
      <c r="F30" s="6">
        <f t="shared" si="5"/>
        <v>1195339</v>
      </c>
      <c r="G30" s="6">
        <f t="shared" si="5"/>
        <v>53949.11</v>
      </c>
      <c r="H30" s="6">
        <f t="shared" si="5"/>
        <v>42064.639999999999</v>
      </c>
      <c r="I30" s="6">
        <f t="shared" si="5"/>
        <v>74684</v>
      </c>
      <c r="J30" s="6">
        <f t="shared" si="5"/>
        <v>32008.01</v>
      </c>
      <c r="K30" s="6">
        <f t="shared" si="5"/>
        <v>330319.81</v>
      </c>
      <c r="L30" s="6">
        <f t="shared" si="5"/>
        <v>12187.5</v>
      </c>
      <c r="M30" s="6">
        <f t="shared" si="5"/>
        <v>64256.54</v>
      </c>
      <c r="N30" s="6">
        <f t="shared" si="5"/>
        <v>445244.03</v>
      </c>
      <c r="O30" s="6">
        <f t="shared" si="5"/>
        <v>99903.3</v>
      </c>
      <c r="P30" s="6">
        <f t="shared" si="5"/>
        <v>1095.6600000000001</v>
      </c>
      <c r="Q30" s="6">
        <f t="shared" si="5"/>
        <v>497339.2</v>
      </c>
      <c r="R30" s="6">
        <f t="shared" si="5"/>
        <v>393058.76</v>
      </c>
      <c r="S30" s="6">
        <f t="shared" si="5"/>
        <v>225494.88</v>
      </c>
      <c r="T30" s="6">
        <f t="shared" si="5"/>
        <v>54145</v>
      </c>
      <c r="U30" s="6">
        <f t="shared" si="5"/>
        <v>7332.04</v>
      </c>
      <c r="V30" s="6">
        <f t="shared" si="5"/>
        <v>257714.97</v>
      </c>
      <c r="W30" s="6">
        <f t="shared" si="5"/>
        <v>251234</v>
      </c>
      <c r="X30" s="6">
        <f t="shared" si="5"/>
        <v>113632.89</v>
      </c>
      <c r="Y30" s="6">
        <f t="shared" si="5"/>
        <v>35065</v>
      </c>
      <c r="Z30" s="6">
        <f t="shared" si="5"/>
        <v>332922.37</v>
      </c>
      <c r="AA30" s="6">
        <f t="shared" si="5"/>
        <v>6515.45</v>
      </c>
      <c r="AB30" s="6">
        <f t="shared" si="5"/>
        <v>752</v>
      </c>
      <c r="AC30" s="6">
        <f t="shared" si="5"/>
        <v>174979.93</v>
      </c>
      <c r="AD30" s="6">
        <f t="shared" si="5"/>
        <v>295178.5</v>
      </c>
      <c r="AE30" s="6">
        <f t="shared" si="5"/>
        <v>326114.28000000003</v>
      </c>
      <c r="AF30" s="6">
        <f t="shared" si="5"/>
        <v>0</v>
      </c>
      <c r="AG30" s="6">
        <f t="shared" si="0"/>
        <v>6610059.9999999991</v>
      </c>
    </row>
    <row r="31" spans="1:33" x14ac:dyDescent="0.25">
      <c r="A31" s="3" t="s">
        <v>57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5">
      <c r="A32" s="3" t="s">
        <v>58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5">
        <f t="shared" ref="AG32:AG63" si="6">((((((((((((((((((((((((((((((B32)+(C32))+(D32))+(E32))+(F32))+(G32))+(H32))+(I32))+(J32))+(K32))+(L32))+(M32))+(N32))+(O32))+(P32))+(Q32))+(R32))+(S32))+(T32))+(U32))+(V32))+(W32))+(X32))+(Y32))+(Z32))+(AA32))+(AB32))+(AC32))+(AD32))+(AE32))+(AF32)</f>
        <v>0</v>
      </c>
    </row>
    <row r="33" spans="1:33" x14ac:dyDescent="0.25">
      <c r="A33" s="3" t="s">
        <v>59</v>
      </c>
      <c r="B33" s="5">
        <f>83539.1</f>
        <v>83539.100000000006</v>
      </c>
      <c r="C33" s="4"/>
      <c r="D33" s="5">
        <f>142563.93</f>
        <v>142563.93</v>
      </c>
      <c r="E33" s="4"/>
      <c r="F33" s="5">
        <f>366346.26</f>
        <v>366346.26</v>
      </c>
      <c r="G33" s="5">
        <f>22351.08</f>
        <v>22351.08</v>
      </c>
      <c r="H33" s="5">
        <f>40747.63</f>
        <v>40747.629999999997</v>
      </c>
      <c r="I33" s="5">
        <f>48230.7</f>
        <v>48230.7</v>
      </c>
      <c r="J33" s="4"/>
      <c r="K33" s="4"/>
      <c r="L33" s="5">
        <f>-1261.18</f>
        <v>-1261.18</v>
      </c>
      <c r="M33" s="5">
        <f>23292.9</f>
        <v>23292.9</v>
      </c>
      <c r="N33" s="5">
        <f>344063.46</f>
        <v>344063.46</v>
      </c>
      <c r="O33" s="5">
        <f>55002.5</f>
        <v>55002.5</v>
      </c>
      <c r="P33" s="5">
        <f>1000</f>
        <v>1000</v>
      </c>
      <c r="Q33" s="5">
        <f>43745.2</f>
        <v>43745.2</v>
      </c>
      <c r="R33" s="4"/>
      <c r="S33" s="5">
        <f>32291.6</f>
        <v>32291.599999999999</v>
      </c>
      <c r="T33" s="5">
        <f>40882.3</f>
        <v>40882.300000000003</v>
      </c>
      <c r="U33" s="5">
        <f>12809.23</f>
        <v>12809.23</v>
      </c>
      <c r="V33" s="5">
        <f>131918.9</f>
        <v>131918.9</v>
      </c>
      <c r="W33" s="5">
        <f>104255.8</f>
        <v>104255.8</v>
      </c>
      <c r="X33" s="5">
        <f>81172.1</f>
        <v>81172.100000000006</v>
      </c>
      <c r="Y33" s="4"/>
      <c r="Z33" s="5">
        <f>124648.28</f>
        <v>124648.28</v>
      </c>
      <c r="AA33" s="5">
        <f>3217.14</f>
        <v>3217.14</v>
      </c>
      <c r="AB33" s="5">
        <f>737.46</f>
        <v>737.46</v>
      </c>
      <c r="AC33" s="5">
        <f>74367.6</f>
        <v>74367.600000000006</v>
      </c>
      <c r="AD33" s="5">
        <f>10000</f>
        <v>10000</v>
      </c>
      <c r="AE33" s="5">
        <f>123224.32</f>
        <v>123224.32000000001</v>
      </c>
      <c r="AF33" s="4"/>
      <c r="AG33" s="5">
        <f t="shared" si="6"/>
        <v>1909146.31</v>
      </c>
    </row>
    <row r="34" spans="1:33" x14ac:dyDescent="0.25">
      <c r="A34" s="3" t="s">
        <v>60</v>
      </c>
      <c r="B34" s="5">
        <f>89633.3</f>
        <v>89633.3</v>
      </c>
      <c r="C34" s="4"/>
      <c r="D34" s="5">
        <f>19987.11</f>
        <v>19987.11</v>
      </c>
      <c r="E34" s="5">
        <f>19218.8</f>
        <v>19218.8</v>
      </c>
      <c r="F34" s="5">
        <f>115770.17</f>
        <v>115770.17</v>
      </c>
      <c r="G34" s="4"/>
      <c r="H34" s="4"/>
      <c r="I34" s="4"/>
      <c r="J34" s="5">
        <f>37248.2</f>
        <v>37248.199999999997</v>
      </c>
      <c r="K34" s="4"/>
      <c r="L34" s="4"/>
      <c r="M34" s="4"/>
      <c r="N34" s="5">
        <f>18750</f>
        <v>18750</v>
      </c>
      <c r="O34" s="4"/>
      <c r="P34" s="4"/>
      <c r="Q34" s="5">
        <f>22472.9</f>
        <v>22472.9</v>
      </c>
      <c r="R34" s="5">
        <f>272762.88</f>
        <v>272762.88</v>
      </c>
      <c r="S34" s="4"/>
      <c r="T34" s="5">
        <f>31250</f>
        <v>31250</v>
      </c>
      <c r="U34" s="4"/>
      <c r="V34" s="5">
        <f>11753.72</f>
        <v>11753.72</v>
      </c>
      <c r="W34" s="5">
        <f>11639.2</f>
        <v>11639.2</v>
      </c>
      <c r="X34" s="4"/>
      <c r="Y34" s="4"/>
      <c r="Z34" s="5">
        <f>18553.14</f>
        <v>18553.14</v>
      </c>
      <c r="AA34" s="4"/>
      <c r="AB34" s="4"/>
      <c r="AC34" s="4"/>
      <c r="AD34" s="4"/>
      <c r="AE34" s="4"/>
      <c r="AF34" s="4"/>
      <c r="AG34" s="5">
        <f t="shared" si="6"/>
        <v>669039.42000000004</v>
      </c>
    </row>
    <row r="35" spans="1:33" x14ac:dyDescent="0.25">
      <c r="A35" s="3" t="s">
        <v>61</v>
      </c>
      <c r="B35" s="6">
        <f t="shared" ref="B35:AF35" si="7">((B32)+(B33))+(B34)</f>
        <v>173172.40000000002</v>
      </c>
      <c r="C35" s="6">
        <f t="shared" si="7"/>
        <v>0</v>
      </c>
      <c r="D35" s="6">
        <f t="shared" si="7"/>
        <v>162551.03999999998</v>
      </c>
      <c r="E35" s="6">
        <f t="shared" si="7"/>
        <v>19218.8</v>
      </c>
      <c r="F35" s="6">
        <f t="shared" si="7"/>
        <v>482116.43</v>
      </c>
      <c r="G35" s="6">
        <f t="shared" si="7"/>
        <v>22351.08</v>
      </c>
      <c r="H35" s="6">
        <f t="shared" si="7"/>
        <v>40747.629999999997</v>
      </c>
      <c r="I35" s="6">
        <f t="shared" si="7"/>
        <v>48230.7</v>
      </c>
      <c r="J35" s="6">
        <f t="shared" si="7"/>
        <v>37248.199999999997</v>
      </c>
      <c r="K35" s="6">
        <f t="shared" si="7"/>
        <v>0</v>
      </c>
      <c r="L35" s="6">
        <f t="shared" si="7"/>
        <v>-1261.18</v>
      </c>
      <c r="M35" s="6">
        <f t="shared" si="7"/>
        <v>23292.9</v>
      </c>
      <c r="N35" s="6">
        <f t="shared" si="7"/>
        <v>362813.46</v>
      </c>
      <c r="O35" s="6">
        <f t="shared" si="7"/>
        <v>55002.5</v>
      </c>
      <c r="P35" s="6">
        <f t="shared" si="7"/>
        <v>1000</v>
      </c>
      <c r="Q35" s="6">
        <f t="shared" si="7"/>
        <v>66218.100000000006</v>
      </c>
      <c r="R35" s="6">
        <f t="shared" si="7"/>
        <v>272762.88</v>
      </c>
      <c r="S35" s="6">
        <f t="shared" si="7"/>
        <v>32291.599999999999</v>
      </c>
      <c r="T35" s="6">
        <f t="shared" si="7"/>
        <v>72132.3</v>
      </c>
      <c r="U35" s="6">
        <f t="shared" si="7"/>
        <v>12809.23</v>
      </c>
      <c r="V35" s="6">
        <f t="shared" si="7"/>
        <v>143672.62</v>
      </c>
      <c r="W35" s="6">
        <f t="shared" si="7"/>
        <v>115895</v>
      </c>
      <c r="X35" s="6">
        <f t="shared" si="7"/>
        <v>81172.100000000006</v>
      </c>
      <c r="Y35" s="6">
        <f t="shared" si="7"/>
        <v>0</v>
      </c>
      <c r="Z35" s="6">
        <f t="shared" si="7"/>
        <v>143201.41999999998</v>
      </c>
      <c r="AA35" s="6">
        <f t="shared" si="7"/>
        <v>3217.14</v>
      </c>
      <c r="AB35" s="6">
        <f t="shared" si="7"/>
        <v>737.46</v>
      </c>
      <c r="AC35" s="6">
        <f t="shared" si="7"/>
        <v>74367.600000000006</v>
      </c>
      <c r="AD35" s="6">
        <f t="shared" si="7"/>
        <v>10000</v>
      </c>
      <c r="AE35" s="6">
        <f t="shared" si="7"/>
        <v>123224.32000000001</v>
      </c>
      <c r="AF35" s="6">
        <f t="shared" si="7"/>
        <v>0</v>
      </c>
      <c r="AG35" s="6">
        <f t="shared" si="6"/>
        <v>2578185.73</v>
      </c>
    </row>
    <row r="36" spans="1:33" x14ac:dyDescent="0.25">
      <c r="A36" s="3" t="s">
        <v>62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5">
        <f t="shared" si="6"/>
        <v>0</v>
      </c>
    </row>
    <row r="37" spans="1:33" x14ac:dyDescent="0.25">
      <c r="A37" s="3" t="s">
        <v>63</v>
      </c>
      <c r="B37" s="4"/>
      <c r="C37" s="4"/>
      <c r="D37" s="5">
        <f>22.29</f>
        <v>22.29</v>
      </c>
      <c r="E37" s="4"/>
      <c r="F37" s="4"/>
      <c r="G37" s="5">
        <f>1.58</f>
        <v>1.58</v>
      </c>
      <c r="H37" s="5">
        <f>5.35</f>
        <v>5.35</v>
      </c>
      <c r="I37" s="4"/>
      <c r="J37" s="4"/>
      <c r="K37" s="4"/>
      <c r="L37" s="5">
        <f>-0.18</f>
        <v>-0.18</v>
      </c>
      <c r="M37" s="4"/>
      <c r="N37" s="4"/>
      <c r="O37" s="4"/>
      <c r="P37" s="4"/>
      <c r="Q37" s="5">
        <f>11.2</f>
        <v>11.2</v>
      </c>
      <c r="R37" s="4"/>
      <c r="S37" s="5">
        <f>6.25</f>
        <v>6.25</v>
      </c>
      <c r="T37" s="4"/>
      <c r="U37" s="4"/>
      <c r="V37" s="5">
        <f>21.76</f>
        <v>21.76</v>
      </c>
      <c r="W37" s="5">
        <f>14.4</f>
        <v>14.4</v>
      </c>
      <c r="X37" s="5">
        <f>9.95</f>
        <v>9.9499999999999993</v>
      </c>
      <c r="Y37" s="4"/>
      <c r="Z37" s="5">
        <f>21.01</f>
        <v>21.01</v>
      </c>
      <c r="AA37" s="5">
        <f>0.75</f>
        <v>0.75</v>
      </c>
      <c r="AB37" s="4"/>
      <c r="AC37" s="5">
        <f>8.85</f>
        <v>8.85</v>
      </c>
      <c r="AD37" s="4"/>
      <c r="AE37" s="5">
        <f>12.3</f>
        <v>12.3</v>
      </c>
      <c r="AF37" s="4"/>
      <c r="AG37" s="5">
        <f t="shared" si="6"/>
        <v>135.51000000000002</v>
      </c>
    </row>
    <row r="38" spans="1:33" x14ac:dyDescent="0.25">
      <c r="A38" s="3" t="s">
        <v>64</v>
      </c>
      <c r="B38" s="5">
        <f>2768.73</f>
        <v>2768.73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5">
        <f t="shared" si="6"/>
        <v>2768.73</v>
      </c>
    </row>
    <row r="39" spans="1:33" x14ac:dyDescent="0.25">
      <c r="A39" s="3" t="s">
        <v>65</v>
      </c>
      <c r="B39" s="5">
        <f>5180.57</f>
        <v>5180.57</v>
      </c>
      <c r="C39" s="4"/>
      <c r="D39" s="5">
        <f>1039.33</f>
        <v>1039.33</v>
      </c>
      <c r="E39" s="5">
        <f>1061.39</f>
        <v>1061.3900000000001</v>
      </c>
      <c r="F39" s="5">
        <f>6855.49</f>
        <v>6855.49</v>
      </c>
      <c r="G39" s="4"/>
      <c r="H39" s="4"/>
      <c r="I39" s="4"/>
      <c r="J39" s="5">
        <f>2199.04</f>
        <v>2199.04</v>
      </c>
      <c r="K39" s="4"/>
      <c r="L39" s="4"/>
      <c r="M39" s="4"/>
      <c r="N39" s="5">
        <f>1111.63</f>
        <v>1111.6300000000001</v>
      </c>
      <c r="O39" s="4"/>
      <c r="P39" s="4"/>
      <c r="Q39" s="5">
        <f>1340.61</f>
        <v>1340.61</v>
      </c>
      <c r="R39" s="5">
        <f>16178.37</f>
        <v>16178.37</v>
      </c>
      <c r="S39" s="4"/>
      <c r="T39" s="5">
        <f>1888.97</f>
        <v>1888.97</v>
      </c>
      <c r="U39" s="4"/>
      <c r="V39" s="5">
        <f>715.19</f>
        <v>715.19</v>
      </c>
      <c r="W39" s="5">
        <f>715.06</f>
        <v>715.06</v>
      </c>
      <c r="X39" s="4"/>
      <c r="Y39" s="4"/>
      <c r="Z39" s="5">
        <f>1074.13</f>
        <v>1074.1300000000001</v>
      </c>
      <c r="AA39" s="4"/>
      <c r="AB39" s="4"/>
      <c r="AC39" s="4"/>
      <c r="AD39" s="4"/>
      <c r="AE39" s="4"/>
      <c r="AF39" s="4"/>
      <c r="AG39" s="5">
        <f t="shared" si="6"/>
        <v>39359.78</v>
      </c>
    </row>
    <row r="40" spans="1:33" x14ac:dyDescent="0.25">
      <c r="A40" s="3" t="s">
        <v>66</v>
      </c>
      <c r="B40" s="5">
        <f>2401.85</f>
        <v>2401.85</v>
      </c>
      <c r="C40" s="4"/>
      <c r="D40" s="5">
        <f>2253.14</f>
        <v>2253.14</v>
      </c>
      <c r="E40" s="5">
        <f>248.2</f>
        <v>248.2</v>
      </c>
      <c r="F40" s="5">
        <f>6714.59</f>
        <v>6714.59</v>
      </c>
      <c r="G40" s="5">
        <f>315.84</f>
        <v>315.83999999999997</v>
      </c>
      <c r="H40" s="5">
        <f>355</f>
        <v>355</v>
      </c>
      <c r="I40" s="5">
        <f>630.73</f>
        <v>630.73</v>
      </c>
      <c r="J40" s="5">
        <f>514.3</f>
        <v>514.29999999999995</v>
      </c>
      <c r="K40" s="4"/>
      <c r="L40" s="5">
        <f>-18.29</f>
        <v>-18.29</v>
      </c>
      <c r="M40" s="5">
        <f>331.85</f>
        <v>331.85</v>
      </c>
      <c r="N40" s="5">
        <f>5361.95</f>
        <v>5361.95</v>
      </c>
      <c r="O40" s="5">
        <f>324.55</f>
        <v>324.55</v>
      </c>
      <c r="P40" s="5">
        <f>14.5</f>
        <v>14.5</v>
      </c>
      <c r="Q40" s="5">
        <f>906.97</f>
        <v>906.97</v>
      </c>
      <c r="R40" s="5">
        <f>3783.67</f>
        <v>3783.67</v>
      </c>
      <c r="S40" s="5">
        <f>452.9</f>
        <v>452.9</v>
      </c>
      <c r="T40" s="5">
        <f>1015.47</f>
        <v>1015.47</v>
      </c>
      <c r="U40" s="5">
        <f>185.72</f>
        <v>185.72</v>
      </c>
      <c r="V40" s="5">
        <f>1896.46</f>
        <v>1896.46</v>
      </c>
      <c r="W40" s="5">
        <f>1716.68</f>
        <v>1716.68</v>
      </c>
      <c r="X40" s="5">
        <f>979.43</f>
        <v>979.43</v>
      </c>
      <c r="Y40" s="4"/>
      <c r="Z40" s="5">
        <f>2160.64</f>
        <v>2160.64</v>
      </c>
      <c r="AA40" s="5">
        <f>52.1</f>
        <v>52.1</v>
      </c>
      <c r="AB40" s="4"/>
      <c r="AC40" s="5">
        <f>1028.28</f>
        <v>1028.28</v>
      </c>
      <c r="AD40" s="4"/>
      <c r="AE40" s="5">
        <f>1725.71</f>
        <v>1725.71</v>
      </c>
      <c r="AF40" s="4"/>
      <c r="AG40" s="5">
        <f t="shared" si="6"/>
        <v>35352.239999999998</v>
      </c>
    </row>
    <row r="41" spans="1:33" x14ac:dyDescent="0.25">
      <c r="A41" s="3" t="s">
        <v>67</v>
      </c>
      <c r="B41" s="5">
        <f>5446.7</f>
        <v>5446.7</v>
      </c>
      <c r="C41" s="4"/>
      <c r="D41" s="5">
        <f>23578.5</f>
        <v>23578.5</v>
      </c>
      <c r="E41" s="4"/>
      <c r="F41" s="5">
        <f>10438.34</f>
        <v>10438.34</v>
      </c>
      <c r="G41" s="5">
        <f>3744.81</f>
        <v>3744.81</v>
      </c>
      <c r="H41" s="5">
        <f>4170.2</f>
        <v>4170.2</v>
      </c>
      <c r="I41" s="5">
        <f>1921</f>
        <v>1921</v>
      </c>
      <c r="J41" s="4"/>
      <c r="K41" s="4"/>
      <c r="L41" s="5">
        <f>-203.11</f>
        <v>-203.11</v>
      </c>
      <c r="M41" s="5">
        <f>698.8</f>
        <v>698.8</v>
      </c>
      <c r="N41" s="5">
        <f>11948.35</f>
        <v>11948.35</v>
      </c>
      <c r="O41" s="5">
        <f>690.1</f>
        <v>690.1</v>
      </c>
      <c r="P41" s="4"/>
      <c r="Q41" s="5">
        <f>6608.4</f>
        <v>6608.4</v>
      </c>
      <c r="R41" s="4"/>
      <c r="S41" s="5">
        <f>3699</f>
        <v>3699</v>
      </c>
      <c r="T41" s="5">
        <f>1226.5</f>
        <v>1226.5</v>
      </c>
      <c r="U41" s="5">
        <f>1761.27</f>
        <v>1761.27</v>
      </c>
      <c r="V41" s="5">
        <f>20322.01</f>
        <v>20322.009999999998</v>
      </c>
      <c r="W41" s="5">
        <f>18428.85</f>
        <v>18428.849999999999</v>
      </c>
      <c r="X41" s="5">
        <f>10302.1</f>
        <v>10302.1</v>
      </c>
      <c r="Y41" s="4"/>
      <c r="Z41" s="5">
        <f>21082.49</f>
        <v>21082.49</v>
      </c>
      <c r="AA41" s="5">
        <f>202.3</f>
        <v>202.3</v>
      </c>
      <c r="AB41" s="4"/>
      <c r="AC41" s="5">
        <f>11921.6</f>
        <v>11921.6</v>
      </c>
      <c r="AD41" s="4"/>
      <c r="AE41" s="5">
        <f>20357.55</f>
        <v>20357.55</v>
      </c>
      <c r="AF41" s="4"/>
      <c r="AG41" s="5">
        <f t="shared" si="6"/>
        <v>178345.75999999998</v>
      </c>
    </row>
    <row r="42" spans="1:33" x14ac:dyDescent="0.25">
      <c r="A42" s="3" t="s">
        <v>68</v>
      </c>
      <c r="B42" s="5">
        <f>20759.76</f>
        <v>20759.759999999998</v>
      </c>
      <c r="C42" s="4"/>
      <c r="D42" s="5">
        <f>4664.97</f>
        <v>4664.97</v>
      </c>
      <c r="E42" s="4"/>
      <c r="F42" s="5">
        <f>27020.85</f>
        <v>27020.85</v>
      </c>
      <c r="G42" s="4"/>
      <c r="H42" s="4"/>
      <c r="I42" s="4"/>
      <c r="J42" s="5">
        <f>8693.7</f>
        <v>8693.7000000000007</v>
      </c>
      <c r="K42" s="4"/>
      <c r="L42" s="4"/>
      <c r="M42" s="4"/>
      <c r="N42" s="5">
        <f>4376.3</f>
        <v>4376.3</v>
      </c>
      <c r="O42" s="4"/>
      <c r="P42" s="4"/>
      <c r="Q42" s="5">
        <f>5245.2</f>
        <v>5245.2</v>
      </c>
      <c r="R42" s="5">
        <f>57927.7</f>
        <v>57927.7</v>
      </c>
      <c r="S42" s="4"/>
      <c r="T42" s="5">
        <f>7293.8</f>
        <v>7293.8</v>
      </c>
      <c r="U42" s="4"/>
      <c r="V42" s="5">
        <f>1661.63</f>
        <v>1661.63</v>
      </c>
      <c r="W42" s="5">
        <f>1634.9</f>
        <v>1634.9</v>
      </c>
      <c r="X42" s="4"/>
      <c r="Y42" s="4"/>
      <c r="Z42" s="5">
        <f>4330.26</f>
        <v>4330.26</v>
      </c>
      <c r="AA42" s="4"/>
      <c r="AB42" s="4"/>
      <c r="AC42" s="4"/>
      <c r="AD42" s="4"/>
      <c r="AE42" s="4"/>
      <c r="AF42" s="4"/>
      <c r="AG42" s="5">
        <f t="shared" si="6"/>
        <v>143609.07</v>
      </c>
    </row>
    <row r="43" spans="1:33" x14ac:dyDescent="0.25">
      <c r="A43" s="3" t="s">
        <v>69</v>
      </c>
      <c r="B43" s="4"/>
      <c r="C43" s="4"/>
      <c r="D43" s="5">
        <f>20746.03</f>
        <v>20746.03</v>
      </c>
      <c r="E43" s="4"/>
      <c r="F43" s="4"/>
      <c r="G43" s="5">
        <f>1681.48</f>
        <v>1681.48</v>
      </c>
      <c r="H43" s="5">
        <f>1172.5</f>
        <v>1172.5</v>
      </c>
      <c r="I43" s="4"/>
      <c r="J43" s="4"/>
      <c r="K43" s="4"/>
      <c r="L43" s="5">
        <f>-201.58</f>
        <v>-201.58</v>
      </c>
      <c r="M43" s="4"/>
      <c r="N43" s="4"/>
      <c r="O43" s="4"/>
      <c r="P43" s="4"/>
      <c r="Q43" s="5">
        <f>10327.6</f>
        <v>10327.6</v>
      </c>
      <c r="R43" s="4"/>
      <c r="S43" s="5">
        <f>5002.2</f>
        <v>5002.2</v>
      </c>
      <c r="T43" s="4"/>
      <c r="U43" s="4"/>
      <c r="V43" s="5">
        <f>17564.43</f>
        <v>17564.43</v>
      </c>
      <c r="W43" s="5">
        <f>12148</f>
        <v>12148</v>
      </c>
      <c r="X43" s="5">
        <f>6270.3</f>
        <v>6270.3</v>
      </c>
      <c r="Y43" s="4"/>
      <c r="Z43" s="5">
        <f>13503.02</f>
        <v>13503.02</v>
      </c>
      <c r="AA43" s="5">
        <f>1046.55</f>
        <v>1046.55</v>
      </c>
      <c r="AB43" s="4"/>
      <c r="AC43" s="5">
        <f>7073.79</f>
        <v>7073.79</v>
      </c>
      <c r="AD43" s="4"/>
      <c r="AE43" s="5">
        <f>7588.9</f>
        <v>7588.9</v>
      </c>
      <c r="AF43" s="4"/>
      <c r="AG43" s="5">
        <f t="shared" si="6"/>
        <v>103923.22</v>
      </c>
    </row>
    <row r="44" spans="1:33" x14ac:dyDescent="0.25">
      <c r="A44" s="3" t="s">
        <v>70</v>
      </c>
      <c r="B44" s="5">
        <f>7902.13</f>
        <v>7902.13</v>
      </c>
      <c r="C44" s="4"/>
      <c r="D44" s="5">
        <f>120</f>
        <v>120</v>
      </c>
      <c r="E44" s="4"/>
      <c r="F44" s="5">
        <f>329.63</f>
        <v>329.63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>
        <f>102.95</f>
        <v>102.95</v>
      </c>
      <c r="S44" s="4"/>
      <c r="T44" s="4"/>
      <c r="U44" s="5">
        <f>54.9</f>
        <v>54.9</v>
      </c>
      <c r="V44" s="4"/>
      <c r="W44" s="5">
        <f>60</f>
        <v>60</v>
      </c>
      <c r="X44" s="4"/>
      <c r="Y44" s="4"/>
      <c r="Z44" s="4"/>
      <c r="AA44" s="4"/>
      <c r="AB44" s="4"/>
      <c r="AC44" s="5">
        <f>120</f>
        <v>120</v>
      </c>
      <c r="AD44" s="4"/>
      <c r="AE44" s="5">
        <f>120</f>
        <v>120</v>
      </c>
      <c r="AF44" s="5">
        <f>0</f>
        <v>0</v>
      </c>
      <c r="AG44" s="5">
        <f t="shared" si="6"/>
        <v>8809.61</v>
      </c>
    </row>
    <row r="45" spans="1:33" x14ac:dyDescent="0.25">
      <c r="A45" s="3" t="s">
        <v>71</v>
      </c>
      <c r="B45" s="5">
        <f>-252</f>
        <v>-252</v>
      </c>
      <c r="C45" s="4"/>
      <c r="D45" s="5">
        <f>-31.2</f>
        <v>-31.2</v>
      </c>
      <c r="E45" s="4"/>
      <c r="F45" s="4"/>
      <c r="G45" s="5">
        <f>42.9</f>
        <v>42.9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5">
        <f>-11.7</f>
        <v>-11.7</v>
      </c>
      <c r="AA45" s="4"/>
      <c r="AB45" s="4"/>
      <c r="AC45" s="4"/>
      <c r="AD45" s="4"/>
      <c r="AE45" s="4"/>
      <c r="AF45" s="4"/>
      <c r="AG45" s="5">
        <f t="shared" si="6"/>
        <v>-251.99999999999997</v>
      </c>
    </row>
    <row r="46" spans="1:33" x14ac:dyDescent="0.25">
      <c r="A46" s="3" t="s">
        <v>72</v>
      </c>
      <c r="B46" s="4"/>
      <c r="C46" s="4"/>
      <c r="D46" s="5">
        <f>3065.8</f>
        <v>3065.8</v>
      </c>
      <c r="E46" s="4"/>
      <c r="F46" s="5">
        <f>4821.16</f>
        <v>4821.16</v>
      </c>
      <c r="G46" s="5">
        <f>667.03</f>
        <v>667.03</v>
      </c>
      <c r="H46" s="4"/>
      <c r="I46" s="5">
        <f>964.6</f>
        <v>964.6</v>
      </c>
      <c r="J46" s="5">
        <f>744.95</f>
        <v>744.95</v>
      </c>
      <c r="K46" s="4"/>
      <c r="L46" s="4"/>
      <c r="M46" s="5">
        <f>232.95</f>
        <v>232.95</v>
      </c>
      <c r="N46" s="5">
        <f>7256.27</f>
        <v>7256.27</v>
      </c>
      <c r="O46" s="5">
        <f>460.05</f>
        <v>460.05</v>
      </c>
      <c r="P46" s="4"/>
      <c r="Q46" s="5">
        <f>1324.35</f>
        <v>1324.35</v>
      </c>
      <c r="R46" s="4"/>
      <c r="S46" s="5">
        <f>645.85</f>
        <v>645.85</v>
      </c>
      <c r="T46" s="4"/>
      <c r="U46" s="4"/>
      <c r="V46" s="4"/>
      <c r="W46" s="4"/>
      <c r="X46" s="5">
        <f>1678.87</f>
        <v>1678.87</v>
      </c>
      <c r="Y46" s="4"/>
      <c r="Z46" s="5">
        <f>2721.57</f>
        <v>2721.57</v>
      </c>
      <c r="AA46" s="4"/>
      <c r="AB46" s="4"/>
      <c r="AC46" s="5">
        <f>1487.35</f>
        <v>1487.35</v>
      </c>
      <c r="AD46" s="4"/>
      <c r="AE46" s="5">
        <f>2464.5</f>
        <v>2464.5</v>
      </c>
      <c r="AF46" s="4"/>
      <c r="AG46" s="5">
        <f t="shared" si="6"/>
        <v>28535.299999999996</v>
      </c>
    </row>
    <row r="47" spans="1:33" x14ac:dyDescent="0.25">
      <c r="A47" s="3" t="s">
        <v>73</v>
      </c>
      <c r="B47" s="4"/>
      <c r="C47" s="4"/>
      <c r="D47" s="5">
        <f>178.32</f>
        <v>178.32</v>
      </c>
      <c r="E47" s="4"/>
      <c r="F47" s="4"/>
      <c r="G47" s="5">
        <f>12.64</f>
        <v>12.64</v>
      </c>
      <c r="H47" s="5">
        <f>42.8</f>
        <v>42.8</v>
      </c>
      <c r="I47" s="4"/>
      <c r="J47" s="4"/>
      <c r="K47" s="4"/>
      <c r="L47" s="5">
        <f>-1.44</f>
        <v>-1.44</v>
      </c>
      <c r="M47" s="4"/>
      <c r="N47" s="4"/>
      <c r="O47" s="4"/>
      <c r="P47" s="4"/>
      <c r="Q47" s="5">
        <f>89.6</f>
        <v>89.6</v>
      </c>
      <c r="R47" s="4"/>
      <c r="S47" s="5">
        <f>50</f>
        <v>50</v>
      </c>
      <c r="T47" s="4"/>
      <c r="U47" s="4"/>
      <c r="V47" s="5">
        <f>174.08</f>
        <v>174.08</v>
      </c>
      <c r="W47" s="5">
        <f>115.2</f>
        <v>115.2</v>
      </c>
      <c r="X47" s="5">
        <f>79.6</f>
        <v>79.599999999999994</v>
      </c>
      <c r="Y47" s="4"/>
      <c r="Z47" s="5">
        <f>168.08</f>
        <v>168.08</v>
      </c>
      <c r="AA47" s="5">
        <f>6</f>
        <v>6</v>
      </c>
      <c r="AB47" s="4"/>
      <c r="AC47" s="5">
        <f>70.8</f>
        <v>70.8</v>
      </c>
      <c r="AD47" s="4"/>
      <c r="AE47" s="5">
        <f>98.4</f>
        <v>98.4</v>
      </c>
      <c r="AF47" s="4"/>
      <c r="AG47" s="5">
        <f t="shared" si="6"/>
        <v>1084.0800000000002</v>
      </c>
    </row>
    <row r="48" spans="1:33" x14ac:dyDescent="0.25">
      <c r="A48" s="3" t="s">
        <v>74</v>
      </c>
      <c r="B48" s="6">
        <f t="shared" ref="B48:AF48" si="8">(((((((((((B36)+(B37))+(B38))+(B39))+(B40))+(B41))+(B42))+(B43))+(B44))+(B45))+(B46))+(B47)</f>
        <v>44207.74</v>
      </c>
      <c r="C48" s="6">
        <f t="shared" si="8"/>
        <v>0</v>
      </c>
      <c r="D48" s="6">
        <f t="shared" si="8"/>
        <v>55637.18</v>
      </c>
      <c r="E48" s="6">
        <f t="shared" si="8"/>
        <v>1309.5900000000001</v>
      </c>
      <c r="F48" s="6">
        <f t="shared" si="8"/>
        <v>56180.06</v>
      </c>
      <c r="G48" s="6">
        <f t="shared" si="8"/>
        <v>6466.28</v>
      </c>
      <c r="H48" s="6">
        <f t="shared" si="8"/>
        <v>5745.85</v>
      </c>
      <c r="I48" s="6">
        <f t="shared" si="8"/>
        <v>3516.33</v>
      </c>
      <c r="J48" s="6">
        <f t="shared" si="8"/>
        <v>12151.990000000002</v>
      </c>
      <c r="K48" s="6">
        <f t="shared" si="8"/>
        <v>0</v>
      </c>
      <c r="L48" s="6">
        <f t="shared" si="8"/>
        <v>-424.6</v>
      </c>
      <c r="M48" s="6">
        <f t="shared" si="8"/>
        <v>1263.6000000000001</v>
      </c>
      <c r="N48" s="6">
        <f t="shared" si="8"/>
        <v>30054.5</v>
      </c>
      <c r="O48" s="6">
        <f t="shared" si="8"/>
        <v>1474.7</v>
      </c>
      <c r="P48" s="6">
        <f t="shared" si="8"/>
        <v>14.5</v>
      </c>
      <c r="Q48" s="6">
        <f t="shared" si="8"/>
        <v>25853.93</v>
      </c>
      <c r="R48" s="6">
        <f t="shared" si="8"/>
        <v>77992.689999999988</v>
      </c>
      <c r="S48" s="6">
        <f t="shared" si="8"/>
        <v>9856.1999999999989</v>
      </c>
      <c r="T48" s="6">
        <f t="shared" si="8"/>
        <v>11424.740000000002</v>
      </c>
      <c r="U48" s="6">
        <f t="shared" si="8"/>
        <v>2001.89</v>
      </c>
      <c r="V48" s="6">
        <f t="shared" si="8"/>
        <v>42355.56</v>
      </c>
      <c r="W48" s="6">
        <f t="shared" si="8"/>
        <v>34833.089999999997</v>
      </c>
      <c r="X48" s="6">
        <f t="shared" si="8"/>
        <v>19320.249999999996</v>
      </c>
      <c r="Y48" s="6">
        <f t="shared" si="8"/>
        <v>0</v>
      </c>
      <c r="Z48" s="6">
        <f t="shared" si="8"/>
        <v>45049.500000000007</v>
      </c>
      <c r="AA48" s="6">
        <f t="shared" si="8"/>
        <v>1307.7</v>
      </c>
      <c r="AB48" s="6">
        <f t="shared" si="8"/>
        <v>0</v>
      </c>
      <c r="AC48" s="6">
        <f t="shared" si="8"/>
        <v>21710.67</v>
      </c>
      <c r="AD48" s="6">
        <f t="shared" si="8"/>
        <v>0</v>
      </c>
      <c r="AE48" s="6">
        <f t="shared" si="8"/>
        <v>32367.360000000001</v>
      </c>
      <c r="AF48" s="6">
        <f t="shared" si="8"/>
        <v>0</v>
      </c>
      <c r="AG48" s="6">
        <f t="shared" si="6"/>
        <v>541671.29999999993</v>
      </c>
    </row>
    <row r="49" spans="1:33" x14ac:dyDescent="0.25">
      <c r="A49" s="3" t="s">
        <v>75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5">
        <f t="shared" si="6"/>
        <v>0</v>
      </c>
    </row>
    <row r="50" spans="1:33" x14ac:dyDescent="0.25">
      <c r="A50" s="3" t="s">
        <v>76</v>
      </c>
      <c r="B50" s="5">
        <f>7760.18</f>
        <v>7760.18</v>
      </c>
      <c r="C50" s="4"/>
      <c r="D50" s="5">
        <f>3389.17</f>
        <v>3389.17</v>
      </c>
      <c r="E50" s="4"/>
      <c r="F50" s="5">
        <f>652.5</f>
        <v>652.5</v>
      </c>
      <c r="G50" s="4"/>
      <c r="H50" s="4"/>
      <c r="I50" s="5">
        <f>86</f>
        <v>86</v>
      </c>
      <c r="J50" s="4"/>
      <c r="K50" s="4"/>
      <c r="L50" s="4"/>
      <c r="M50" s="4"/>
      <c r="N50" s="5">
        <f>63.25</f>
        <v>63.25</v>
      </c>
      <c r="O50" s="5">
        <f>15</f>
        <v>15</v>
      </c>
      <c r="P50" s="4"/>
      <c r="Q50" s="4"/>
      <c r="R50" s="5">
        <f>189.75</f>
        <v>189.75</v>
      </c>
      <c r="S50" s="4"/>
      <c r="T50" s="4"/>
      <c r="U50" s="5">
        <f>1094.25</f>
        <v>1094.25</v>
      </c>
      <c r="V50" s="5">
        <f>1276.31</f>
        <v>1276.31</v>
      </c>
      <c r="W50" s="5">
        <f>3715.27</f>
        <v>3715.27</v>
      </c>
      <c r="X50" s="5">
        <f>1352.25</f>
        <v>1352.25</v>
      </c>
      <c r="Y50" s="5">
        <f>7576</f>
        <v>7576</v>
      </c>
      <c r="Z50" s="4"/>
      <c r="AA50" s="4"/>
      <c r="AB50" s="4"/>
      <c r="AC50" s="5">
        <f>-1569.13</f>
        <v>-1569.13</v>
      </c>
      <c r="AD50" s="4"/>
      <c r="AE50" s="5">
        <f>73.25</f>
        <v>73.25</v>
      </c>
      <c r="AF50" s="4"/>
      <c r="AG50" s="5">
        <f t="shared" si="6"/>
        <v>25674.05</v>
      </c>
    </row>
    <row r="51" spans="1:33" x14ac:dyDescent="0.25">
      <c r="A51" s="3" t="s">
        <v>77</v>
      </c>
      <c r="B51" s="5">
        <f>17600</f>
        <v>17600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5">
        <f t="shared" si="6"/>
        <v>17600</v>
      </c>
    </row>
    <row r="52" spans="1:33" x14ac:dyDescent="0.25">
      <c r="A52" s="3" t="s">
        <v>78</v>
      </c>
      <c r="B52" s="5">
        <f>3369.41</f>
        <v>3369.41</v>
      </c>
      <c r="C52" s="4"/>
      <c r="D52" s="4"/>
      <c r="E52" s="4"/>
      <c r="F52" s="5">
        <f>2647.38</f>
        <v>2647.38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5">
        <f t="shared" si="6"/>
        <v>6016.79</v>
      </c>
    </row>
    <row r="53" spans="1:33" x14ac:dyDescent="0.25">
      <c r="A53" s="3" t="s">
        <v>79</v>
      </c>
      <c r="B53" s="5">
        <f>1090.55</f>
        <v>1090.55</v>
      </c>
      <c r="C53" s="4"/>
      <c r="D53" s="5">
        <f>2488.92</f>
        <v>2488.92</v>
      </c>
      <c r="E53" s="4"/>
      <c r="F53" s="5">
        <f>5387.1</f>
        <v>5387.1</v>
      </c>
      <c r="G53" s="5">
        <f>20.22</f>
        <v>20.22</v>
      </c>
      <c r="H53" s="5">
        <f>97.62</f>
        <v>97.62</v>
      </c>
      <c r="I53" s="5">
        <f>195.24</f>
        <v>195.24</v>
      </c>
      <c r="J53" s="4"/>
      <c r="K53" s="4"/>
      <c r="L53" s="4"/>
      <c r="M53" s="5">
        <f>97.62</f>
        <v>97.62</v>
      </c>
      <c r="N53" s="4"/>
      <c r="O53" s="4"/>
      <c r="P53" s="4"/>
      <c r="Q53" s="5">
        <f>175.02</f>
        <v>175.02</v>
      </c>
      <c r="R53" s="4"/>
      <c r="S53" s="4"/>
      <c r="T53" s="4"/>
      <c r="U53" s="4"/>
      <c r="V53" s="5">
        <f>181.98</f>
        <v>181.98</v>
      </c>
      <c r="W53" s="5">
        <f>4332.19</f>
        <v>4332.1899999999996</v>
      </c>
      <c r="X53" s="5">
        <f>195.24</f>
        <v>195.24</v>
      </c>
      <c r="Y53" s="4"/>
      <c r="Z53" s="5">
        <f>2350.86</f>
        <v>2350.86</v>
      </c>
      <c r="AA53" s="4"/>
      <c r="AB53" s="4"/>
      <c r="AC53" s="5">
        <f>4196.4</f>
        <v>4196.3999999999996</v>
      </c>
      <c r="AD53" s="4"/>
      <c r="AE53" s="5">
        <f>309.6</f>
        <v>309.60000000000002</v>
      </c>
      <c r="AF53" s="4"/>
      <c r="AG53" s="5">
        <f t="shared" si="6"/>
        <v>21118.559999999998</v>
      </c>
    </row>
    <row r="54" spans="1:33" x14ac:dyDescent="0.25">
      <c r="A54" s="3" t="s">
        <v>80</v>
      </c>
      <c r="B54" s="6">
        <f t="shared" ref="B54:AF54" si="9">((((B49)+(B50))+(B51))+(B52))+(B53)</f>
        <v>29820.14</v>
      </c>
      <c r="C54" s="6">
        <f t="shared" si="9"/>
        <v>0</v>
      </c>
      <c r="D54" s="6">
        <f t="shared" si="9"/>
        <v>5878.09</v>
      </c>
      <c r="E54" s="6">
        <f t="shared" si="9"/>
        <v>0</v>
      </c>
      <c r="F54" s="6">
        <f t="shared" si="9"/>
        <v>8686.98</v>
      </c>
      <c r="G54" s="6">
        <f t="shared" si="9"/>
        <v>20.22</v>
      </c>
      <c r="H54" s="6">
        <f t="shared" si="9"/>
        <v>97.62</v>
      </c>
      <c r="I54" s="6">
        <f t="shared" si="9"/>
        <v>281.24</v>
      </c>
      <c r="J54" s="6">
        <f t="shared" si="9"/>
        <v>0</v>
      </c>
      <c r="K54" s="6">
        <f t="shared" si="9"/>
        <v>0</v>
      </c>
      <c r="L54" s="6">
        <f t="shared" si="9"/>
        <v>0</v>
      </c>
      <c r="M54" s="6">
        <f t="shared" si="9"/>
        <v>97.62</v>
      </c>
      <c r="N54" s="6">
        <f t="shared" si="9"/>
        <v>63.25</v>
      </c>
      <c r="O54" s="6">
        <f t="shared" si="9"/>
        <v>15</v>
      </c>
      <c r="P54" s="6">
        <f t="shared" si="9"/>
        <v>0</v>
      </c>
      <c r="Q54" s="6">
        <f t="shared" si="9"/>
        <v>175.02</v>
      </c>
      <c r="R54" s="6">
        <f t="shared" si="9"/>
        <v>189.75</v>
      </c>
      <c r="S54" s="6">
        <f t="shared" si="9"/>
        <v>0</v>
      </c>
      <c r="T54" s="6">
        <f t="shared" si="9"/>
        <v>0</v>
      </c>
      <c r="U54" s="6">
        <f t="shared" si="9"/>
        <v>1094.25</v>
      </c>
      <c r="V54" s="6">
        <f t="shared" si="9"/>
        <v>1458.29</v>
      </c>
      <c r="W54" s="6">
        <f t="shared" si="9"/>
        <v>8047.4599999999991</v>
      </c>
      <c r="X54" s="6">
        <f t="shared" si="9"/>
        <v>1547.49</v>
      </c>
      <c r="Y54" s="6">
        <f t="shared" si="9"/>
        <v>7576</v>
      </c>
      <c r="Z54" s="6">
        <f t="shared" si="9"/>
        <v>2350.86</v>
      </c>
      <c r="AA54" s="6">
        <f t="shared" si="9"/>
        <v>0</v>
      </c>
      <c r="AB54" s="6">
        <f t="shared" si="9"/>
        <v>0</v>
      </c>
      <c r="AC54" s="6">
        <f t="shared" si="9"/>
        <v>2627.2699999999995</v>
      </c>
      <c r="AD54" s="6">
        <f t="shared" si="9"/>
        <v>0</v>
      </c>
      <c r="AE54" s="6">
        <f t="shared" si="9"/>
        <v>382.85</v>
      </c>
      <c r="AF54" s="6">
        <f t="shared" si="9"/>
        <v>0</v>
      </c>
      <c r="AG54" s="6">
        <f t="shared" si="6"/>
        <v>70409.399999999994</v>
      </c>
    </row>
    <row r="55" spans="1:33" x14ac:dyDescent="0.25">
      <c r="A55" s="3" t="s">
        <v>81</v>
      </c>
      <c r="B55" s="5">
        <f>15947</f>
        <v>15947</v>
      </c>
      <c r="C55" s="4"/>
      <c r="D55" s="5">
        <f>4805</f>
        <v>4805</v>
      </c>
      <c r="E55" s="4"/>
      <c r="F55" s="5">
        <f>1085.5</f>
        <v>1085.5</v>
      </c>
      <c r="G55" s="5">
        <f>22388.88</f>
        <v>22388.880000000001</v>
      </c>
      <c r="H55" s="5">
        <f>20920.5</f>
        <v>20920.5</v>
      </c>
      <c r="I55" s="4"/>
      <c r="J55" s="4"/>
      <c r="K55" s="5">
        <f>15000</f>
        <v>15000</v>
      </c>
      <c r="L55" s="4"/>
      <c r="M55" s="4"/>
      <c r="N55" s="4"/>
      <c r="O55" s="4"/>
      <c r="P55" s="4"/>
      <c r="Q55" s="5">
        <f>64240.65</f>
        <v>64240.65</v>
      </c>
      <c r="R55" s="4"/>
      <c r="S55" s="4"/>
      <c r="T55" s="4"/>
      <c r="U55" s="5">
        <f>1880</f>
        <v>1880</v>
      </c>
      <c r="V55" s="4"/>
      <c r="W55" s="4"/>
      <c r="X55" s="4"/>
      <c r="Y55" s="4"/>
      <c r="Z55" s="5">
        <f>257796.34</f>
        <v>257796.34</v>
      </c>
      <c r="AA55" s="4"/>
      <c r="AB55" s="4"/>
      <c r="AC55" s="5">
        <f>20000</f>
        <v>20000</v>
      </c>
      <c r="AD55" s="5">
        <f>156170.19</f>
        <v>156170.19</v>
      </c>
      <c r="AE55" s="5">
        <f>170</f>
        <v>170</v>
      </c>
      <c r="AF55" s="4"/>
      <c r="AG55" s="5">
        <f t="shared" si="6"/>
        <v>580404.06000000006</v>
      </c>
    </row>
    <row r="56" spans="1:33" x14ac:dyDescent="0.25">
      <c r="A56" s="3" t="s">
        <v>82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5">
        <f t="shared" si="6"/>
        <v>0</v>
      </c>
    </row>
    <row r="57" spans="1:33" x14ac:dyDescent="0.25">
      <c r="A57" s="3" t="s">
        <v>83</v>
      </c>
      <c r="B57" s="5">
        <f>114.38</f>
        <v>114.38</v>
      </c>
      <c r="C57" s="4"/>
      <c r="D57" s="4"/>
      <c r="E57" s="4"/>
      <c r="F57" s="5">
        <f>232.23</f>
        <v>232.23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5">
        <f t="shared" si="6"/>
        <v>346.61</v>
      </c>
    </row>
    <row r="58" spans="1:33" x14ac:dyDescent="0.25">
      <c r="A58" s="3" t="s">
        <v>84</v>
      </c>
      <c r="B58" s="5">
        <f>1737.45</f>
        <v>1737.45</v>
      </c>
      <c r="C58" s="4"/>
      <c r="D58" s="4"/>
      <c r="E58" s="4"/>
      <c r="F58" s="5">
        <f>3527.55</f>
        <v>3527.55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5">
        <f t="shared" si="6"/>
        <v>5265</v>
      </c>
    </row>
    <row r="59" spans="1:33" x14ac:dyDescent="0.25">
      <c r="A59" s="3" t="s">
        <v>85</v>
      </c>
      <c r="B59" s="5">
        <f>806.02</f>
        <v>806.02</v>
      </c>
      <c r="C59" s="4"/>
      <c r="D59" s="4"/>
      <c r="E59" s="4"/>
      <c r="F59" s="5">
        <f>1806.48</f>
        <v>1806.48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5">
        <f t="shared" si="6"/>
        <v>2612.5</v>
      </c>
    </row>
    <row r="60" spans="1:33" x14ac:dyDescent="0.25">
      <c r="A60" s="3" t="s">
        <v>86</v>
      </c>
      <c r="B60" s="5">
        <f>15461.83</f>
        <v>15461.83</v>
      </c>
      <c r="C60" s="4"/>
      <c r="D60" s="4"/>
      <c r="E60" s="4"/>
      <c r="F60" s="5">
        <f>204940.36</f>
        <v>204940.36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5">
        <f>2129.9</f>
        <v>2129.9</v>
      </c>
      <c r="AE60" s="4"/>
      <c r="AF60" s="4"/>
      <c r="AG60" s="5">
        <f t="shared" si="6"/>
        <v>222532.08999999997</v>
      </c>
    </row>
    <row r="61" spans="1:33" x14ac:dyDescent="0.25">
      <c r="A61" s="3" t="s">
        <v>87</v>
      </c>
      <c r="B61" s="4"/>
      <c r="C61" s="4"/>
      <c r="D61" s="5">
        <f>14000</f>
        <v>14000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5">
        <f>700</f>
        <v>700</v>
      </c>
      <c r="P61" s="4"/>
      <c r="Q61" s="4"/>
      <c r="R61" s="4"/>
      <c r="S61" s="4"/>
      <c r="T61" s="4"/>
      <c r="U61" s="4"/>
      <c r="V61" s="4"/>
      <c r="W61" s="5">
        <f>40000</f>
        <v>40000</v>
      </c>
      <c r="X61" s="4"/>
      <c r="Y61" s="4"/>
      <c r="Z61" s="5">
        <f>7000</f>
        <v>7000</v>
      </c>
      <c r="AA61" s="4"/>
      <c r="AB61" s="4"/>
      <c r="AC61" s="4"/>
      <c r="AD61" s="4"/>
      <c r="AE61" s="4"/>
      <c r="AF61" s="4"/>
      <c r="AG61" s="5">
        <f t="shared" si="6"/>
        <v>61700</v>
      </c>
    </row>
    <row r="62" spans="1:33" x14ac:dyDescent="0.25">
      <c r="A62" s="3" t="s">
        <v>88</v>
      </c>
      <c r="B62" s="5">
        <f>5349.87</f>
        <v>5349.87</v>
      </c>
      <c r="C62" s="4"/>
      <c r="D62" s="4"/>
      <c r="E62" s="4"/>
      <c r="F62" s="5">
        <f>10882.57</f>
        <v>10882.57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5">
        <f t="shared" si="6"/>
        <v>16232.439999999999</v>
      </c>
    </row>
    <row r="63" spans="1:33" x14ac:dyDescent="0.25">
      <c r="A63" s="3" t="s">
        <v>89</v>
      </c>
      <c r="B63" s="5">
        <f>1395.7</f>
        <v>1395.7</v>
      </c>
      <c r="C63" s="4"/>
      <c r="D63" s="5">
        <f>2453.21</f>
        <v>2453.21</v>
      </c>
      <c r="E63" s="4"/>
      <c r="F63" s="5">
        <f>802.85</f>
        <v>802.85</v>
      </c>
      <c r="G63" s="4"/>
      <c r="H63" s="4"/>
      <c r="I63" s="5">
        <f>2126.7</f>
        <v>2126.6999999999998</v>
      </c>
      <c r="J63" s="4"/>
      <c r="K63" s="4"/>
      <c r="L63" s="4"/>
      <c r="M63" s="4"/>
      <c r="N63" s="4"/>
      <c r="O63" s="5">
        <f>92.85</f>
        <v>92.85</v>
      </c>
      <c r="P63" s="4"/>
      <c r="Q63" s="5">
        <f>185.7</f>
        <v>185.7</v>
      </c>
      <c r="R63" s="4"/>
      <c r="S63" s="4"/>
      <c r="T63" s="4"/>
      <c r="U63" s="5">
        <f>18.83</f>
        <v>18.829999999999998</v>
      </c>
      <c r="V63" s="5">
        <f>560.85</f>
        <v>560.85</v>
      </c>
      <c r="W63" s="5">
        <f>463.17</f>
        <v>463.17</v>
      </c>
      <c r="X63" s="5">
        <f>112.38</f>
        <v>112.38</v>
      </c>
      <c r="Y63" s="4"/>
      <c r="Z63" s="5">
        <f>334.74</f>
        <v>334.74</v>
      </c>
      <c r="AA63" s="5">
        <f>1694.8</f>
        <v>1694.8</v>
      </c>
      <c r="AB63" s="4"/>
      <c r="AC63" s="5">
        <f>149.04</f>
        <v>149.04</v>
      </c>
      <c r="AD63" s="4"/>
      <c r="AE63" s="5">
        <f>298.08</f>
        <v>298.08</v>
      </c>
      <c r="AF63" s="4"/>
      <c r="AG63" s="5">
        <f t="shared" si="6"/>
        <v>10688.9</v>
      </c>
    </row>
    <row r="64" spans="1:33" x14ac:dyDescent="0.25">
      <c r="A64" s="3" t="s">
        <v>90</v>
      </c>
      <c r="B64" s="4"/>
      <c r="C64" s="4"/>
      <c r="D64" s="4"/>
      <c r="E64" s="4"/>
      <c r="F64" s="5">
        <f>327.19</f>
        <v>327.19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5">
        <f t="shared" ref="AG64:AG95" si="10">((((((((((((((((((((((((((((((B64)+(C64))+(D64))+(E64))+(F64))+(G64))+(H64))+(I64))+(J64))+(K64))+(L64))+(M64))+(N64))+(O64))+(P64))+(Q64))+(R64))+(S64))+(T64))+(U64))+(V64))+(W64))+(X64))+(Y64))+(Z64))+(AA64))+(AB64))+(AC64))+(AD64))+(AE64))+(AF64)</f>
        <v>327.19</v>
      </c>
    </row>
    <row r="65" spans="1:33" x14ac:dyDescent="0.25">
      <c r="A65" s="3" t="s">
        <v>91</v>
      </c>
      <c r="B65" s="5">
        <f>5151.33</f>
        <v>5151.33</v>
      </c>
      <c r="C65" s="4"/>
      <c r="D65" s="4"/>
      <c r="E65" s="4"/>
      <c r="F65" s="5">
        <f>4744.66</f>
        <v>4744.66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>
        <f>1226</f>
        <v>1226</v>
      </c>
      <c r="W65" s="4"/>
      <c r="X65" s="4"/>
      <c r="Y65" s="4"/>
      <c r="Z65" s="5">
        <f>2357.19</f>
        <v>2357.19</v>
      </c>
      <c r="AA65" s="4"/>
      <c r="AB65" s="4"/>
      <c r="AC65" s="5">
        <f>4764</f>
        <v>4764</v>
      </c>
      <c r="AD65" s="4"/>
      <c r="AE65" s="5">
        <f>9468.64</f>
        <v>9468.64</v>
      </c>
      <c r="AF65" s="4"/>
      <c r="AG65" s="5">
        <f t="shared" si="10"/>
        <v>27711.82</v>
      </c>
    </row>
    <row r="66" spans="1:33" x14ac:dyDescent="0.25">
      <c r="A66" s="3" t="s">
        <v>92</v>
      </c>
      <c r="B66" s="6">
        <f t="shared" ref="B66:AF66" si="11">(((((((((B56)+(B57))+(B58))+(B59))+(B60))+(B61))+(B62))+(B63))+(B64))+(B65)</f>
        <v>30016.58</v>
      </c>
      <c r="C66" s="6">
        <f t="shared" si="11"/>
        <v>0</v>
      </c>
      <c r="D66" s="6">
        <f t="shared" si="11"/>
        <v>16453.21</v>
      </c>
      <c r="E66" s="6">
        <f t="shared" si="11"/>
        <v>0</v>
      </c>
      <c r="F66" s="6">
        <f t="shared" si="11"/>
        <v>227263.89</v>
      </c>
      <c r="G66" s="6">
        <f t="shared" si="11"/>
        <v>0</v>
      </c>
      <c r="H66" s="6">
        <f t="shared" si="11"/>
        <v>0</v>
      </c>
      <c r="I66" s="6">
        <f t="shared" si="11"/>
        <v>2126.6999999999998</v>
      </c>
      <c r="J66" s="6">
        <f t="shared" si="11"/>
        <v>0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792.85</v>
      </c>
      <c r="P66" s="6">
        <f t="shared" si="11"/>
        <v>0</v>
      </c>
      <c r="Q66" s="6">
        <f t="shared" si="11"/>
        <v>185.7</v>
      </c>
      <c r="R66" s="6">
        <f t="shared" si="11"/>
        <v>0</v>
      </c>
      <c r="S66" s="6">
        <f t="shared" si="11"/>
        <v>0</v>
      </c>
      <c r="T66" s="6">
        <f t="shared" si="11"/>
        <v>0</v>
      </c>
      <c r="U66" s="6">
        <f t="shared" si="11"/>
        <v>18.829999999999998</v>
      </c>
      <c r="V66" s="6">
        <f t="shared" si="11"/>
        <v>1786.85</v>
      </c>
      <c r="W66" s="6">
        <f t="shared" si="11"/>
        <v>40463.17</v>
      </c>
      <c r="X66" s="6">
        <f t="shared" si="11"/>
        <v>112.38</v>
      </c>
      <c r="Y66" s="6">
        <f t="shared" si="11"/>
        <v>0</v>
      </c>
      <c r="Z66" s="6">
        <f t="shared" si="11"/>
        <v>9691.93</v>
      </c>
      <c r="AA66" s="6">
        <f t="shared" si="11"/>
        <v>1694.8</v>
      </c>
      <c r="AB66" s="6">
        <f t="shared" si="11"/>
        <v>0</v>
      </c>
      <c r="AC66" s="6">
        <f t="shared" si="11"/>
        <v>4913.04</v>
      </c>
      <c r="AD66" s="6">
        <f t="shared" si="11"/>
        <v>2129.9</v>
      </c>
      <c r="AE66" s="6">
        <f t="shared" si="11"/>
        <v>9766.7199999999993</v>
      </c>
      <c r="AF66" s="6">
        <f t="shared" si="11"/>
        <v>0</v>
      </c>
      <c r="AG66" s="6">
        <f t="shared" si="10"/>
        <v>347416.54999999993</v>
      </c>
    </row>
    <row r="67" spans="1:33" x14ac:dyDescent="0.25">
      <c r="A67" s="3" t="s">
        <v>93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5">
        <f t="shared" si="10"/>
        <v>0</v>
      </c>
    </row>
    <row r="68" spans="1:33" x14ac:dyDescent="0.25">
      <c r="A68" s="3" t="s">
        <v>94</v>
      </c>
      <c r="B68" s="5">
        <f>19991</f>
        <v>19991</v>
      </c>
      <c r="C68" s="4"/>
      <c r="D68" s="4"/>
      <c r="E68" s="4"/>
      <c r="F68" s="5">
        <f>7528.8</f>
        <v>7528.8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5">
        <f t="shared" si="10"/>
        <v>27519.8</v>
      </c>
    </row>
    <row r="69" spans="1:33" x14ac:dyDescent="0.25">
      <c r="A69" s="3" t="s">
        <v>95</v>
      </c>
      <c r="B69" s="5">
        <f>5693.75</f>
        <v>5693.75</v>
      </c>
      <c r="C69" s="4"/>
      <c r="D69" s="4"/>
      <c r="E69" s="4"/>
      <c r="F69" s="5">
        <f>5693.75</f>
        <v>5693.75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5">
        <f t="shared" si="10"/>
        <v>11387.5</v>
      </c>
    </row>
    <row r="70" spans="1:33" x14ac:dyDescent="0.25">
      <c r="A70" s="3" t="s">
        <v>96</v>
      </c>
      <c r="B70" s="5">
        <f>2142.05</f>
        <v>2142.0500000000002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5">
        <f t="shared" si="10"/>
        <v>2142.0500000000002</v>
      </c>
    </row>
    <row r="71" spans="1:33" x14ac:dyDescent="0.25">
      <c r="A71" s="3" t="s">
        <v>97</v>
      </c>
      <c r="B71" s="6">
        <f t="shared" ref="B71:AF71" si="12">(((B67)+(B68))+(B69))+(B70)</f>
        <v>27826.799999999999</v>
      </c>
      <c r="C71" s="6">
        <f t="shared" si="12"/>
        <v>0</v>
      </c>
      <c r="D71" s="6">
        <f t="shared" si="12"/>
        <v>0</v>
      </c>
      <c r="E71" s="6">
        <f t="shared" si="12"/>
        <v>0</v>
      </c>
      <c r="F71" s="6">
        <f t="shared" si="12"/>
        <v>13222.55</v>
      </c>
      <c r="G71" s="6">
        <f t="shared" si="12"/>
        <v>0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0</v>
      </c>
      <c r="P71" s="6">
        <f t="shared" si="12"/>
        <v>0</v>
      </c>
      <c r="Q71" s="6">
        <f t="shared" si="12"/>
        <v>0</v>
      </c>
      <c r="R71" s="6">
        <f t="shared" si="12"/>
        <v>0</v>
      </c>
      <c r="S71" s="6">
        <f t="shared" si="12"/>
        <v>0</v>
      </c>
      <c r="T71" s="6">
        <f t="shared" si="12"/>
        <v>0</v>
      </c>
      <c r="U71" s="6">
        <f t="shared" si="12"/>
        <v>0</v>
      </c>
      <c r="V71" s="6">
        <f t="shared" si="12"/>
        <v>0</v>
      </c>
      <c r="W71" s="6">
        <f t="shared" si="12"/>
        <v>0</v>
      </c>
      <c r="X71" s="6">
        <f t="shared" si="12"/>
        <v>0</v>
      </c>
      <c r="Y71" s="6">
        <f t="shared" si="12"/>
        <v>0</v>
      </c>
      <c r="Z71" s="6">
        <f t="shared" si="12"/>
        <v>0</v>
      </c>
      <c r="AA71" s="6">
        <f t="shared" si="12"/>
        <v>0</v>
      </c>
      <c r="AB71" s="6">
        <f t="shared" si="12"/>
        <v>0</v>
      </c>
      <c r="AC71" s="6">
        <f t="shared" si="12"/>
        <v>0</v>
      </c>
      <c r="AD71" s="6">
        <f t="shared" si="12"/>
        <v>0</v>
      </c>
      <c r="AE71" s="6">
        <f t="shared" si="12"/>
        <v>0</v>
      </c>
      <c r="AF71" s="6">
        <f t="shared" si="12"/>
        <v>0</v>
      </c>
      <c r="AG71" s="6">
        <f t="shared" si="10"/>
        <v>41049.35</v>
      </c>
    </row>
    <row r="72" spans="1:33" x14ac:dyDescent="0.25">
      <c r="A72" s="3" t="s">
        <v>98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5">
        <f t="shared" si="10"/>
        <v>0</v>
      </c>
    </row>
    <row r="73" spans="1:33" x14ac:dyDescent="0.25">
      <c r="A73" s="3" t="s">
        <v>99</v>
      </c>
      <c r="B73" s="5">
        <f>388.15</f>
        <v>388.15</v>
      </c>
      <c r="C73" s="4"/>
      <c r="D73" s="4"/>
      <c r="E73" s="4"/>
      <c r="F73" s="5">
        <f>232.88</f>
        <v>232.88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>
        <f>82.31</f>
        <v>82.31</v>
      </c>
      <c r="W73" s="5">
        <f>72.94</f>
        <v>72.94</v>
      </c>
      <c r="X73" s="4"/>
      <c r="Y73" s="4"/>
      <c r="Z73" s="4"/>
      <c r="AA73" s="4"/>
      <c r="AB73" s="4"/>
      <c r="AC73" s="4"/>
      <c r="AD73" s="4"/>
      <c r="AE73" s="4"/>
      <c r="AF73" s="4"/>
      <c r="AG73" s="5">
        <f t="shared" si="10"/>
        <v>776.28</v>
      </c>
    </row>
    <row r="74" spans="1:33" x14ac:dyDescent="0.25">
      <c r="A74" s="3" t="s">
        <v>100</v>
      </c>
      <c r="B74" s="5">
        <f>150</f>
        <v>150</v>
      </c>
      <c r="C74" s="4"/>
      <c r="D74" s="4"/>
      <c r="E74" s="4"/>
      <c r="F74" s="5">
        <f>90</f>
        <v>90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>
        <f>0</f>
        <v>0</v>
      </c>
      <c r="W74" s="5">
        <f>60</f>
        <v>60</v>
      </c>
      <c r="X74" s="4"/>
      <c r="Y74" s="4"/>
      <c r="Z74" s="4"/>
      <c r="AA74" s="4"/>
      <c r="AB74" s="4"/>
      <c r="AC74" s="4"/>
      <c r="AD74" s="4"/>
      <c r="AE74" s="4"/>
      <c r="AF74" s="4"/>
      <c r="AG74" s="5">
        <f t="shared" si="10"/>
        <v>300</v>
      </c>
    </row>
    <row r="75" spans="1:33" x14ac:dyDescent="0.25">
      <c r="A75" s="3" t="s">
        <v>101</v>
      </c>
      <c r="B75" s="5">
        <f>2245.24</f>
        <v>2245.2399999999998</v>
      </c>
      <c r="C75" s="4"/>
      <c r="D75" s="5">
        <f>1877.1</f>
        <v>1877.1</v>
      </c>
      <c r="E75" s="4"/>
      <c r="F75" s="5">
        <f>2208.16</f>
        <v>2208.16</v>
      </c>
      <c r="G75" s="5">
        <f>18.18</f>
        <v>18.18</v>
      </c>
      <c r="H75" s="4"/>
      <c r="I75" s="4"/>
      <c r="J75" s="4"/>
      <c r="K75" s="4"/>
      <c r="L75" s="4"/>
      <c r="M75" s="4"/>
      <c r="N75" s="4"/>
      <c r="O75" s="5">
        <f>68.24</f>
        <v>68.239999999999995</v>
      </c>
      <c r="P75" s="4"/>
      <c r="Q75" s="5">
        <f>180.39</f>
        <v>180.39</v>
      </c>
      <c r="R75" s="4"/>
      <c r="S75" s="4"/>
      <c r="T75" s="4"/>
      <c r="U75" s="4"/>
      <c r="V75" s="5">
        <f>599.23</f>
        <v>599.23</v>
      </c>
      <c r="W75" s="5">
        <f>1328.79</f>
        <v>1328.79</v>
      </c>
      <c r="X75" s="5">
        <f>353.38</f>
        <v>353.38</v>
      </c>
      <c r="Y75" s="4"/>
      <c r="Z75" s="5">
        <f>525.03</f>
        <v>525.03</v>
      </c>
      <c r="AA75" s="4"/>
      <c r="AB75" s="4"/>
      <c r="AC75" s="5">
        <f>71.8</f>
        <v>71.8</v>
      </c>
      <c r="AD75" s="4"/>
      <c r="AE75" s="5">
        <f>109.95</f>
        <v>109.95</v>
      </c>
      <c r="AF75" s="4"/>
      <c r="AG75" s="5">
        <f t="shared" si="10"/>
        <v>9585.4900000000016</v>
      </c>
    </row>
    <row r="76" spans="1:33" x14ac:dyDescent="0.25">
      <c r="A76" s="3" t="s">
        <v>102</v>
      </c>
      <c r="B76" s="5">
        <f>938.07</f>
        <v>938.07</v>
      </c>
      <c r="C76" s="4"/>
      <c r="D76" s="5">
        <f>30.53</f>
        <v>30.53</v>
      </c>
      <c r="E76" s="4"/>
      <c r="F76" s="5">
        <f>820.86</f>
        <v>820.86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>
        <f>1172.3</f>
        <v>1172.3</v>
      </c>
      <c r="W76" s="5">
        <f>465.55</f>
        <v>465.55</v>
      </c>
      <c r="X76" s="4"/>
      <c r="Y76" s="4"/>
      <c r="Z76" s="5">
        <f>30.53</f>
        <v>30.53</v>
      </c>
      <c r="AA76" s="4"/>
      <c r="AB76" s="4"/>
      <c r="AC76" s="5">
        <f>30.53</f>
        <v>30.53</v>
      </c>
      <c r="AD76" s="4"/>
      <c r="AE76" s="5">
        <f>30.52</f>
        <v>30.52</v>
      </c>
      <c r="AF76" s="4"/>
      <c r="AG76" s="5">
        <f t="shared" si="10"/>
        <v>3518.8900000000008</v>
      </c>
    </row>
    <row r="77" spans="1:33" x14ac:dyDescent="0.25">
      <c r="A77" s="3" t="s">
        <v>103</v>
      </c>
      <c r="B77" s="5">
        <f>8682.71</f>
        <v>8682.7099999999991</v>
      </c>
      <c r="C77" s="4"/>
      <c r="D77" s="5">
        <f>9592.94</f>
        <v>9592.94</v>
      </c>
      <c r="E77" s="4"/>
      <c r="F77" s="5">
        <f>143.5</f>
        <v>143.5</v>
      </c>
      <c r="G77" s="5">
        <f>1416.94</f>
        <v>1416.94</v>
      </c>
      <c r="H77" s="4"/>
      <c r="I77" s="4"/>
      <c r="J77" s="4"/>
      <c r="K77" s="4"/>
      <c r="L77" s="5">
        <f>1556.78</f>
        <v>1556.78</v>
      </c>
      <c r="M77" s="4"/>
      <c r="N77" s="4"/>
      <c r="O77" s="5">
        <f>427.89</f>
        <v>427.89</v>
      </c>
      <c r="P77" s="4"/>
      <c r="Q77" s="4"/>
      <c r="R77" s="4"/>
      <c r="S77" s="4"/>
      <c r="T77" s="4"/>
      <c r="U77" s="4"/>
      <c r="V77" s="4"/>
      <c r="W77" s="4"/>
      <c r="X77" s="4"/>
      <c r="Y77" s="5">
        <f>5650.82</f>
        <v>5650.82</v>
      </c>
      <c r="Z77" s="4"/>
      <c r="AA77" s="4"/>
      <c r="AB77" s="4"/>
      <c r="AC77" s="4"/>
      <c r="AD77" s="5">
        <f>-502.54</f>
        <v>-502.54</v>
      </c>
      <c r="AE77" s="5">
        <f>-176.59</f>
        <v>-176.59</v>
      </c>
      <c r="AF77" s="4"/>
      <c r="AG77" s="5">
        <f t="shared" si="10"/>
        <v>26792.449999999997</v>
      </c>
    </row>
    <row r="78" spans="1:33" x14ac:dyDescent="0.25">
      <c r="A78" s="3" t="s">
        <v>104</v>
      </c>
      <c r="B78" s="5">
        <f>31912.51</f>
        <v>31912.51</v>
      </c>
      <c r="C78" s="4"/>
      <c r="D78" s="5">
        <f>7027.15</f>
        <v>7027.15</v>
      </c>
      <c r="E78" s="4"/>
      <c r="F78" s="5">
        <f>21828.26</f>
        <v>21828.26</v>
      </c>
      <c r="G78" s="5">
        <f>0</f>
        <v>0</v>
      </c>
      <c r="H78" s="5">
        <f>0</f>
        <v>0</v>
      </c>
      <c r="I78" s="4"/>
      <c r="J78" s="4"/>
      <c r="K78" s="5">
        <f>58.84</f>
        <v>58.84</v>
      </c>
      <c r="L78" s="5">
        <f>936.49</f>
        <v>936.49</v>
      </c>
      <c r="M78" s="4"/>
      <c r="N78" s="4"/>
      <c r="O78" s="5">
        <f>1022.69</f>
        <v>1022.69</v>
      </c>
      <c r="P78" s="4"/>
      <c r="Q78" s="5">
        <f>397483.31</f>
        <v>397483.31</v>
      </c>
      <c r="R78" s="4"/>
      <c r="S78" s="4"/>
      <c r="T78" s="4"/>
      <c r="U78" s="5">
        <f>3387.3</f>
        <v>3387.3</v>
      </c>
      <c r="V78" s="5">
        <f>8396.54</f>
        <v>8396.5400000000009</v>
      </c>
      <c r="W78" s="5">
        <f>3593.03</f>
        <v>3593.03</v>
      </c>
      <c r="X78" s="5">
        <f>11855.92</f>
        <v>11855.92</v>
      </c>
      <c r="Y78" s="5">
        <f>5490.93</f>
        <v>5490.93</v>
      </c>
      <c r="Z78" s="5">
        <f>13803.14</f>
        <v>13803.14</v>
      </c>
      <c r="AA78" s="4"/>
      <c r="AB78" s="4"/>
      <c r="AC78" s="5">
        <f>7601.75</f>
        <v>7601.75</v>
      </c>
      <c r="AD78" s="5">
        <f>1085.06</f>
        <v>1085.06</v>
      </c>
      <c r="AE78" s="5">
        <f>9123.17</f>
        <v>9123.17</v>
      </c>
      <c r="AF78" s="4"/>
      <c r="AG78" s="5">
        <f t="shared" si="10"/>
        <v>524606.09</v>
      </c>
    </row>
    <row r="79" spans="1:33" x14ac:dyDescent="0.25">
      <c r="A79" s="3" t="s">
        <v>105</v>
      </c>
      <c r="B79" s="5">
        <f>1952.56</f>
        <v>1952.56</v>
      </c>
      <c r="C79" s="4"/>
      <c r="D79" s="4"/>
      <c r="E79" s="4"/>
      <c r="F79" s="5">
        <f>2555.15</f>
        <v>2555.15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5">
        <f t="shared" si="10"/>
        <v>4507.71</v>
      </c>
    </row>
    <row r="80" spans="1:33" x14ac:dyDescent="0.25">
      <c r="A80" s="3" t="s">
        <v>106</v>
      </c>
      <c r="B80" s="6">
        <f t="shared" ref="B80:AF80" si="13">(((((((B72)+(B73))+(B74))+(B75))+(B76))+(B77))+(B78))+(B79)</f>
        <v>46269.239999999991</v>
      </c>
      <c r="C80" s="6">
        <f t="shared" si="13"/>
        <v>0</v>
      </c>
      <c r="D80" s="6">
        <f t="shared" si="13"/>
        <v>18527.72</v>
      </c>
      <c r="E80" s="6">
        <f t="shared" si="13"/>
        <v>0</v>
      </c>
      <c r="F80" s="6">
        <f t="shared" si="13"/>
        <v>27878.81</v>
      </c>
      <c r="G80" s="6">
        <f t="shared" si="13"/>
        <v>1435.1200000000001</v>
      </c>
      <c r="H80" s="6">
        <f t="shared" si="13"/>
        <v>0</v>
      </c>
      <c r="I80" s="6">
        <f t="shared" si="13"/>
        <v>0</v>
      </c>
      <c r="J80" s="6">
        <f t="shared" si="13"/>
        <v>0</v>
      </c>
      <c r="K80" s="6">
        <f t="shared" si="13"/>
        <v>58.84</v>
      </c>
      <c r="L80" s="6">
        <f t="shared" si="13"/>
        <v>2493.27</v>
      </c>
      <c r="M80" s="6">
        <f t="shared" si="13"/>
        <v>0</v>
      </c>
      <c r="N80" s="6">
        <f t="shared" si="13"/>
        <v>0</v>
      </c>
      <c r="O80" s="6">
        <f t="shared" si="13"/>
        <v>1518.8200000000002</v>
      </c>
      <c r="P80" s="6">
        <f t="shared" si="13"/>
        <v>0</v>
      </c>
      <c r="Q80" s="6">
        <f t="shared" si="13"/>
        <v>397663.7</v>
      </c>
      <c r="R80" s="6">
        <f t="shared" si="13"/>
        <v>0</v>
      </c>
      <c r="S80" s="6">
        <f t="shared" si="13"/>
        <v>0</v>
      </c>
      <c r="T80" s="6">
        <f t="shared" si="13"/>
        <v>0</v>
      </c>
      <c r="U80" s="6">
        <f t="shared" si="13"/>
        <v>3387.3</v>
      </c>
      <c r="V80" s="6">
        <f t="shared" si="13"/>
        <v>10250.380000000001</v>
      </c>
      <c r="W80" s="6">
        <f t="shared" si="13"/>
        <v>5520.31</v>
      </c>
      <c r="X80" s="6">
        <f t="shared" si="13"/>
        <v>12209.3</v>
      </c>
      <c r="Y80" s="6">
        <f t="shared" si="13"/>
        <v>11141.75</v>
      </c>
      <c r="Z80" s="6">
        <f t="shared" si="13"/>
        <v>14358.699999999999</v>
      </c>
      <c r="AA80" s="6">
        <f t="shared" si="13"/>
        <v>0</v>
      </c>
      <c r="AB80" s="6">
        <f t="shared" si="13"/>
        <v>0</v>
      </c>
      <c r="AC80" s="6">
        <f t="shared" si="13"/>
        <v>7704.08</v>
      </c>
      <c r="AD80" s="6">
        <f t="shared" si="13"/>
        <v>582.52</v>
      </c>
      <c r="AE80" s="6">
        <f t="shared" si="13"/>
        <v>9087.0499999999993</v>
      </c>
      <c r="AF80" s="6">
        <f t="shared" si="13"/>
        <v>0</v>
      </c>
      <c r="AG80" s="6">
        <f t="shared" si="10"/>
        <v>570086.91</v>
      </c>
    </row>
    <row r="81" spans="1:33" x14ac:dyDescent="0.25">
      <c r="A81" s="3" t="s">
        <v>107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5">
        <f t="shared" si="10"/>
        <v>0</v>
      </c>
    </row>
    <row r="82" spans="1:33" x14ac:dyDescent="0.25">
      <c r="A82" s="3" t="s">
        <v>108</v>
      </c>
      <c r="B82" s="5">
        <f>80</f>
        <v>80</v>
      </c>
      <c r="C82" s="4"/>
      <c r="D82" s="5">
        <f>25153.9</f>
        <v>25153.9</v>
      </c>
      <c r="E82" s="4"/>
      <c r="F82" s="5">
        <f>299.99</f>
        <v>299.99</v>
      </c>
      <c r="G82" s="5">
        <f>200</f>
        <v>200</v>
      </c>
      <c r="H82" s="4"/>
      <c r="I82" s="4"/>
      <c r="J82" s="4"/>
      <c r="K82" s="4"/>
      <c r="L82" s="5">
        <f>94920</f>
        <v>94920</v>
      </c>
      <c r="M82" s="4"/>
      <c r="N82" s="5">
        <f>11803.37</f>
        <v>11803.37</v>
      </c>
      <c r="O82" s="5">
        <f>4200</f>
        <v>4200</v>
      </c>
      <c r="P82" s="4"/>
      <c r="Q82" s="5">
        <f>71936.74</f>
        <v>71936.740000000005</v>
      </c>
      <c r="R82" s="4"/>
      <c r="S82" s="4"/>
      <c r="T82" s="4"/>
      <c r="U82" s="5">
        <f>4980</f>
        <v>4980</v>
      </c>
      <c r="V82" s="5">
        <f>30662.5</f>
        <v>30662.5</v>
      </c>
      <c r="W82" s="5">
        <f>4750</f>
        <v>4750</v>
      </c>
      <c r="X82" s="4"/>
      <c r="Y82" s="4"/>
      <c r="Z82" s="5">
        <f>0</f>
        <v>0</v>
      </c>
      <c r="AA82" s="4"/>
      <c r="AB82" s="4"/>
      <c r="AC82" s="5">
        <f>23341.63</f>
        <v>23341.63</v>
      </c>
      <c r="AD82" s="5">
        <f>36650</f>
        <v>36650</v>
      </c>
      <c r="AE82" s="5">
        <f>186013.81</f>
        <v>186013.81</v>
      </c>
      <c r="AF82" s="4"/>
      <c r="AG82" s="5">
        <f t="shared" si="10"/>
        <v>494991.94</v>
      </c>
    </row>
    <row r="83" spans="1:33" x14ac:dyDescent="0.25">
      <c r="A83" s="3" t="s">
        <v>109</v>
      </c>
      <c r="B83" s="5">
        <f>3283</f>
        <v>3283</v>
      </c>
      <c r="C83" s="4"/>
      <c r="D83" s="5">
        <f>1347</f>
        <v>1347</v>
      </c>
      <c r="E83" s="4"/>
      <c r="F83" s="5">
        <f>6299</f>
        <v>6299</v>
      </c>
      <c r="G83" s="5">
        <f>7901.5</f>
        <v>7901.5</v>
      </c>
      <c r="H83" s="4"/>
      <c r="I83" s="4"/>
      <c r="J83" s="4"/>
      <c r="K83" s="4"/>
      <c r="L83" s="4"/>
      <c r="M83" s="4"/>
      <c r="N83" s="4"/>
      <c r="O83" s="5">
        <f>4825</f>
        <v>4825</v>
      </c>
      <c r="P83" s="4"/>
      <c r="Q83" s="5">
        <f>18402.83</f>
        <v>18402.830000000002</v>
      </c>
      <c r="R83" s="4"/>
      <c r="S83" s="4"/>
      <c r="T83" s="4"/>
      <c r="U83" s="5">
        <f>145</f>
        <v>145</v>
      </c>
      <c r="V83" s="5">
        <f>1158</f>
        <v>1158</v>
      </c>
      <c r="W83" s="5">
        <f>14354</f>
        <v>14354</v>
      </c>
      <c r="X83" s="5">
        <f>783.64</f>
        <v>783.64</v>
      </c>
      <c r="Y83" s="4"/>
      <c r="Z83" s="5">
        <f>4439.97</f>
        <v>4439.97</v>
      </c>
      <c r="AA83" s="4"/>
      <c r="AB83" s="4"/>
      <c r="AC83" s="5">
        <f>10055.9</f>
        <v>10055.9</v>
      </c>
      <c r="AD83" s="5">
        <f>28908.2</f>
        <v>28908.2</v>
      </c>
      <c r="AE83" s="5">
        <f>2939</f>
        <v>2939</v>
      </c>
      <c r="AF83" s="4"/>
      <c r="AG83" s="5">
        <f t="shared" si="10"/>
        <v>104842.04</v>
      </c>
    </row>
    <row r="84" spans="1:33" x14ac:dyDescent="0.25">
      <c r="A84" s="3" t="s">
        <v>110</v>
      </c>
      <c r="B84" s="5">
        <f>3118.23</f>
        <v>3118.23</v>
      </c>
      <c r="C84" s="4"/>
      <c r="D84" s="5">
        <f>6391.33</f>
        <v>6391.33</v>
      </c>
      <c r="E84" s="4"/>
      <c r="F84" s="5">
        <f>-325.15</f>
        <v>-325.14999999999998</v>
      </c>
      <c r="G84" s="5">
        <f>16644.32</f>
        <v>16644.32</v>
      </c>
      <c r="H84" s="4"/>
      <c r="I84" s="5">
        <f>175.81</f>
        <v>175.81</v>
      </c>
      <c r="J84" s="4"/>
      <c r="K84" s="4"/>
      <c r="L84" s="4"/>
      <c r="M84" s="4"/>
      <c r="N84" s="4"/>
      <c r="O84" s="5">
        <f>38757.87</f>
        <v>38757.870000000003</v>
      </c>
      <c r="P84" s="4"/>
      <c r="Q84" s="5">
        <f>6923.62</f>
        <v>6923.62</v>
      </c>
      <c r="R84" s="4"/>
      <c r="S84" s="5">
        <f>162847.54</f>
        <v>162847.54</v>
      </c>
      <c r="T84" s="4"/>
      <c r="U84" s="5">
        <f>171.58</f>
        <v>171.58</v>
      </c>
      <c r="V84" s="5">
        <f>4780.77</f>
        <v>4780.7700000000004</v>
      </c>
      <c r="W84" s="5">
        <f>4533.42</f>
        <v>4533.42</v>
      </c>
      <c r="X84" s="5">
        <f>4944.79</f>
        <v>4944.79</v>
      </c>
      <c r="Y84" s="5">
        <f>2334</f>
        <v>2334</v>
      </c>
      <c r="Z84" s="5">
        <f>11819.13</f>
        <v>11819.13</v>
      </c>
      <c r="AA84" s="4"/>
      <c r="AB84" s="4"/>
      <c r="AC84" s="5">
        <f>26005.74</f>
        <v>26005.74</v>
      </c>
      <c r="AD84" s="5">
        <f>34940.68</f>
        <v>34940.68</v>
      </c>
      <c r="AE84" s="5">
        <f>10241.17</f>
        <v>10241.17</v>
      </c>
      <c r="AF84" s="5"/>
      <c r="AG84" s="5">
        <f t="shared" si="10"/>
        <v>334304.84999999998</v>
      </c>
    </row>
    <row r="85" spans="1:33" x14ac:dyDescent="0.25">
      <c r="A85" s="3" t="s">
        <v>111</v>
      </c>
      <c r="B85" s="5">
        <f>-3209.2</f>
        <v>-3209.2</v>
      </c>
      <c r="C85" s="4"/>
      <c r="D85" s="5">
        <f>7409.94</f>
        <v>7409.94</v>
      </c>
      <c r="E85" s="4"/>
      <c r="F85" s="4"/>
      <c r="G85" s="4"/>
      <c r="H85" s="4"/>
      <c r="I85" s="4"/>
      <c r="J85" s="4"/>
      <c r="K85" s="5">
        <f>294.9</f>
        <v>294.89999999999998</v>
      </c>
      <c r="L85" s="5">
        <f>2570.09</f>
        <v>2570.09</v>
      </c>
      <c r="M85" s="4"/>
      <c r="N85" s="4"/>
      <c r="O85" s="4"/>
      <c r="P85" s="4"/>
      <c r="Q85" s="4"/>
      <c r="R85" s="4"/>
      <c r="S85" s="4"/>
      <c r="T85" s="4"/>
      <c r="U85" s="4"/>
      <c r="V85" s="5">
        <f>2180.33</f>
        <v>2180.33</v>
      </c>
      <c r="W85" s="5">
        <f>854.05</f>
        <v>854.05</v>
      </c>
      <c r="X85" s="4"/>
      <c r="Y85" s="4"/>
      <c r="Z85" s="5">
        <f>384.6</f>
        <v>384.6</v>
      </c>
      <c r="AA85" s="5">
        <f>167.98</f>
        <v>167.98</v>
      </c>
      <c r="AB85" s="4"/>
      <c r="AC85" s="5">
        <f>499.75</f>
        <v>499.75</v>
      </c>
      <c r="AD85" s="5">
        <f>938.19</f>
        <v>938.19</v>
      </c>
      <c r="AE85" s="5">
        <f>0</f>
        <v>0</v>
      </c>
      <c r="AF85" s="4"/>
      <c r="AG85" s="5">
        <f t="shared" si="10"/>
        <v>12090.63</v>
      </c>
    </row>
    <row r="86" spans="1:33" x14ac:dyDescent="0.25">
      <c r="A86" s="3" t="s">
        <v>112</v>
      </c>
      <c r="B86" s="5">
        <f>3927.79</f>
        <v>3927.79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5">
        <f t="shared" si="10"/>
        <v>3927.79</v>
      </c>
    </row>
    <row r="87" spans="1:33" x14ac:dyDescent="0.25">
      <c r="A87" s="3" t="s">
        <v>113</v>
      </c>
      <c r="B87" s="6">
        <f t="shared" ref="B87:AF87" si="14">(((((B81)+(B82))+(B83))+(B84))+(B85))+(B86)</f>
        <v>7199.82</v>
      </c>
      <c r="C87" s="6">
        <f t="shared" si="14"/>
        <v>0</v>
      </c>
      <c r="D87" s="6">
        <f t="shared" si="14"/>
        <v>40302.170000000006</v>
      </c>
      <c r="E87" s="6">
        <f t="shared" si="14"/>
        <v>0</v>
      </c>
      <c r="F87" s="6">
        <f t="shared" si="14"/>
        <v>6273.84</v>
      </c>
      <c r="G87" s="6">
        <f t="shared" si="14"/>
        <v>24745.82</v>
      </c>
      <c r="H87" s="6">
        <f t="shared" si="14"/>
        <v>0</v>
      </c>
      <c r="I87" s="6">
        <f t="shared" si="14"/>
        <v>175.81</v>
      </c>
      <c r="J87" s="6">
        <f t="shared" si="14"/>
        <v>0</v>
      </c>
      <c r="K87" s="6">
        <f t="shared" si="14"/>
        <v>294.89999999999998</v>
      </c>
      <c r="L87" s="6">
        <f t="shared" si="14"/>
        <v>97490.09</v>
      </c>
      <c r="M87" s="6">
        <f t="shared" si="14"/>
        <v>0</v>
      </c>
      <c r="N87" s="6">
        <f t="shared" si="14"/>
        <v>11803.37</v>
      </c>
      <c r="O87" s="6">
        <f t="shared" si="14"/>
        <v>47782.87</v>
      </c>
      <c r="P87" s="6">
        <f t="shared" si="14"/>
        <v>0</v>
      </c>
      <c r="Q87" s="6">
        <f t="shared" si="14"/>
        <v>97263.19</v>
      </c>
      <c r="R87" s="6">
        <f t="shared" si="14"/>
        <v>0</v>
      </c>
      <c r="S87" s="6">
        <f t="shared" si="14"/>
        <v>162847.54</v>
      </c>
      <c r="T87" s="6">
        <f t="shared" si="14"/>
        <v>0</v>
      </c>
      <c r="U87" s="6">
        <f t="shared" si="14"/>
        <v>5296.58</v>
      </c>
      <c r="V87" s="6">
        <f t="shared" si="14"/>
        <v>38781.600000000006</v>
      </c>
      <c r="W87" s="6">
        <f t="shared" si="14"/>
        <v>24491.469999999998</v>
      </c>
      <c r="X87" s="6">
        <f t="shared" si="14"/>
        <v>5728.43</v>
      </c>
      <c r="Y87" s="6">
        <f t="shared" si="14"/>
        <v>2334</v>
      </c>
      <c r="Z87" s="6">
        <f t="shared" si="14"/>
        <v>16643.699999999997</v>
      </c>
      <c r="AA87" s="6">
        <f t="shared" si="14"/>
        <v>167.98</v>
      </c>
      <c r="AB87" s="6">
        <f t="shared" si="14"/>
        <v>0</v>
      </c>
      <c r="AC87" s="6">
        <f t="shared" si="14"/>
        <v>59903.020000000004</v>
      </c>
      <c r="AD87" s="6">
        <f t="shared" si="14"/>
        <v>101437.07</v>
      </c>
      <c r="AE87" s="6">
        <f t="shared" si="14"/>
        <v>199193.98</v>
      </c>
      <c r="AF87" s="6">
        <f t="shared" si="14"/>
        <v>0</v>
      </c>
      <c r="AG87" s="6">
        <f t="shared" si="10"/>
        <v>950157.25</v>
      </c>
    </row>
    <row r="88" spans="1:33" x14ac:dyDescent="0.25">
      <c r="A88" s="3" t="s">
        <v>114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5">
        <f t="shared" si="10"/>
        <v>0</v>
      </c>
    </row>
    <row r="89" spans="1:33" x14ac:dyDescent="0.25">
      <c r="A89" s="3" t="s">
        <v>115</v>
      </c>
      <c r="B89" s="5">
        <f>4021.28</f>
        <v>4021.28</v>
      </c>
      <c r="C89" s="4"/>
      <c r="D89" s="5">
        <f>133</f>
        <v>133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>
        <f>321.04</f>
        <v>321.04000000000002</v>
      </c>
      <c r="W89" s="5">
        <f>3373.96</f>
        <v>3373.96</v>
      </c>
      <c r="X89" s="4"/>
      <c r="Y89" s="4"/>
      <c r="Z89" s="4"/>
      <c r="AA89" s="4"/>
      <c r="AB89" s="4"/>
      <c r="AC89" s="4"/>
      <c r="AD89" s="4"/>
      <c r="AE89" s="5">
        <f>3820.61</f>
        <v>3820.61</v>
      </c>
      <c r="AF89" s="4"/>
      <c r="AG89" s="5">
        <f t="shared" si="10"/>
        <v>11669.890000000001</v>
      </c>
    </row>
    <row r="90" spans="1:33" x14ac:dyDescent="0.25">
      <c r="A90" s="3" t="s">
        <v>116</v>
      </c>
      <c r="B90" s="4"/>
      <c r="C90" s="4"/>
      <c r="D90" s="4"/>
      <c r="E90" s="4"/>
      <c r="F90" s="5">
        <f>15000</f>
        <v>15000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5">
        <f t="shared" si="10"/>
        <v>15000</v>
      </c>
    </row>
    <row r="91" spans="1:33" x14ac:dyDescent="0.25">
      <c r="A91" s="3" t="s">
        <v>117</v>
      </c>
      <c r="B91" s="4"/>
      <c r="C91" s="4"/>
      <c r="D91" s="5">
        <f>24043.66</f>
        <v>24043.66</v>
      </c>
      <c r="E91" s="5">
        <f>1026.4</f>
        <v>1026.4000000000001</v>
      </c>
      <c r="F91" s="5">
        <f>86170.81</f>
        <v>86170.81</v>
      </c>
      <c r="G91" s="5">
        <f>7740.75</f>
        <v>7740.75</v>
      </c>
      <c r="H91" s="5">
        <f>6748.16</f>
        <v>6748.16</v>
      </c>
      <c r="I91" s="5">
        <f>5413.77</f>
        <v>5413.77</v>
      </c>
      <c r="J91" s="5">
        <f>3948.72</f>
        <v>3948.72</v>
      </c>
      <c r="K91" s="4"/>
      <c r="L91" s="5">
        <f>9829.75</f>
        <v>9829.75</v>
      </c>
      <c r="M91" s="5">
        <f>2465.42</f>
        <v>2465.42</v>
      </c>
      <c r="N91" s="5">
        <f>40509.45</f>
        <v>40509.449999999997</v>
      </c>
      <c r="O91" s="5">
        <f>10575.27</f>
        <v>10575.27</v>
      </c>
      <c r="P91" s="5">
        <f>81.16</f>
        <v>81.16</v>
      </c>
      <c r="Q91" s="5">
        <f>85359.65</f>
        <v>85359.65</v>
      </c>
      <c r="R91" s="5">
        <f>42113.44</f>
        <v>42113.440000000002</v>
      </c>
      <c r="S91" s="5">
        <f>20499.54</f>
        <v>20499.54</v>
      </c>
      <c r="T91" s="5">
        <f>6684.55</f>
        <v>6684.55</v>
      </c>
      <c r="U91" s="5">
        <f>2119.05</f>
        <v>2119.0500000000002</v>
      </c>
      <c r="V91" s="5">
        <f>19088.63</f>
        <v>19088.63</v>
      </c>
      <c r="W91" s="5">
        <f>18609.96</f>
        <v>18609.96</v>
      </c>
      <c r="X91" s="5">
        <f>16812.59</f>
        <v>16812.59</v>
      </c>
      <c r="Y91" s="5">
        <f>2736.73</f>
        <v>2736.73</v>
      </c>
      <c r="Z91" s="5">
        <f>48909.26</f>
        <v>48909.26</v>
      </c>
      <c r="AA91" s="5">
        <f>127.75</f>
        <v>127.75</v>
      </c>
      <c r="AB91" s="5">
        <f>14.99</f>
        <v>14.99</v>
      </c>
      <c r="AC91" s="5">
        <f>25940.28</f>
        <v>25940.28</v>
      </c>
      <c r="AD91" s="5">
        <f>26988.72</f>
        <v>26988.720000000001</v>
      </c>
      <c r="AE91" s="5">
        <f>52921.8</f>
        <v>52921.8</v>
      </c>
      <c r="AF91" s="4"/>
      <c r="AG91" s="5">
        <f t="shared" si="10"/>
        <v>567480.26</v>
      </c>
    </row>
    <row r="92" spans="1:33" x14ac:dyDescent="0.25">
      <c r="A92" s="3" t="s">
        <v>118</v>
      </c>
      <c r="B92" s="6">
        <f t="shared" ref="B92:AF92" si="15">(((B88)+(B89))+(B90))+(B91)</f>
        <v>4021.28</v>
      </c>
      <c r="C92" s="6">
        <f t="shared" si="15"/>
        <v>0</v>
      </c>
      <c r="D92" s="6">
        <f t="shared" si="15"/>
        <v>24176.66</v>
      </c>
      <c r="E92" s="6">
        <f t="shared" si="15"/>
        <v>1026.4000000000001</v>
      </c>
      <c r="F92" s="6">
        <f t="shared" si="15"/>
        <v>101170.81</v>
      </c>
      <c r="G92" s="6">
        <f t="shared" si="15"/>
        <v>7740.75</v>
      </c>
      <c r="H92" s="6">
        <f t="shared" si="15"/>
        <v>6748.16</v>
      </c>
      <c r="I92" s="6">
        <f t="shared" si="15"/>
        <v>5413.77</v>
      </c>
      <c r="J92" s="6">
        <f t="shared" si="15"/>
        <v>3948.72</v>
      </c>
      <c r="K92" s="6">
        <f t="shared" si="15"/>
        <v>0</v>
      </c>
      <c r="L92" s="6">
        <f t="shared" si="15"/>
        <v>9829.75</v>
      </c>
      <c r="M92" s="6">
        <f t="shared" si="15"/>
        <v>2465.42</v>
      </c>
      <c r="N92" s="6">
        <f t="shared" si="15"/>
        <v>40509.449999999997</v>
      </c>
      <c r="O92" s="6">
        <f t="shared" si="15"/>
        <v>10575.27</v>
      </c>
      <c r="P92" s="6">
        <f t="shared" si="15"/>
        <v>81.16</v>
      </c>
      <c r="Q92" s="6">
        <f t="shared" si="15"/>
        <v>85359.65</v>
      </c>
      <c r="R92" s="6">
        <f t="shared" si="15"/>
        <v>42113.440000000002</v>
      </c>
      <c r="S92" s="6">
        <f t="shared" si="15"/>
        <v>20499.54</v>
      </c>
      <c r="T92" s="6">
        <f t="shared" si="15"/>
        <v>6684.55</v>
      </c>
      <c r="U92" s="6">
        <f t="shared" si="15"/>
        <v>2119.0500000000002</v>
      </c>
      <c r="V92" s="6">
        <f t="shared" si="15"/>
        <v>19409.670000000002</v>
      </c>
      <c r="W92" s="6">
        <f t="shared" si="15"/>
        <v>21983.919999999998</v>
      </c>
      <c r="X92" s="6">
        <f t="shared" si="15"/>
        <v>16812.59</v>
      </c>
      <c r="Y92" s="6">
        <f t="shared" si="15"/>
        <v>2736.73</v>
      </c>
      <c r="Z92" s="6">
        <f t="shared" si="15"/>
        <v>48909.26</v>
      </c>
      <c r="AA92" s="6">
        <f t="shared" si="15"/>
        <v>127.75</v>
      </c>
      <c r="AB92" s="6">
        <f t="shared" si="15"/>
        <v>14.99</v>
      </c>
      <c r="AC92" s="6">
        <f t="shared" si="15"/>
        <v>25940.28</v>
      </c>
      <c r="AD92" s="6">
        <f t="shared" si="15"/>
        <v>26988.720000000001</v>
      </c>
      <c r="AE92" s="6">
        <f t="shared" si="15"/>
        <v>56742.41</v>
      </c>
      <c r="AF92" s="6">
        <f t="shared" si="15"/>
        <v>0</v>
      </c>
      <c r="AG92" s="6">
        <f t="shared" si="10"/>
        <v>594150.14999999991</v>
      </c>
    </row>
    <row r="93" spans="1:33" x14ac:dyDescent="0.25">
      <c r="A93" s="3" t="s">
        <v>119</v>
      </c>
      <c r="B93" s="4"/>
      <c r="C93" s="4"/>
      <c r="D93" s="4"/>
      <c r="E93" s="4"/>
      <c r="F93" s="5">
        <f>26000</f>
        <v>26000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5">
        <f t="shared" si="10"/>
        <v>26000</v>
      </c>
    </row>
    <row r="94" spans="1:33" x14ac:dyDescent="0.25">
      <c r="A94" s="3" t="s">
        <v>120</v>
      </c>
      <c r="B94" s="6">
        <f t="shared" ref="B94:AF94" si="16">(((((((((B35)+(B48))+(B54))+(B55))+(B66))+(B71))+(B80))+(B87))+(B92))+(B93)</f>
        <v>378481.00000000006</v>
      </c>
      <c r="C94" s="6">
        <f t="shared" si="16"/>
        <v>0</v>
      </c>
      <c r="D94" s="6">
        <f t="shared" si="16"/>
        <v>328331.06999999995</v>
      </c>
      <c r="E94" s="6">
        <f t="shared" si="16"/>
        <v>21554.79</v>
      </c>
      <c r="F94" s="6">
        <f t="shared" si="16"/>
        <v>949878.87000000011</v>
      </c>
      <c r="G94" s="6">
        <f t="shared" si="16"/>
        <v>85148.150000000009</v>
      </c>
      <c r="H94" s="6">
        <f t="shared" si="16"/>
        <v>74259.760000000009</v>
      </c>
      <c r="I94" s="6">
        <f t="shared" si="16"/>
        <v>59744.549999999988</v>
      </c>
      <c r="J94" s="6">
        <f t="shared" si="16"/>
        <v>53348.91</v>
      </c>
      <c r="K94" s="6">
        <f t="shared" si="16"/>
        <v>15353.74</v>
      </c>
      <c r="L94" s="6">
        <f t="shared" si="16"/>
        <v>108127.33</v>
      </c>
      <c r="M94" s="6">
        <f t="shared" si="16"/>
        <v>27119.54</v>
      </c>
      <c r="N94" s="6">
        <f t="shared" si="16"/>
        <v>445244.03</v>
      </c>
      <c r="O94" s="6">
        <f t="shared" si="16"/>
        <v>117162.01</v>
      </c>
      <c r="P94" s="6">
        <f t="shared" si="16"/>
        <v>1095.6600000000001</v>
      </c>
      <c r="Q94" s="6">
        <f t="shared" si="16"/>
        <v>736959.94000000006</v>
      </c>
      <c r="R94" s="6">
        <f t="shared" si="16"/>
        <v>393058.76</v>
      </c>
      <c r="S94" s="6">
        <f t="shared" si="16"/>
        <v>225494.88</v>
      </c>
      <c r="T94" s="6">
        <f t="shared" si="16"/>
        <v>90241.590000000011</v>
      </c>
      <c r="U94" s="6">
        <f t="shared" si="16"/>
        <v>28607.13</v>
      </c>
      <c r="V94" s="6">
        <f t="shared" si="16"/>
        <v>257714.97000000003</v>
      </c>
      <c r="W94" s="6">
        <f t="shared" si="16"/>
        <v>251234.41999999998</v>
      </c>
      <c r="X94" s="6">
        <f t="shared" si="16"/>
        <v>136902.54</v>
      </c>
      <c r="Y94" s="6">
        <f t="shared" si="16"/>
        <v>23788.48</v>
      </c>
      <c r="Z94" s="6">
        <f t="shared" si="16"/>
        <v>538001.71</v>
      </c>
      <c r="AA94" s="6">
        <f t="shared" si="16"/>
        <v>6515.37</v>
      </c>
      <c r="AB94" s="6">
        <f t="shared" si="16"/>
        <v>752.45</v>
      </c>
      <c r="AC94" s="6">
        <f t="shared" si="16"/>
        <v>217165.96</v>
      </c>
      <c r="AD94" s="6">
        <f t="shared" si="16"/>
        <v>297308.40000000002</v>
      </c>
      <c r="AE94" s="6">
        <f t="shared" si="16"/>
        <v>430934.69000000006</v>
      </c>
      <c r="AF94" s="6">
        <f t="shared" si="16"/>
        <v>0</v>
      </c>
      <c r="AG94" s="6">
        <f t="shared" si="10"/>
        <v>6299530.7000000011</v>
      </c>
    </row>
    <row r="95" spans="1:33" x14ac:dyDescent="0.25">
      <c r="A95" s="3" t="s">
        <v>121</v>
      </c>
      <c r="B95" s="6">
        <f t="shared" ref="B95:AF95" si="17">(B30)-(B94)</f>
        <v>718519.73</v>
      </c>
      <c r="C95" s="6">
        <f t="shared" si="17"/>
        <v>200</v>
      </c>
      <c r="D95" s="6">
        <f t="shared" si="17"/>
        <v>-150935.53999999995</v>
      </c>
      <c r="E95" s="6">
        <f t="shared" si="17"/>
        <v>-8621.92</v>
      </c>
      <c r="F95" s="6">
        <f t="shared" si="17"/>
        <v>245460.12999999989</v>
      </c>
      <c r="G95" s="6">
        <f t="shared" si="17"/>
        <v>-31199.040000000008</v>
      </c>
      <c r="H95" s="6">
        <f t="shared" si="17"/>
        <v>-32195.12000000001</v>
      </c>
      <c r="I95" s="6">
        <f t="shared" si="17"/>
        <v>14939.450000000012</v>
      </c>
      <c r="J95" s="6">
        <f t="shared" si="17"/>
        <v>-21340.900000000005</v>
      </c>
      <c r="K95" s="6">
        <f t="shared" si="17"/>
        <v>314966.07</v>
      </c>
      <c r="L95" s="6">
        <f t="shared" si="17"/>
        <v>-95939.83</v>
      </c>
      <c r="M95" s="6">
        <f t="shared" si="17"/>
        <v>37137</v>
      </c>
      <c r="N95" s="6">
        <f t="shared" si="17"/>
        <v>0</v>
      </c>
      <c r="O95" s="6">
        <f t="shared" si="17"/>
        <v>-17258.709999999992</v>
      </c>
      <c r="P95" s="6">
        <f t="shared" si="17"/>
        <v>0</v>
      </c>
      <c r="Q95" s="6">
        <f t="shared" si="17"/>
        <v>-239620.74000000005</v>
      </c>
      <c r="R95" s="6">
        <f t="shared" si="17"/>
        <v>0</v>
      </c>
      <c r="S95" s="6">
        <f t="shared" si="17"/>
        <v>0</v>
      </c>
      <c r="T95" s="6">
        <f t="shared" si="17"/>
        <v>-36096.590000000011</v>
      </c>
      <c r="U95" s="6">
        <f t="shared" si="17"/>
        <v>-21275.09</v>
      </c>
      <c r="V95" s="6">
        <f t="shared" si="17"/>
        <v>0</v>
      </c>
      <c r="W95" s="6">
        <f t="shared" si="17"/>
        <v>-0.41999999998370185</v>
      </c>
      <c r="X95" s="6">
        <f t="shared" si="17"/>
        <v>-23269.650000000009</v>
      </c>
      <c r="Y95" s="6">
        <f t="shared" si="17"/>
        <v>11276.52</v>
      </c>
      <c r="Z95" s="6">
        <f t="shared" si="17"/>
        <v>-205079.33999999997</v>
      </c>
      <c r="AA95" s="6">
        <f t="shared" si="17"/>
        <v>7.999999999992724E-2</v>
      </c>
      <c r="AB95" s="6">
        <f t="shared" si="17"/>
        <v>-0.45000000000004547</v>
      </c>
      <c r="AC95" s="6">
        <f t="shared" si="17"/>
        <v>-42186.03</v>
      </c>
      <c r="AD95" s="6">
        <f t="shared" si="17"/>
        <v>-2129.9000000000233</v>
      </c>
      <c r="AE95" s="6">
        <f t="shared" si="17"/>
        <v>-104820.41000000003</v>
      </c>
      <c r="AF95" s="6">
        <f t="shared" si="17"/>
        <v>0</v>
      </c>
      <c r="AG95" s="6">
        <f t="shared" si="10"/>
        <v>310529.29999999993</v>
      </c>
    </row>
    <row r="96" spans="1:33" x14ac:dyDescent="0.25">
      <c r="A96" s="3" t="s">
        <v>122</v>
      </c>
      <c r="B96" s="7">
        <f t="shared" ref="B96:AF96" si="18">(B95)+(0)</f>
        <v>718519.73</v>
      </c>
      <c r="C96" s="7">
        <f t="shared" si="18"/>
        <v>200</v>
      </c>
      <c r="D96" s="7">
        <f t="shared" si="18"/>
        <v>-150935.53999999995</v>
      </c>
      <c r="E96" s="7">
        <f t="shared" si="18"/>
        <v>-8621.92</v>
      </c>
      <c r="F96" s="7">
        <f t="shared" si="18"/>
        <v>245460.12999999989</v>
      </c>
      <c r="G96" s="7">
        <f t="shared" si="18"/>
        <v>-31199.040000000008</v>
      </c>
      <c r="H96" s="7">
        <f t="shared" si="18"/>
        <v>-32195.12000000001</v>
      </c>
      <c r="I96" s="7">
        <f t="shared" si="18"/>
        <v>14939.450000000012</v>
      </c>
      <c r="J96" s="7">
        <f t="shared" si="18"/>
        <v>-21340.900000000005</v>
      </c>
      <c r="K96" s="7">
        <f t="shared" si="18"/>
        <v>314966.07</v>
      </c>
      <c r="L96" s="7">
        <f t="shared" si="18"/>
        <v>-95939.83</v>
      </c>
      <c r="M96" s="7">
        <f t="shared" si="18"/>
        <v>37137</v>
      </c>
      <c r="N96" s="7">
        <f t="shared" si="18"/>
        <v>0</v>
      </c>
      <c r="O96" s="7">
        <f t="shared" si="18"/>
        <v>-17258.709999999992</v>
      </c>
      <c r="P96" s="7">
        <f t="shared" si="18"/>
        <v>0</v>
      </c>
      <c r="Q96" s="7">
        <f t="shared" si="18"/>
        <v>-239620.74000000005</v>
      </c>
      <c r="R96" s="7">
        <f t="shared" si="18"/>
        <v>0</v>
      </c>
      <c r="S96" s="7">
        <f t="shared" si="18"/>
        <v>0</v>
      </c>
      <c r="T96" s="7">
        <f t="shared" si="18"/>
        <v>-36096.590000000011</v>
      </c>
      <c r="U96" s="7">
        <f t="shared" si="18"/>
        <v>-21275.09</v>
      </c>
      <c r="V96" s="7">
        <f t="shared" si="18"/>
        <v>0</v>
      </c>
      <c r="W96" s="7">
        <f t="shared" si="18"/>
        <v>-0.41999999998370185</v>
      </c>
      <c r="X96" s="7">
        <f t="shared" si="18"/>
        <v>-23269.650000000009</v>
      </c>
      <c r="Y96" s="7">
        <f t="shared" si="18"/>
        <v>11276.52</v>
      </c>
      <c r="Z96" s="7">
        <f t="shared" si="18"/>
        <v>-205079.33999999997</v>
      </c>
      <c r="AA96" s="7">
        <f t="shared" si="18"/>
        <v>7.999999999992724E-2</v>
      </c>
      <c r="AB96" s="7">
        <f t="shared" si="18"/>
        <v>-0.45000000000004547</v>
      </c>
      <c r="AC96" s="7">
        <f t="shared" si="18"/>
        <v>-42186.03</v>
      </c>
      <c r="AD96" s="7">
        <f t="shared" si="18"/>
        <v>-2129.9000000000233</v>
      </c>
      <c r="AE96" s="7">
        <f t="shared" si="18"/>
        <v>-104820.41000000003</v>
      </c>
      <c r="AF96" s="7">
        <f t="shared" si="18"/>
        <v>0</v>
      </c>
      <c r="AG96" s="7">
        <f t="shared" ref="AG96" si="19">((((((((((((((((((((((((((((((B96)+(C96))+(D96))+(E96))+(F96))+(G96))+(H96))+(I96))+(J96))+(K96))+(L96))+(M96))+(N96))+(O96))+(P96))+(Q96))+(R96))+(S96))+(T96))+(U96))+(V96))+(W96))+(X96))+(Y96))+(Z96))+(AA96))+(AB96))+(AC96))+(AD96))+(AE96))+(AF96)</f>
        <v>310529.29999999993</v>
      </c>
    </row>
    <row r="97" spans="1:33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100" spans="1:33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</sheetData>
  <sheetProtection algorithmName="SHA-512" hashValue="HmnxCAAW51GMdxByhNPter8Iy+JleFgJ2eNHOjzAoA8BieasCUuQcN/o03Gm9PCsOIxVkLxyVbsT+RlswM0/3A==" saltValue="ZyAKq9O54vsVCj4zGDq3Yw==" spinCount="100000" sheet="1" objects="1" scenarios="1"/>
  <mergeCells count="4">
    <mergeCell ref="A100:AG100"/>
    <mergeCell ref="A1:AG1"/>
    <mergeCell ref="A2:AG2"/>
    <mergeCell ref="A3:AG3"/>
  </mergeCells>
  <pageMargins left="0.25" right="0.25" top="0.75" bottom="0.75" header="0.3" footer="0.3"/>
  <pageSetup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Faust</cp:lastModifiedBy>
  <cp:lastPrinted>2023-12-19T16:28:34Z</cp:lastPrinted>
  <dcterms:created xsi:type="dcterms:W3CDTF">2023-12-06T18:58:09Z</dcterms:created>
  <dcterms:modified xsi:type="dcterms:W3CDTF">2024-01-02T18:28:06Z</dcterms:modified>
</cp:coreProperties>
</file>