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aust\Desktop\Board Meeting Attachments\"/>
    </mc:Choice>
  </mc:AlternateContent>
  <xr:revisionPtr revIDLastSave="0" documentId="8_{FEB183DD-31FB-42BC-A35A-11BE29C0A06C}" xr6:coauthVersionLast="47" xr6:coauthVersionMax="47" xr10:uidLastSave="{00000000-0000-0000-0000-000000000000}"/>
  <bookViews>
    <workbookView xWindow="1560" yWindow="150" windowWidth="16485" windowHeight="13365" xr2:uid="{00000000-000D-0000-FFFF-FFFF00000000}"/>
  </bookViews>
  <sheets>
    <sheet name="Profit and Loss by Cla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0" i="1" l="1"/>
  <c r="Y90" i="1"/>
  <c r="V90" i="1"/>
  <c r="R90" i="1"/>
  <c r="Q90" i="1"/>
  <c r="K90" i="1"/>
  <c r="I90" i="1"/>
  <c r="H90" i="1"/>
  <c r="C90" i="1"/>
  <c r="AD89" i="1"/>
  <c r="AC89" i="1"/>
  <c r="AC90" i="1" s="1"/>
  <c r="AB89" i="1"/>
  <c r="AB90" i="1" s="1"/>
  <c r="AA89" i="1"/>
  <c r="AA90" i="1" s="1"/>
  <c r="Z89" i="1"/>
  <c r="Z90" i="1" s="1"/>
  <c r="X89" i="1"/>
  <c r="X90" i="1" s="1"/>
  <c r="W89" i="1"/>
  <c r="W90" i="1" s="1"/>
  <c r="V89" i="1"/>
  <c r="U89" i="1"/>
  <c r="U90" i="1" s="1"/>
  <c r="T89" i="1"/>
  <c r="T90" i="1" s="1"/>
  <c r="S89" i="1"/>
  <c r="S90" i="1" s="1"/>
  <c r="R89" i="1"/>
  <c r="Q89" i="1"/>
  <c r="P89" i="1"/>
  <c r="P90" i="1" s="1"/>
  <c r="O89" i="1"/>
  <c r="O90" i="1" s="1"/>
  <c r="N89" i="1"/>
  <c r="N90" i="1" s="1"/>
  <c r="M89" i="1"/>
  <c r="M90" i="1" s="1"/>
  <c r="L89" i="1"/>
  <c r="L90" i="1" s="1"/>
  <c r="J89" i="1"/>
  <c r="J90" i="1" s="1"/>
  <c r="I89" i="1"/>
  <c r="H89" i="1"/>
  <c r="G89" i="1"/>
  <c r="G90" i="1" s="1"/>
  <c r="F89" i="1"/>
  <c r="F90" i="1" s="1"/>
  <c r="E89" i="1"/>
  <c r="E90" i="1" s="1"/>
  <c r="D89" i="1"/>
  <c r="AD88" i="1"/>
  <c r="AD90" i="1" s="1"/>
  <c r="V88" i="1"/>
  <c r="D88" i="1"/>
  <c r="D90" i="1" s="1"/>
  <c r="B88" i="1"/>
  <c r="B90" i="1" s="1"/>
  <c r="AF87" i="1"/>
  <c r="Y86" i="1"/>
  <c r="T86" i="1"/>
  <c r="R86" i="1"/>
  <c r="P86" i="1"/>
  <c r="M86" i="1"/>
  <c r="J86" i="1"/>
  <c r="H86" i="1"/>
  <c r="E86" i="1"/>
  <c r="D86" i="1"/>
  <c r="C86" i="1"/>
  <c r="AF85" i="1"/>
  <c r="B85" i="1"/>
  <c r="AD84" i="1"/>
  <c r="AC84" i="1"/>
  <c r="AA84" i="1"/>
  <c r="AA86" i="1" s="1"/>
  <c r="Z84" i="1"/>
  <c r="V84" i="1"/>
  <c r="L84" i="1"/>
  <c r="K84" i="1"/>
  <c r="K86" i="1" s="1"/>
  <c r="D84" i="1"/>
  <c r="B84" i="1"/>
  <c r="AD83" i="1"/>
  <c r="AC83" i="1"/>
  <c r="AB83" i="1"/>
  <c r="Z83" i="1"/>
  <c r="X83" i="1"/>
  <c r="W83" i="1"/>
  <c r="V83" i="1"/>
  <c r="U83" i="1"/>
  <c r="S83" i="1"/>
  <c r="S86" i="1" s="1"/>
  <c r="Q83" i="1"/>
  <c r="O83" i="1"/>
  <c r="I83" i="1"/>
  <c r="I86" i="1" s="1"/>
  <c r="G83" i="1"/>
  <c r="F83" i="1"/>
  <c r="D83" i="1"/>
  <c r="B83" i="1"/>
  <c r="AD82" i="1"/>
  <c r="AC82" i="1"/>
  <c r="AB82" i="1"/>
  <c r="X82" i="1"/>
  <c r="W82" i="1"/>
  <c r="V82" i="1"/>
  <c r="U82" i="1"/>
  <c r="U86" i="1" s="1"/>
  <c r="Q82" i="1"/>
  <c r="Q86" i="1" s="1"/>
  <c r="O82" i="1"/>
  <c r="G82" i="1"/>
  <c r="F82" i="1"/>
  <c r="D82" i="1"/>
  <c r="B82" i="1"/>
  <c r="AE81" i="1"/>
  <c r="AE86" i="1" s="1"/>
  <c r="AD81" i="1"/>
  <c r="AD86" i="1" s="1"/>
  <c r="AC81" i="1"/>
  <c r="AB81" i="1"/>
  <c r="Z81" i="1"/>
  <c r="V81" i="1"/>
  <c r="O81" i="1"/>
  <c r="N81" i="1"/>
  <c r="N86" i="1" s="1"/>
  <c r="L81" i="1"/>
  <c r="L86" i="1" s="1"/>
  <c r="G81" i="1"/>
  <c r="F81" i="1"/>
  <c r="F86" i="1" s="1"/>
  <c r="D81" i="1"/>
  <c r="AF80" i="1"/>
  <c r="AE79" i="1"/>
  <c r="AA79" i="1"/>
  <c r="Y79" i="1"/>
  <c r="U79" i="1"/>
  <c r="T79" i="1"/>
  <c r="S79" i="1"/>
  <c r="R79" i="1"/>
  <c r="P79" i="1"/>
  <c r="N79" i="1"/>
  <c r="M79" i="1"/>
  <c r="L79" i="1"/>
  <c r="J79" i="1"/>
  <c r="I79" i="1"/>
  <c r="E79" i="1"/>
  <c r="C79" i="1"/>
  <c r="F78" i="1"/>
  <c r="B78" i="1"/>
  <c r="AD77" i="1"/>
  <c r="AC77" i="1"/>
  <c r="AB77" i="1"/>
  <c r="Z77" i="1"/>
  <c r="X77" i="1"/>
  <c r="W77" i="1"/>
  <c r="V77" i="1"/>
  <c r="Q77" i="1"/>
  <c r="L77" i="1"/>
  <c r="K77" i="1"/>
  <c r="K79" i="1" s="1"/>
  <c r="H77" i="1"/>
  <c r="H79" i="1" s="1"/>
  <c r="G77" i="1"/>
  <c r="F77" i="1"/>
  <c r="D77" i="1"/>
  <c r="B77" i="1"/>
  <c r="AD76" i="1"/>
  <c r="AC76" i="1"/>
  <c r="AC79" i="1" s="1"/>
  <c r="O76" i="1"/>
  <c r="L76" i="1"/>
  <c r="G76" i="1"/>
  <c r="F76" i="1"/>
  <c r="D76" i="1"/>
  <c r="D79" i="1" s="1"/>
  <c r="B76" i="1"/>
  <c r="AF76" i="1" s="1"/>
  <c r="V75" i="1"/>
  <c r="F75" i="1"/>
  <c r="B75" i="1"/>
  <c r="AD74" i="1"/>
  <c r="AB74" i="1"/>
  <c r="AB79" i="1" s="1"/>
  <c r="Z74" i="1"/>
  <c r="X74" i="1"/>
  <c r="W74" i="1"/>
  <c r="V74" i="1"/>
  <c r="Q74" i="1"/>
  <c r="Q79" i="1" s="1"/>
  <c r="O74" i="1"/>
  <c r="O79" i="1" s="1"/>
  <c r="G74" i="1"/>
  <c r="G79" i="1" s="1"/>
  <c r="F74" i="1"/>
  <c r="D74" i="1"/>
  <c r="B74" i="1"/>
  <c r="V73" i="1"/>
  <c r="F73" i="1"/>
  <c r="AF73" i="1" s="1"/>
  <c r="B73" i="1"/>
  <c r="V72" i="1"/>
  <c r="F72" i="1"/>
  <c r="B72" i="1"/>
  <c r="AF71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E70" i="1"/>
  <c r="D70" i="1"/>
  <c r="C70" i="1"/>
  <c r="B69" i="1"/>
  <c r="AF69" i="1" s="1"/>
  <c r="F68" i="1"/>
  <c r="AF68" i="1" s="1"/>
  <c r="B68" i="1"/>
  <c r="F67" i="1"/>
  <c r="B67" i="1"/>
  <c r="AF66" i="1"/>
  <c r="AE65" i="1"/>
  <c r="Y65" i="1"/>
  <c r="U65" i="1"/>
  <c r="T65" i="1"/>
  <c r="S65" i="1"/>
  <c r="R65" i="1"/>
  <c r="P65" i="1"/>
  <c r="N65" i="1"/>
  <c r="M65" i="1"/>
  <c r="L65" i="1"/>
  <c r="K65" i="1"/>
  <c r="J65" i="1"/>
  <c r="I65" i="1"/>
  <c r="H65" i="1"/>
  <c r="G65" i="1"/>
  <c r="E65" i="1"/>
  <c r="D65" i="1"/>
  <c r="C65" i="1"/>
  <c r="AD64" i="1"/>
  <c r="AB64" i="1"/>
  <c r="Z64" i="1"/>
  <c r="V64" i="1"/>
  <c r="F64" i="1"/>
  <c r="B64" i="1"/>
  <c r="AF64" i="1" s="1"/>
  <c r="F63" i="1"/>
  <c r="AF63" i="1" s="1"/>
  <c r="AD62" i="1"/>
  <c r="AD65" i="1" s="1"/>
  <c r="AB62" i="1"/>
  <c r="AB65" i="1" s="1"/>
  <c r="AA62" i="1"/>
  <c r="AA65" i="1" s="1"/>
  <c r="Z62" i="1"/>
  <c r="X62" i="1"/>
  <c r="X65" i="1" s="1"/>
  <c r="W62" i="1"/>
  <c r="W65" i="1" s="1"/>
  <c r="V62" i="1"/>
  <c r="Q62" i="1"/>
  <c r="Q65" i="1" s="1"/>
  <c r="O62" i="1"/>
  <c r="O65" i="1" s="1"/>
  <c r="I62" i="1"/>
  <c r="F62" i="1"/>
  <c r="D62" i="1"/>
  <c r="B62" i="1"/>
  <c r="F61" i="1"/>
  <c r="B61" i="1"/>
  <c r="Z60" i="1"/>
  <c r="O60" i="1"/>
  <c r="D60" i="1"/>
  <c r="AF60" i="1" s="1"/>
  <c r="AC59" i="1"/>
  <c r="AC65" i="1" s="1"/>
  <c r="F59" i="1"/>
  <c r="B59" i="1"/>
  <c r="AF59" i="1" s="1"/>
  <c r="F58" i="1"/>
  <c r="B58" i="1"/>
  <c r="AF58" i="1" s="1"/>
  <c r="F57" i="1"/>
  <c r="B57" i="1"/>
  <c r="B65" i="1" s="1"/>
  <c r="F56" i="1"/>
  <c r="B56" i="1"/>
  <c r="AF56" i="1" s="1"/>
  <c r="AF55" i="1"/>
  <c r="AD54" i="1"/>
  <c r="AC54" i="1"/>
  <c r="AB54" i="1"/>
  <c r="Z54" i="1"/>
  <c r="U54" i="1"/>
  <c r="Q54" i="1"/>
  <c r="H54" i="1"/>
  <c r="G54" i="1"/>
  <c r="F54" i="1"/>
  <c r="D54" i="1"/>
  <c r="B54" i="1"/>
  <c r="AE53" i="1"/>
  <c r="AC53" i="1"/>
  <c r="AA53" i="1"/>
  <c r="Y53" i="1"/>
  <c r="T53" i="1"/>
  <c r="S53" i="1"/>
  <c r="Q53" i="1"/>
  <c r="P53" i="1"/>
  <c r="O53" i="1"/>
  <c r="N53" i="1"/>
  <c r="L53" i="1"/>
  <c r="K53" i="1"/>
  <c r="J53" i="1"/>
  <c r="E53" i="1"/>
  <c r="C53" i="1"/>
  <c r="AD52" i="1"/>
  <c r="AD53" i="1" s="1"/>
  <c r="AB52" i="1"/>
  <c r="Z52" i="1"/>
  <c r="Z53" i="1" s="1"/>
  <c r="X52" i="1"/>
  <c r="X53" i="1" s="1"/>
  <c r="W52" i="1"/>
  <c r="V52" i="1"/>
  <c r="Q52" i="1"/>
  <c r="M52" i="1"/>
  <c r="M53" i="1" s="1"/>
  <c r="I52" i="1"/>
  <c r="I53" i="1" s="1"/>
  <c r="H52" i="1"/>
  <c r="H53" i="1" s="1"/>
  <c r="G52" i="1"/>
  <c r="G53" i="1" s="1"/>
  <c r="F52" i="1"/>
  <c r="D52" i="1"/>
  <c r="B52" i="1"/>
  <c r="F51" i="1"/>
  <c r="B51" i="1"/>
  <c r="AF51" i="1" s="1"/>
  <c r="B50" i="1"/>
  <c r="AF50" i="1" s="1"/>
  <c r="AD49" i="1"/>
  <c r="AB49" i="1"/>
  <c r="W49" i="1"/>
  <c r="W53" i="1" s="1"/>
  <c r="V49" i="1"/>
  <c r="V53" i="1" s="1"/>
  <c r="U49" i="1"/>
  <c r="U53" i="1" s="1"/>
  <c r="R49" i="1"/>
  <c r="R53" i="1" s="1"/>
  <c r="I49" i="1"/>
  <c r="F49" i="1"/>
  <c r="D49" i="1"/>
  <c r="D53" i="1" s="1"/>
  <c r="B49" i="1"/>
  <c r="AF48" i="1"/>
  <c r="AC47" i="1"/>
  <c r="Y47" i="1"/>
  <c r="P47" i="1"/>
  <c r="O47" i="1"/>
  <c r="K47" i="1"/>
  <c r="C47" i="1"/>
  <c r="AD46" i="1"/>
  <c r="AB46" i="1"/>
  <c r="AA46" i="1"/>
  <c r="Z46" i="1"/>
  <c r="X46" i="1"/>
  <c r="V46" i="1"/>
  <c r="S46" i="1"/>
  <c r="Q46" i="1"/>
  <c r="L46" i="1"/>
  <c r="H46" i="1"/>
  <c r="G46" i="1"/>
  <c r="D46" i="1"/>
  <c r="AD45" i="1"/>
  <c r="AB45" i="1"/>
  <c r="Z45" i="1"/>
  <c r="X45" i="1"/>
  <c r="S45" i="1"/>
  <c r="Q45" i="1"/>
  <c r="O45" i="1"/>
  <c r="N45" i="1"/>
  <c r="M45" i="1"/>
  <c r="J45" i="1"/>
  <c r="I45" i="1"/>
  <c r="G45" i="1"/>
  <c r="F45" i="1"/>
  <c r="D45" i="1"/>
  <c r="Z44" i="1"/>
  <c r="G44" i="1"/>
  <c r="D44" i="1"/>
  <c r="B44" i="1"/>
  <c r="AE43" i="1"/>
  <c r="AE47" i="1" s="1"/>
  <c r="B43" i="1"/>
  <c r="AD42" i="1"/>
  <c r="AB42" i="1"/>
  <c r="AA42" i="1"/>
  <c r="Z42" i="1"/>
  <c r="X42" i="1"/>
  <c r="V42" i="1"/>
  <c r="S42" i="1"/>
  <c r="Q42" i="1"/>
  <c r="L42" i="1"/>
  <c r="H42" i="1"/>
  <c r="G42" i="1"/>
  <c r="D42" i="1"/>
  <c r="Z41" i="1"/>
  <c r="W41" i="1"/>
  <c r="V41" i="1"/>
  <c r="T41" i="1"/>
  <c r="R41" i="1"/>
  <c r="Q41" i="1"/>
  <c r="N41" i="1"/>
  <c r="J41" i="1"/>
  <c r="F41" i="1"/>
  <c r="D41" i="1"/>
  <c r="B41" i="1"/>
  <c r="AD40" i="1"/>
  <c r="AB40" i="1"/>
  <c r="AA40" i="1"/>
  <c r="Z40" i="1"/>
  <c r="X40" i="1"/>
  <c r="W40" i="1"/>
  <c r="V40" i="1"/>
  <c r="U40" i="1"/>
  <c r="T40" i="1"/>
  <c r="S40" i="1"/>
  <c r="Q40" i="1"/>
  <c r="O40" i="1"/>
  <c r="N40" i="1"/>
  <c r="M40" i="1"/>
  <c r="L40" i="1"/>
  <c r="I40" i="1"/>
  <c r="H40" i="1"/>
  <c r="G40" i="1"/>
  <c r="F40" i="1"/>
  <c r="D40" i="1"/>
  <c r="B40" i="1"/>
  <c r="AF40" i="1" s="1"/>
  <c r="AD39" i="1"/>
  <c r="AB39" i="1"/>
  <c r="AA39" i="1"/>
  <c r="Z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J39" i="1"/>
  <c r="I39" i="1"/>
  <c r="I47" i="1" s="1"/>
  <c r="H39" i="1"/>
  <c r="G39" i="1"/>
  <c r="F39" i="1"/>
  <c r="E39" i="1"/>
  <c r="D39" i="1"/>
  <c r="B39" i="1"/>
  <c r="Z38" i="1"/>
  <c r="W38" i="1"/>
  <c r="W47" i="1" s="1"/>
  <c r="V38" i="1"/>
  <c r="T38" i="1"/>
  <c r="R38" i="1"/>
  <c r="R47" i="1" s="1"/>
  <c r="Q38" i="1"/>
  <c r="N38" i="1"/>
  <c r="J38" i="1"/>
  <c r="F38" i="1"/>
  <c r="F47" i="1" s="1"/>
  <c r="E38" i="1"/>
  <c r="E47" i="1" s="1"/>
  <c r="D38" i="1"/>
  <c r="B38" i="1"/>
  <c r="B37" i="1"/>
  <c r="AF37" i="1" s="1"/>
  <c r="AD36" i="1"/>
  <c r="AB36" i="1"/>
  <c r="AA36" i="1"/>
  <c r="AA47" i="1" s="1"/>
  <c r="Z36" i="1"/>
  <c r="X36" i="1"/>
  <c r="V36" i="1"/>
  <c r="S36" i="1"/>
  <c r="Q36" i="1"/>
  <c r="L36" i="1"/>
  <c r="L47" i="1" s="1"/>
  <c r="H36" i="1"/>
  <c r="G36" i="1"/>
  <c r="D36" i="1"/>
  <c r="AF35" i="1"/>
  <c r="AE34" i="1"/>
  <c r="Y34" i="1"/>
  <c r="Y91" i="1" s="1"/>
  <c r="K34" i="1"/>
  <c r="I34" i="1"/>
  <c r="I91" i="1" s="1"/>
  <c r="H34" i="1"/>
  <c r="C34" i="1"/>
  <c r="Z33" i="1"/>
  <c r="W33" i="1"/>
  <c r="V33" i="1"/>
  <c r="V34" i="1" s="1"/>
  <c r="T33" i="1"/>
  <c r="R33" i="1"/>
  <c r="R34" i="1" s="1"/>
  <c r="Q33" i="1"/>
  <c r="N33" i="1"/>
  <c r="J33" i="1"/>
  <c r="J34" i="1" s="1"/>
  <c r="F33" i="1"/>
  <c r="E33" i="1"/>
  <c r="E34" i="1" s="1"/>
  <c r="E91" i="1" s="1"/>
  <c r="D33" i="1"/>
  <c r="B33" i="1"/>
  <c r="AD32" i="1"/>
  <c r="AD34" i="1" s="1"/>
  <c r="AC32" i="1"/>
  <c r="AC34" i="1" s="1"/>
  <c r="AB32" i="1"/>
  <c r="AB34" i="1" s="1"/>
  <c r="AA32" i="1"/>
  <c r="AA34" i="1" s="1"/>
  <c r="Z32" i="1"/>
  <c r="X32" i="1"/>
  <c r="X34" i="1" s="1"/>
  <c r="W32" i="1"/>
  <c r="V32" i="1"/>
  <c r="U32" i="1"/>
  <c r="U34" i="1" s="1"/>
  <c r="T32" i="1"/>
  <c r="T34" i="1" s="1"/>
  <c r="S32" i="1"/>
  <c r="S34" i="1" s="1"/>
  <c r="Q32" i="1"/>
  <c r="Q34" i="1" s="1"/>
  <c r="P32" i="1"/>
  <c r="P34" i="1" s="1"/>
  <c r="P91" i="1" s="1"/>
  <c r="O32" i="1"/>
  <c r="O34" i="1" s="1"/>
  <c r="N32" i="1"/>
  <c r="N34" i="1" s="1"/>
  <c r="M32" i="1"/>
  <c r="M34" i="1" s="1"/>
  <c r="L32" i="1"/>
  <c r="L34" i="1" s="1"/>
  <c r="I32" i="1"/>
  <c r="H32" i="1"/>
  <c r="G32" i="1"/>
  <c r="G34" i="1" s="1"/>
  <c r="F32" i="1"/>
  <c r="D32" i="1"/>
  <c r="D34" i="1" s="1"/>
  <c r="B32" i="1"/>
  <c r="AF31" i="1"/>
  <c r="D28" i="1"/>
  <c r="D29" i="1" s="1"/>
  <c r="AE27" i="1"/>
  <c r="AD27" i="1"/>
  <c r="Y27" i="1"/>
  <c r="V27" i="1"/>
  <c r="T27" i="1"/>
  <c r="O27" i="1"/>
  <c r="M27" i="1"/>
  <c r="L27" i="1"/>
  <c r="K27" i="1"/>
  <c r="J27" i="1"/>
  <c r="I27" i="1"/>
  <c r="F27" i="1"/>
  <c r="E27" i="1"/>
  <c r="D27" i="1"/>
  <c r="C27" i="1"/>
  <c r="B27" i="1"/>
  <c r="AD26" i="1"/>
  <c r="AC26" i="1"/>
  <c r="AC27" i="1" s="1"/>
  <c r="AB26" i="1"/>
  <c r="AB27" i="1" s="1"/>
  <c r="AA26" i="1"/>
  <c r="AA27" i="1" s="1"/>
  <c r="Z26" i="1"/>
  <c r="Z27" i="1" s="1"/>
  <c r="X26" i="1"/>
  <c r="X27" i="1" s="1"/>
  <c r="W26" i="1"/>
  <c r="W27" i="1" s="1"/>
  <c r="V26" i="1"/>
  <c r="U26" i="1"/>
  <c r="U27" i="1" s="1"/>
  <c r="S26" i="1"/>
  <c r="S27" i="1" s="1"/>
  <c r="Q26" i="1"/>
  <c r="Q27" i="1" s="1"/>
  <c r="P26" i="1"/>
  <c r="P27" i="1" s="1"/>
  <c r="H26" i="1"/>
  <c r="H27" i="1" s="1"/>
  <c r="G26" i="1"/>
  <c r="G27" i="1" s="1"/>
  <c r="D26" i="1"/>
  <c r="T25" i="1"/>
  <c r="R25" i="1"/>
  <c r="R27" i="1" s="1"/>
  <c r="N25" i="1"/>
  <c r="AF25" i="1" s="1"/>
  <c r="AF24" i="1"/>
  <c r="B23" i="1"/>
  <c r="AF23" i="1" s="1"/>
  <c r="B22" i="1"/>
  <c r="AF22" i="1" s="1"/>
  <c r="AE21" i="1"/>
  <c r="AE28" i="1" s="1"/>
  <c r="AE29" i="1" s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L21" i="1"/>
  <c r="K21" i="1"/>
  <c r="J21" i="1"/>
  <c r="H21" i="1"/>
  <c r="G21" i="1"/>
  <c r="E21" i="1"/>
  <c r="D21" i="1"/>
  <c r="C21" i="1"/>
  <c r="B21" i="1"/>
  <c r="F20" i="1"/>
  <c r="AF20" i="1" s="1"/>
  <c r="M19" i="1"/>
  <c r="M21" i="1" s="1"/>
  <c r="I19" i="1"/>
  <c r="I21" i="1" s="1"/>
  <c r="F19" i="1"/>
  <c r="AF19" i="1" s="1"/>
  <c r="AE18" i="1"/>
  <c r="AD18" i="1"/>
  <c r="AC18" i="1"/>
  <c r="AB18" i="1"/>
  <c r="AA18" i="1"/>
  <c r="Z18" i="1"/>
  <c r="Z28" i="1" s="1"/>
  <c r="Z29" i="1" s="1"/>
  <c r="X18" i="1"/>
  <c r="W18" i="1"/>
  <c r="V18" i="1"/>
  <c r="U18" i="1"/>
  <c r="U28" i="1" s="1"/>
  <c r="U29" i="1" s="1"/>
  <c r="T18" i="1"/>
  <c r="T28" i="1" s="1"/>
  <c r="T29" i="1" s="1"/>
  <c r="S18" i="1"/>
  <c r="R18" i="1"/>
  <c r="Q18" i="1"/>
  <c r="P18" i="1"/>
  <c r="O18" i="1"/>
  <c r="O28" i="1" s="1"/>
  <c r="O29" i="1" s="1"/>
  <c r="N18" i="1"/>
  <c r="M18" i="1"/>
  <c r="I18" i="1"/>
  <c r="H18" i="1"/>
  <c r="H28" i="1" s="1"/>
  <c r="H29" i="1" s="1"/>
  <c r="G18" i="1"/>
  <c r="D18" i="1"/>
  <c r="C18" i="1"/>
  <c r="C28" i="1" s="1"/>
  <c r="C29" i="1" s="1"/>
  <c r="F17" i="1"/>
  <c r="AF17" i="1" s="1"/>
  <c r="F16" i="1"/>
  <c r="C16" i="1"/>
  <c r="B16" i="1"/>
  <c r="B15" i="1"/>
  <c r="AF15" i="1" s="1"/>
  <c r="B14" i="1"/>
  <c r="AF14" i="1" s="1"/>
  <c r="B13" i="1"/>
  <c r="AF13" i="1" s="1"/>
  <c r="L12" i="1"/>
  <c r="K12" i="1"/>
  <c r="F12" i="1"/>
  <c r="B12" i="1"/>
  <c r="AF12" i="1" s="1"/>
  <c r="Y11" i="1"/>
  <c r="Y18" i="1" s="1"/>
  <c r="Y28" i="1" s="1"/>
  <c r="Y29" i="1" s="1"/>
  <c r="J11" i="1"/>
  <c r="J18" i="1" s="1"/>
  <c r="E11" i="1"/>
  <c r="E18" i="1" s="1"/>
  <c r="E28" i="1" s="1"/>
  <c r="E29" i="1" s="1"/>
  <c r="B11" i="1"/>
  <c r="AF11" i="1" s="1"/>
  <c r="AF10" i="1"/>
  <c r="L10" i="1"/>
  <c r="K10" i="1"/>
  <c r="B9" i="1"/>
  <c r="AF9" i="1" s="1"/>
  <c r="K8" i="1"/>
  <c r="AF8" i="1" s="1"/>
  <c r="B8" i="1"/>
  <c r="AF7" i="1"/>
  <c r="AA91" i="1" l="1"/>
  <c r="AB91" i="1"/>
  <c r="C92" i="1"/>
  <c r="C93" i="1" s="1"/>
  <c r="J47" i="1"/>
  <c r="AA28" i="1"/>
  <c r="AA29" i="1" s="1"/>
  <c r="Z79" i="1"/>
  <c r="AF84" i="1"/>
  <c r="K18" i="1"/>
  <c r="K28" i="1" s="1"/>
  <c r="K29" i="1" s="1"/>
  <c r="P28" i="1"/>
  <c r="P29" i="1" s="1"/>
  <c r="P92" i="1" s="1"/>
  <c r="P93" i="1" s="1"/>
  <c r="AD47" i="1"/>
  <c r="Z47" i="1"/>
  <c r="V65" i="1"/>
  <c r="AC86" i="1"/>
  <c r="J28" i="1"/>
  <c r="J29" i="1" s="1"/>
  <c r="AC28" i="1"/>
  <c r="AC29" i="1" s="1"/>
  <c r="AC92" i="1" s="1"/>
  <c r="AC93" i="1" s="1"/>
  <c r="AF26" i="1"/>
  <c r="AF45" i="1"/>
  <c r="F53" i="1"/>
  <c r="AB53" i="1"/>
  <c r="AF54" i="1"/>
  <c r="F79" i="1"/>
  <c r="AF79" i="1" s="1"/>
  <c r="AF74" i="1"/>
  <c r="Z86" i="1"/>
  <c r="B86" i="1"/>
  <c r="D91" i="1"/>
  <c r="T91" i="1"/>
  <c r="T92" i="1" s="1"/>
  <c r="T93" i="1" s="1"/>
  <c r="F34" i="1"/>
  <c r="AE91" i="1"/>
  <c r="AE92" i="1" s="1"/>
  <c r="AE93" i="1" s="1"/>
  <c r="AB47" i="1"/>
  <c r="T47" i="1"/>
  <c r="AF49" i="1"/>
  <c r="AF61" i="1"/>
  <c r="O86" i="1"/>
  <c r="E92" i="1"/>
  <c r="E93" i="1" s="1"/>
  <c r="V28" i="1"/>
  <c r="V29" i="1" s="1"/>
  <c r="J91" i="1"/>
  <c r="S47" i="1"/>
  <c r="S91" i="1" s="1"/>
  <c r="S92" i="1" s="1"/>
  <c r="S93" i="1" s="1"/>
  <c r="M47" i="1"/>
  <c r="AF62" i="1"/>
  <c r="B70" i="1"/>
  <c r="AF77" i="1"/>
  <c r="Q28" i="1"/>
  <c r="Q29" i="1" s="1"/>
  <c r="Q92" i="1" s="1"/>
  <c r="Q93" i="1" s="1"/>
  <c r="AB28" i="1"/>
  <c r="AB29" i="1" s="1"/>
  <c r="AB92" i="1" s="1"/>
  <c r="AB93" i="1" s="1"/>
  <c r="W34" i="1"/>
  <c r="D47" i="1"/>
  <c r="AF42" i="1"/>
  <c r="AF16" i="1"/>
  <c r="R28" i="1"/>
  <c r="R29" i="1" s="1"/>
  <c r="X28" i="1"/>
  <c r="X29" i="1" s="1"/>
  <c r="AD28" i="1"/>
  <c r="AD29" i="1" s="1"/>
  <c r="G28" i="1"/>
  <c r="G29" i="1" s="1"/>
  <c r="C91" i="1"/>
  <c r="AF36" i="1"/>
  <c r="X47" i="1"/>
  <c r="X91" i="1" s="1"/>
  <c r="N47" i="1"/>
  <c r="N91" i="1" s="1"/>
  <c r="H47" i="1"/>
  <c r="U47" i="1"/>
  <c r="AF46" i="1"/>
  <c r="F65" i="1"/>
  <c r="AF67" i="1"/>
  <c r="V79" i="1"/>
  <c r="W79" i="1"/>
  <c r="G86" i="1"/>
  <c r="AB86" i="1"/>
  <c r="W86" i="1"/>
  <c r="AF89" i="1"/>
  <c r="D92" i="1"/>
  <c r="D93" i="1" s="1"/>
  <c r="H91" i="1"/>
  <c r="Q47" i="1"/>
  <c r="Q91" i="1" s="1"/>
  <c r="G91" i="1"/>
  <c r="AC91" i="1"/>
  <c r="K91" i="1"/>
  <c r="AF52" i="1"/>
  <c r="AF57" i="1"/>
  <c r="B79" i="1"/>
  <c r="AD79" i="1"/>
  <c r="AD91" i="1" s="1"/>
  <c r="AD92" i="1" s="1"/>
  <c r="AD93" i="1" s="1"/>
  <c r="AF81" i="1"/>
  <c r="V86" i="1"/>
  <c r="AF86" i="1" s="1"/>
  <c r="H92" i="1"/>
  <c r="H93" i="1" s="1"/>
  <c r="F21" i="1"/>
  <c r="V47" i="1"/>
  <c r="V91" i="1" s="1"/>
  <c r="B18" i="1"/>
  <c r="L18" i="1"/>
  <c r="L28" i="1" s="1"/>
  <c r="L29" i="1" s="1"/>
  <c r="M28" i="1"/>
  <c r="M29" i="1" s="1"/>
  <c r="M92" i="1" s="1"/>
  <c r="M93" i="1" s="1"/>
  <c r="S28" i="1"/>
  <c r="S29" i="1" s="1"/>
  <c r="W28" i="1"/>
  <c r="W29" i="1" s="1"/>
  <c r="AF32" i="1"/>
  <c r="Z34" i="1"/>
  <c r="AF38" i="1"/>
  <c r="AF39" i="1"/>
  <c r="AF41" i="1"/>
  <c r="AF44" i="1"/>
  <c r="G47" i="1"/>
  <c r="Z65" i="1"/>
  <c r="X79" i="1"/>
  <c r="AF75" i="1"/>
  <c r="AF78" i="1"/>
  <c r="X86" i="1"/>
  <c r="O91" i="1"/>
  <c r="AF65" i="1"/>
  <c r="B28" i="1"/>
  <c r="Y92" i="1"/>
  <c r="Y93" i="1" s="1"/>
  <c r="O92" i="1"/>
  <c r="O93" i="1" s="1"/>
  <c r="J92" i="1"/>
  <c r="J93" i="1" s="1"/>
  <c r="AA92" i="1"/>
  <c r="AA93" i="1" s="1"/>
  <c r="L91" i="1"/>
  <c r="U91" i="1"/>
  <c r="R91" i="1"/>
  <c r="R92" i="1" s="1"/>
  <c r="R93" i="1" s="1"/>
  <c r="I28" i="1"/>
  <c r="I29" i="1" s="1"/>
  <c r="I92" i="1" s="1"/>
  <c r="I93" i="1" s="1"/>
  <c r="M91" i="1"/>
  <c r="AF90" i="1"/>
  <c r="U92" i="1"/>
  <c r="U93" i="1" s="1"/>
  <c r="AF21" i="1"/>
  <c r="W91" i="1"/>
  <c r="W92" i="1" s="1"/>
  <c r="W93" i="1" s="1"/>
  <c r="AF33" i="1"/>
  <c r="AF43" i="1"/>
  <c r="AF83" i="1"/>
  <c r="AF82" i="1"/>
  <c r="B34" i="1"/>
  <c r="B53" i="1"/>
  <c r="AF88" i="1"/>
  <c r="B47" i="1"/>
  <c r="AF72" i="1"/>
  <c r="F70" i="1"/>
  <c r="N27" i="1"/>
  <c r="N28" i="1" s="1"/>
  <c r="N29" i="1" s="1"/>
  <c r="F18" i="1"/>
  <c r="F28" i="1" s="1"/>
  <c r="F29" i="1" s="1"/>
  <c r="N92" i="1" l="1"/>
  <c r="N93" i="1" s="1"/>
  <c r="F91" i="1"/>
  <c r="Z91" i="1"/>
  <c r="Z92" i="1" s="1"/>
  <c r="Z93" i="1" s="1"/>
  <c r="AF47" i="1"/>
  <c r="V92" i="1"/>
  <c r="V93" i="1" s="1"/>
  <c r="K92" i="1"/>
  <c r="K93" i="1" s="1"/>
  <c r="X92" i="1"/>
  <c r="X93" i="1" s="1"/>
  <c r="AF53" i="1"/>
  <c r="L92" i="1"/>
  <c r="L93" i="1" s="1"/>
  <c r="G92" i="1"/>
  <c r="G93" i="1" s="1"/>
  <c r="AF70" i="1"/>
  <c r="B91" i="1"/>
  <c r="AF91" i="1" s="1"/>
  <c r="AF34" i="1"/>
  <c r="B29" i="1"/>
  <c r="AF28" i="1"/>
  <c r="AF27" i="1"/>
  <c r="F92" i="1"/>
  <c r="F93" i="1" s="1"/>
  <c r="AF18" i="1"/>
  <c r="AF29" i="1" l="1"/>
  <c r="B92" i="1"/>
  <c r="B93" i="1" l="1"/>
  <c r="AF93" i="1" s="1"/>
  <c r="AF92" i="1"/>
</calcChain>
</file>

<file path=xl/sharedStrings.xml><?xml version="1.0" encoding="utf-8"?>
<sst xmlns="http://schemas.openxmlformats.org/spreadsheetml/2006/main" count="122" uniqueCount="122">
  <si>
    <t>0010 - Operations</t>
  </si>
  <si>
    <t>0025 - Staff Account</t>
  </si>
  <si>
    <t>0065 - CRRSA</t>
  </si>
  <si>
    <t>0110 - NKYEC</t>
  </si>
  <si>
    <t>1100 - RSP</t>
  </si>
  <si>
    <t>1135 - DEI Grant</t>
  </si>
  <si>
    <t>1260- Positive Action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</si>
  <si>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</si>
  <si>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</si>
  <si>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</si>
  <si>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</si>
  <si>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</si>
  <si>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</si>
  <si>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2200 - Mandarin Program</t>
  </si>
  <si>
    <t>2310 - KDE Intern</t>
  </si>
  <si>
    <t>2800 - Arts in Education</t>
  </si>
  <si>
    <t>2910 - DAIL</t>
  </si>
  <si>
    <t>3010 - FRYSC - Fed</t>
  </si>
  <si>
    <t>3220 - PERS Effectiveness Coach</t>
  </si>
  <si>
    <t>3299 - ARP</t>
  </si>
  <si>
    <t>336J - IDEA B 22-23</t>
  </si>
  <si>
    <t>336K - IDEA B 23-24</t>
  </si>
  <si>
    <t>3416- SPF</t>
  </si>
  <si>
    <t>3420 - Interact for Health</t>
  </si>
  <si>
    <t>3425 - Deeper Learning</t>
  </si>
  <si>
    <t>345J - Title III  EL 22-23</t>
  </si>
  <si>
    <t>3800 - Trauma Informed</t>
  </si>
  <si>
    <t>3900 - New Teacher</t>
  </si>
  <si>
    <t>3925 - Mental Health</t>
  </si>
  <si>
    <t>Not Specified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</si>
  <si>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</si>
  <si>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</si>
  <si>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</si>
  <si>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</si>
  <si>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</si>
  <si>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</si>
  <si>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</si>
  <si>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</si>
  <si>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</si>
  <si>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</si>
  <si>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</si>
  <si>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</si>
  <si>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</si>
  <si>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</si>
  <si>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</si>
  <si>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</si>
  <si>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</si>
  <si>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</si>
  <si>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</si>
  <si>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</si>
  <si>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</si>
  <si>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</si>
  <si>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</si>
  <si>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</si>
  <si>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</si>
  <si>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</si>
  <si>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</si>
  <si>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</si>
  <si>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</si>
  <si>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</si>
  <si>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</si>
  <si>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</si>
  <si>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</si>
  <si>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</si>
  <si>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</si>
  <si>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</si>
  <si>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</si>
  <si>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</si>
  <si>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</si>
  <si>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</si>
  <si>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</si>
  <si>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</si>
  <si>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</si>
  <si>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</si>
  <si>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</si>
  <si>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</si>
  <si>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</si>
  <si>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</si>
  <si>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</si>
  <si>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</si>
  <si>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</si>
  <si>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</si>
  <si>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</si>
  <si>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</si>
  <si>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</si>
  <si>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</si>
  <si>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</si>
  <si>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</si>
  <si>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</si>
  <si>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</si>
  <si>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</si>
  <si>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</si>
  <si>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</si>
  <si>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</si>
  <si>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   40529 BONDING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</si>
  <si>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</si>
  <si>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</si>
  <si>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</si>
  <si>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</si>
  <si>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</si>
  <si>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</si>
  <si>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</si>
  <si>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</si>
  <si>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   40615 JANITORIAL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</si>
  <si>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</si>
  <si>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</si>
  <si>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</si>
  <si>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</si>
  <si>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</si>
  <si>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</si>
  <si>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</si>
  <si>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</si>
  <si>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</si>
  <si>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</si>
  <si>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</si>
  <si>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</si>
  <si>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</si>
  <si>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</si>
  <si>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</si>
  <si>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</si>
  <si>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</si>
  <si>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- September,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</si>
</sst>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7"/>
  <sheetViews>
    <sheetView tabSelected="1" workbookViewId="0">
      <selection activeCell="A96" sqref="A96"/>
    </sheetView>
  </sheetViews>
  <sheetFormatPr defaultRowHeight="15" x14ac:dyDescent="0.25"/>
  <cols>
    <col min="1" max="1" width="37.85546875" customWidth="1"/>
    <col min="2" max="2" width="10.28515625" customWidth="1"/>
    <col min="3" max="3" width="7.7109375" customWidth="1"/>
    <col min="4" max="4" width="10.28515625" customWidth="1"/>
    <col min="5" max="5" width="9.42578125" customWidth="1"/>
    <col min="6" max="6" width="12" customWidth="1"/>
    <col min="7" max="7" width="10.28515625" customWidth="1"/>
    <col min="8" max="8" width="11.140625" customWidth="1"/>
    <col min="9" max="11" width="9.42578125" customWidth="1"/>
    <col min="12" max="12" width="11.140625" customWidth="1"/>
    <col min="13" max="13" width="9.42578125" customWidth="1"/>
    <col min="14" max="14" width="10.28515625" customWidth="1"/>
    <col min="15" max="15" width="11.140625" customWidth="1"/>
    <col min="16" max="16" width="8.5703125" customWidth="1"/>
    <col min="17" max="19" width="10.28515625" customWidth="1"/>
    <col min="20" max="20" width="9.42578125" customWidth="1"/>
    <col min="21" max="21" width="8.5703125" customWidth="1"/>
    <col min="22" max="22" width="10.28515625" customWidth="1"/>
    <col min="23" max="23" width="9.42578125" customWidth="1"/>
    <col min="24" max="24" width="11.140625" customWidth="1"/>
    <col min="25" max="25" width="9.42578125" customWidth="1"/>
    <col min="26" max="26" width="12" customWidth="1"/>
    <col min="27" max="27" width="8.5703125" customWidth="1"/>
    <col min="28" max="28" width="11.140625" customWidth="1"/>
    <col min="29" max="29" width="12" customWidth="1"/>
    <col min="30" max="30" width="10.28515625" customWidth="1"/>
    <col min="31" max="31" width="7.7109375" hidden="1" customWidth="1"/>
    <col min="32" max="32" width="12" customWidth="1"/>
  </cols>
  <sheetData>
    <row r="1" spans="1:32" ht="18" x14ac:dyDescent="0.25">
      <c r="A1" s="10" t="s">
        <v>119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18" x14ac:dyDescent="0.25">
      <c r="A2" s="10" t="s">
        <v>120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spans="1:32" x14ac:dyDescent="0.25">
      <c r="A3" s="11" t="s">
        <v>121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5" spans="1:32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  <c r="AF5" s="2" t="s">
        <v>30</v>
      </c>
    </row>
    <row r="6" spans="1:32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3" t="s">
        <v>32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5">
        <f t="shared" ref="AF7:AF29" si="0">(((((((((((((((((((((((((((((B7)+(C7))+(D7))+(E7))+(F7))+(G7))+(H7))+(I7))+(J7))+(K7))+(L7))+(M7))+(N7))+(O7))+(P7))+(Q7))+(R7))+(S7))+(T7))+(U7))+(V7))+(W7))+(X7))+(Y7))+(Z7))+(AA7))+(AB7))+(AC7))+(AD7))+(AE7)</f>
        <v>0</v>
      </c>
    </row>
    <row r="8" spans="1:32" x14ac:dyDescent="0.25">
      <c r="A8" s="3" t="s">
        <v>33</v>
      </c>
      <c r="B8" s="5">
        <f>272122.23</f>
        <v>272122.23</v>
      </c>
      <c r="C8" s="4"/>
      <c r="D8" s="4"/>
      <c r="E8" s="4"/>
      <c r="F8" s="4"/>
      <c r="G8" s="4"/>
      <c r="H8" s="4"/>
      <c r="I8" s="4"/>
      <c r="J8" s="4"/>
      <c r="K8" s="5">
        <f>400</f>
        <v>400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5">
        <f t="shared" si="0"/>
        <v>272522.23</v>
      </c>
    </row>
    <row r="9" spans="1:32" x14ac:dyDescent="0.25">
      <c r="A9" s="3" t="s">
        <v>34</v>
      </c>
      <c r="B9" s="5">
        <f>26134.51</f>
        <v>26134.51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5">
        <f t="shared" si="0"/>
        <v>26134.51</v>
      </c>
    </row>
    <row r="10" spans="1:32" x14ac:dyDescent="0.25">
      <c r="A10" s="3" t="s">
        <v>35</v>
      </c>
      <c r="B10" s="4"/>
      <c r="C10" s="4"/>
      <c r="D10" s="4"/>
      <c r="E10" s="4"/>
      <c r="F10" s="4"/>
      <c r="G10" s="4"/>
      <c r="H10" s="4"/>
      <c r="I10" s="4"/>
      <c r="J10" s="4"/>
      <c r="K10" s="5">
        <f>16750.9</f>
        <v>16750.900000000001</v>
      </c>
      <c r="L10" s="5">
        <f>11400</f>
        <v>11400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5">
        <f t="shared" si="0"/>
        <v>28150.9</v>
      </c>
    </row>
    <row r="11" spans="1:32" x14ac:dyDescent="0.25">
      <c r="A11" s="3" t="s">
        <v>36</v>
      </c>
      <c r="B11" s="5">
        <f>25000</f>
        <v>25000</v>
      </c>
      <c r="C11" s="4"/>
      <c r="D11" s="4"/>
      <c r="E11" s="5">
        <f>12932.87</f>
        <v>12932.87</v>
      </c>
      <c r="F11" s="4"/>
      <c r="G11" s="4"/>
      <c r="H11" s="4"/>
      <c r="I11" s="4"/>
      <c r="J11" s="5">
        <f>32008.01</f>
        <v>32008.01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5">
        <f>30065</f>
        <v>30065</v>
      </c>
      <c r="Z11" s="4"/>
      <c r="AA11" s="4"/>
      <c r="AB11" s="4"/>
      <c r="AC11" s="4"/>
      <c r="AD11" s="4"/>
      <c r="AE11" s="4"/>
      <c r="AF11" s="5">
        <f t="shared" si="0"/>
        <v>100005.88</v>
      </c>
    </row>
    <row r="12" spans="1:32" x14ac:dyDescent="0.25">
      <c r="A12" s="3" t="s">
        <v>37</v>
      </c>
      <c r="B12" s="5">
        <f>979.29</f>
        <v>979.29</v>
      </c>
      <c r="C12" s="4"/>
      <c r="D12" s="4"/>
      <c r="E12" s="4"/>
      <c r="F12" s="5">
        <f>61.25</f>
        <v>61.25</v>
      </c>
      <c r="G12" s="4"/>
      <c r="H12" s="4"/>
      <c r="I12" s="4"/>
      <c r="J12" s="4"/>
      <c r="K12" s="5">
        <f>0</f>
        <v>0</v>
      </c>
      <c r="L12" s="5">
        <f>787.5</f>
        <v>787.5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5">
        <f t="shared" si="0"/>
        <v>1828.04</v>
      </c>
    </row>
    <row r="13" spans="1:32" x14ac:dyDescent="0.25">
      <c r="A13" s="3" t="s">
        <v>38</v>
      </c>
      <c r="B13" s="5">
        <f>25159.19</f>
        <v>25159.19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5">
        <f t="shared" si="0"/>
        <v>25159.19</v>
      </c>
    </row>
    <row r="14" spans="1:32" x14ac:dyDescent="0.25">
      <c r="A14" s="3" t="s">
        <v>39</v>
      </c>
      <c r="B14" s="5">
        <f>317342.11</f>
        <v>317342.11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5">
        <f t="shared" si="0"/>
        <v>317342.11</v>
      </c>
    </row>
    <row r="15" spans="1:32" x14ac:dyDescent="0.25">
      <c r="A15" s="3" t="s">
        <v>40</v>
      </c>
      <c r="B15" s="5">
        <f>21700</f>
        <v>21700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5">
        <f t="shared" si="0"/>
        <v>21700</v>
      </c>
    </row>
    <row r="16" spans="1:32" x14ac:dyDescent="0.25">
      <c r="A16" s="3" t="s">
        <v>41</v>
      </c>
      <c r="B16" s="5">
        <f>70</f>
        <v>70</v>
      </c>
      <c r="C16" s="5">
        <f>75</f>
        <v>75</v>
      </c>
      <c r="D16" s="4"/>
      <c r="E16" s="4"/>
      <c r="F16" s="5">
        <f>0</f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5">
        <f t="shared" si="0"/>
        <v>145</v>
      </c>
    </row>
    <row r="17" spans="1:32" x14ac:dyDescent="0.25">
      <c r="A17" s="3" t="s">
        <v>42</v>
      </c>
      <c r="B17" s="4"/>
      <c r="C17" s="4"/>
      <c r="D17" s="4"/>
      <c r="E17" s="4"/>
      <c r="F17" s="5">
        <f>46620</f>
        <v>46620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5">
        <f t="shared" si="0"/>
        <v>46620</v>
      </c>
    </row>
    <row r="18" spans="1:32" x14ac:dyDescent="0.25">
      <c r="A18" s="3" t="s">
        <v>43</v>
      </c>
      <c r="B18" s="6">
        <f t="shared" ref="B18:AE18" si="1">((((((((((B7)+(B8))+(B9))+(B10))+(B11))+(B12))+(B13))+(B14))+(B15))+(B16))+(B17)</f>
        <v>688507.33</v>
      </c>
      <c r="C18" s="6">
        <f t="shared" si="1"/>
        <v>75</v>
      </c>
      <c r="D18" s="6">
        <f t="shared" si="1"/>
        <v>0</v>
      </c>
      <c r="E18" s="6">
        <f t="shared" si="1"/>
        <v>12932.87</v>
      </c>
      <c r="F18" s="6">
        <f t="shared" si="1"/>
        <v>46681.25</v>
      </c>
      <c r="G18" s="6">
        <f t="shared" si="1"/>
        <v>0</v>
      </c>
      <c r="H18" s="6">
        <f t="shared" si="1"/>
        <v>0</v>
      </c>
      <c r="I18" s="6">
        <f t="shared" si="1"/>
        <v>0</v>
      </c>
      <c r="J18" s="6">
        <f t="shared" si="1"/>
        <v>32008.01</v>
      </c>
      <c r="K18" s="6">
        <f t="shared" si="1"/>
        <v>17150.900000000001</v>
      </c>
      <c r="L18" s="6">
        <f t="shared" si="1"/>
        <v>12187.5</v>
      </c>
      <c r="M18" s="6">
        <f t="shared" si="1"/>
        <v>0</v>
      </c>
      <c r="N18" s="6">
        <f t="shared" si="1"/>
        <v>0</v>
      </c>
      <c r="O18" s="6">
        <f t="shared" si="1"/>
        <v>0</v>
      </c>
      <c r="P18" s="6">
        <f t="shared" si="1"/>
        <v>0</v>
      </c>
      <c r="Q18" s="6">
        <f t="shared" si="1"/>
        <v>0</v>
      </c>
      <c r="R18" s="6">
        <f t="shared" si="1"/>
        <v>0</v>
      </c>
      <c r="S18" s="6">
        <f t="shared" si="1"/>
        <v>0</v>
      </c>
      <c r="T18" s="6">
        <f t="shared" si="1"/>
        <v>0</v>
      </c>
      <c r="U18" s="6">
        <f t="shared" si="1"/>
        <v>0</v>
      </c>
      <c r="V18" s="6">
        <f t="shared" si="1"/>
        <v>0</v>
      </c>
      <c r="W18" s="6">
        <f t="shared" si="1"/>
        <v>0</v>
      </c>
      <c r="X18" s="6">
        <f t="shared" si="1"/>
        <v>0</v>
      </c>
      <c r="Y18" s="6">
        <f t="shared" si="1"/>
        <v>30065</v>
      </c>
      <c r="Z18" s="6">
        <f t="shared" si="1"/>
        <v>0</v>
      </c>
      <c r="AA18" s="6">
        <f t="shared" si="1"/>
        <v>0</v>
      </c>
      <c r="AB18" s="6">
        <f t="shared" si="1"/>
        <v>0</v>
      </c>
      <c r="AC18" s="6">
        <f t="shared" si="1"/>
        <v>0</v>
      </c>
      <c r="AD18" s="6">
        <f t="shared" si="1"/>
        <v>0</v>
      </c>
      <c r="AE18" s="6">
        <f t="shared" si="1"/>
        <v>0</v>
      </c>
      <c r="AF18" s="6">
        <f t="shared" si="0"/>
        <v>839607.86</v>
      </c>
    </row>
    <row r="19" spans="1:32" x14ac:dyDescent="0.25">
      <c r="A19" s="3" t="s">
        <v>44</v>
      </c>
      <c r="B19" s="4"/>
      <c r="C19" s="4"/>
      <c r="D19" s="4"/>
      <c r="E19" s="4"/>
      <c r="F19" s="5">
        <f>1128913.65</f>
        <v>1128913.6499999999</v>
      </c>
      <c r="G19" s="4"/>
      <c r="H19" s="4"/>
      <c r="I19" s="5">
        <f>44810.4</f>
        <v>44810.400000000001</v>
      </c>
      <c r="J19" s="4"/>
      <c r="K19" s="4"/>
      <c r="L19" s="4"/>
      <c r="M19" s="5">
        <f>64256.54</f>
        <v>64256.54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5"/>
      <c r="AF19" s="5">
        <f t="shared" si="0"/>
        <v>1237980.5899999999</v>
      </c>
    </row>
    <row r="20" spans="1:32" x14ac:dyDescent="0.25">
      <c r="A20" s="3" t="s">
        <v>45</v>
      </c>
      <c r="B20" s="4"/>
      <c r="C20" s="4"/>
      <c r="D20" s="4"/>
      <c r="E20" s="4"/>
      <c r="F20" s="5">
        <f>17180.85</f>
        <v>17180.849999999999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5">
        <f t="shared" si="0"/>
        <v>17180.849999999999</v>
      </c>
    </row>
    <row r="21" spans="1:32" x14ac:dyDescent="0.25">
      <c r="A21" s="3" t="s">
        <v>46</v>
      </c>
      <c r="B21" s="6">
        <f t="shared" ref="B21:AE21" si="2">(B19)+(B20)</f>
        <v>0</v>
      </c>
      <c r="C21" s="6">
        <f t="shared" si="2"/>
        <v>0</v>
      </c>
      <c r="D21" s="6">
        <f t="shared" si="2"/>
        <v>0</v>
      </c>
      <c r="E21" s="6">
        <f t="shared" si="2"/>
        <v>0</v>
      </c>
      <c r="F21" s="6">
        <f t="shared" si="2"/>
        <v>1146094.5</v>
      </c>
      <c r="G21" s="6">
        <f t="shared" si="2"/>
        <v>0</v>
      </c>
      <c r="H21" s="6">
        <f t="shared" si="2"/>
        <v>0</v>
      </c>
      <c r="I21" s="6">
        <f t="shared" si="2"/>
        <v>44810.400000000001</v>
      </c>
      <c r="J21" s="6">
        <f t="shared" si="2"/>
        <v>0</v>
      </c>
      <c r="K21" s="6">
        <f t="shared" si="2"/>
        <v>0</v>
      </c>
      <c r="L21" s="6">
        <f t="shared" si="2"/>
        <v>0</v>
      </c>
      <c r="M21" s="6">
        <f t="shared" si="2"/>
        <v>64256.54</v>
      </c>
      <c r="N21" s="6">
        <f t="shared" si="2"/>
        <v>0</v>
      </c>
      <c r="O21" s="6">
        <f t="shared" si="2"/>
        <v>0</v>
      </c>
      <c r="P21" s="6">
        <f t="shared" si="2"/>
        <v>0</v>
      </c>
      <c r="Q21" s="6">
        <f t="shared" si="2"/>
        <v>0</v>
      </c>
      <c r="R21" s="6">
        <f t="shared" si="2"/>
        <v>0</v>
      </c>
      <c r="S21" s="6">
        <f t="shared" si="2"/>
        <v>0</v>
      </c>
      <c r="T21" s="6">
        <f t="shared" si="2"/>
        <v>0</v>
      </c>
      <c r="U21" s="6">
        <f t="shared" si="2"/>
        <v>0</v>
      </c>
      <c r="V21" s="6">
        <f t="shared" si="2"/>
        <v>0</v>
      </c>
      <c r="W21" s="6">
        <f t="shared" si="2"/>
        <v>0</v>
      </c>
      <c r="X21" s="6">
        <f t="shared" si="2"/>
        <v>0</v>
      </c>
      <c r="Y21" s="6">
        <f t="shared" si="2"/>
        <v>0</v>
      </c>
      <c r="Z21" s="6">
        <f t="shared" si="2"/>
        <v>0</v>
      </c>
      <c r="AA21" s="6">
        <f t="shared" si="2"/>
        <v>0</v>
      </c>
      <c r="AB21" s="6">
        <f t="shared" si="2"/>
        <v>0</v>
      </c>
      <c r="AC21" s="6">
        <f t="shared" si="2"/>
        <v>0</v>
      </c>
      <c r="AD21" s="6">
        <f t="shared" si="2"/>
        <v>0</v>
      </c>
      <c r="AE21" s="6">
        <f t="shared" si="2"/>
        <v>0</v>
      </c>
      <c r="AF21" s="6">
        <f t="shared" si="0"/>
        <v>1255161.44</v>
      </c>
    </row>
    <row r="22" spans="1:32" x14ac:dyDescent="0.25">
      <c r="A22" s="3" t="s">
        <v>47</v>
      </c>
      <c r="B22" s="5">
        <f>23373</f>
        <v>23373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5">
        <f t="shared" si="0"/>
        <v>23373</v>
      </c>
    </row>
    <row r="23" spans="1:32" x14ac:dyDescent="0.25">
      <c r="A23" s="3" t="s">
        <v>48</v>
      </c>
      <c r="B23" s="5">
        <f>16690.32</f>
        <v>16690.32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5">
        <f t="shared" si="0"/>
        <v>16690.32</v>
      </c>
    </row>
    <row r="24" spans="1:32" x14ac:dyDescent="0.25">
      <c r="A24" s="3" t="s">
        <v>49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5">
        <f t="shared" si="0"/>
        <v>0</v>
      </c>
    </row>
    <row r="25" spans="1:32" x14ac:dyDescent="0.25">
      <c r="A25" s="3" t="s">
        <v>50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>
        <f>270765.25</f>
        <v>270765.25</v>
      </c>
      <c r="O25" s="4"/>
      <c r="P25" s="4"/>
      <c r="Q25" s="4"/>
      <c r="R25" s="5">
        <f>229490.05</f>
        <v>229490.05</v>
      </c>
      <c r="S25" s="4"/>
      <c r="T25" s="5">
        <f>54144.94</f>
        <v>54144.94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5">
        <f t="shared" si="0"/>
        <v>554400.24</v>
      </c>
    </row>
    <row r="26" spans="1:32" x14ac:dyDescent="0.25">
      <c r="A26" s="3" t="s">
        <v>51</v>
      </c>
      <c r="B26" s="4"/>
      <c r="C26" s="4"/>
      <c r="D26" s="5">
        <f>177395.53</f>
        <v>177395.53</v>
      </c>
      <c r="E26" s="4"/>
      <c r="F26" s="4"/>
      <c r="G26" s="5">
        <f>53949.11</f>
        <v>53949.11</v>
      </c>
      <c r="H26" s="5">
        <f>28704.03</f>
        <v>28704.03</v>
      </c>
      <c r="I26" s="4"/>
      <c r="J26" s="4"/>
      <c r="K26" s="4"/>
      <c r="L26" s="4"/>
      <c r="M26" s="4"/>
      <c r="N26" s="4"/>
      <c r="O26" s="4"/>
      <c r="P26" s="5">
        <f>1095.66</f>
        <v>1095.6600000000001</v>
      </c>
      <c r="Q26" s="5">
        <f>368575.74</f>
        <v>368575.74</v>
      </c>
      <c r="R26" s="4"/>
      <c r="S26" s="5">
        <f>202962.34</f>
        <v>202962.34</v>
      </c>
      <c r="T26" s="4"/>
      <c r="U26" s="5">
        <f>7332.04</f>
        <v>7332.04</v>
      </c>
      <c r="V26" s="5">
        <f>257714.97</f>
        <v>257714.97</v>
      </c>
      <c r="W26" s="5">
        <f>28050</f>
        <v>28050</v>
      </c>
      <c r="X26" s="5">
        <f>55155.05</f>
        <v>55155.05</v>
      </c>
      <c r="Y26" s="4"/>
      <c r="Z26" s="5">
        <f>-4815.77</f>
        <v>-4815.7700000000004</v>
      </c>
      <c r="AA26" s="5">
        <f>5120.45</f>
        <v>5120.45</v>
      </c>
      <c r="AB26" s="5">
        <f>47407.94</f>
        <v>47407.94</v>
      </c>
      <c r="AC26" s="5">
        <f>142.79</f>
        <v>142.79</v>
      </c>
      <c r="AD26" s="5">
        <f>119314.41</f>
        <v>119314.41</v>
      </c>
      <c r="AE26" s="4"/>
      <c r="AF26" s="5">
        <f t="shared" si="0"/>
        <v>1348104.29</v>
      </c>
    </row>
    <row r="27" spans="1:32" x14ac:dyDescent="0.25">
      <c r="A27" s="3" t="s">
        <v>52</v>
      </c>
      <c r="B27" s="6">
        <f t="shared" ref="B27:AE27" si="3">((B24)+(B25))+(B26)</f>
        <v>0</v>
      </c>
      <c r="C27" s="6">
        <f t="shared" si="3"/>
        <v>0</v>
      </c>
      <c r="D27" s="6">
        <f t="shared" si="3"/>
        <v>177395.53</v>
      </c>
      <c r="E27" s="6">
        <f t="shared" si="3"/>
        <v>0</v>
      </c>
      <c r="F27" s="6">
        <f t="shared" si="3"/>
        <v>0</v>
      </c>
      <c r="G27" s="6">
        <f t="shared" si="3"/>
        <v>53949.11</v>
      </c>
      <c r="H27" s="6">
        <f t="shared" si="3"/>
        <v>28704.03</v>
      </c>
      <c r="I27" s="6">
        <f t="shared" si="3"/>
        <v>0</v>
      </c>
      <c r="J27" s="6">
        <f t="shared" si="3"/>
        <v>0</v>
      </c>
      <c r="K27" s="6">
        <f t="shared" si="3"/>
        <v>0</v>
      </c>
      <c r="L27" s="6">
        <f t="shared" si="3"/>
        <v>0</v>
      </c>
      <c r="M27" s="6">
        <f t="shared" si="3"/>
        <v>0</v>
      </c>
      <c r="N27" s="6">
        <f t="shared" si="3"/>
        <v>270765.25</v>
      </c>
      <c r="O27" s="6">
        <f t="shared" si="3"/>
        <v>0</v>
      </c>
      <c r="P27" s="6">
        <f t="shared" si="3"/>
        <v>1095.6600000000001</v>
      </c>
      <c r="Q27" s="6">
        <f t="shared" si="3"/>
        <v>368575.74</v>
      </c>
      <c r="R27" s="6">
        <f t="shared" si="3"/>
        <v>229490.05</v>
      </c>
      <c r="S27" s="6">
        <f t="shared" si="3"/>
        <v>202962.34</v>
      </c>
      <c r="T27" s="6">
        <f t="shared" si="3"/>
        <v>54144.94</v>
      </c>
      <c r="U27" s="6">
        <f t="shared" si="3"/>
        <v>7332.04</v>
      </c>
      <c r="V27" s="6">
        <f t="shared" si="3"/>
        <v>257714.97</v>
      </c>
      <c r="W27" s="6">
        <f t="shared" si="3"/>
        <v>28050</v>
      </c>
      <c r="X27" s="6">
        <f t="shared" si="3"/>
        <v>55155.05</v>
      </c>
      <c r="Y27" s="6">
        <f t="shared" si="3"/>
        <v>0</v>
      </c>
      <c r="Z27" s="6">
        <f t="shared" si="3"/>
        <v>-4815.7700000000004</v>
      </c>
      <c r="AA27" s="6">
        <f t="shared" si="3"/>
        <v>5120.45</v>
      </c>
      <c r="AB27" s="6">
        <f t="shared" si="3"/>
        <v>47407.94</v>
      </c>
      <c r="AC27" s="6">
        <f t="shared" si="3"/>
        <v>142.79</v>
      </c>
      <c r="AD27" s="6">
        <f t="shared" si="3"/>
        <v>119314.41</v>
      </c>
      <c r="AE27" s="6">
        <f t="shared" si="3"/>
        <v>0</v>
      </c>
      <c r="AF27" s="6">
        <f t="shared" si="0"/>
        <v>1902504.53</v>
      </c>
    </row>
    <row r="28" spans="1:32" x14ac:dyDescent="0.25">
      <c r="A28" s="3" t="s">
        <v>53</v>
      </c>
      <c r="B28" s="6">
        <f t="shared" ref="B28:AE28" si="4">((((B18)+(B21))+(B22))+(B23))+(B27)</f>
        <v>728570.64999999991</v>
      </c>
      <c r="C28" s="6">
        <f t="shared" si="4"/>
        <v>75</v>
      </c>
      <c r="D28" s="6">
        <f t="shared" si="4"/>
        <v>177395.53</v>
      </c>
      <c r="E28" s="6">
        <f t="shared" si="4"/>
        <v>12932.87</v>
      </c>
      <c r="F28" s="6">
        <f t="shared" si="4"/>
        <v>1192775.75</v>
      </c>
      <c r="G28" s="6">
        <f t="shared" si="4"/>
        <v>53949.11</v>
      </c>
      <c r="H28" s="6">
        <f t="shared" si="4"/>
        <v>28704.03</v>
      </c>
      <c r="I28" s="6">
        <f t="shared" si="4"/>
        <v>44810.400000000001</v>
      </c>
      <c r="J28" s="6">
        <f t="shared" si="4"/>
        <v>32008.01</v>
      </c>
      <c r="K28" s="6">
        <f t="shared" si="4"/>
        <v>17150.900000000001</v>
      </c>
      <c r="L28" s="6">
        <f t="shared" si="4"/>
        <v>12187.5</v>
      </c>
      <c r="M28" s="6">
        <f t="shared" si="4"/>
        <v>64256.54</v>
      </c>
      <c r="N28" s="6">
        <f t="shared" si="4"/>
        <v>270765.25</v>
      </c>
      <c r="O28" s="6">
        <f t="shared" si="4"/>
        <v>0</v>
      </c>
      <c r="P28" s="6">
        <f t="shared" si="4"/>
        <v>1095.6600000000001</v>
      </c>
      <c r="Q28" s="6">
        <f t="shared" si="4"/>
        <v>368575.74</v>
      </c>
      <c r="R28" s="6">
        <f t="shared" si="4"/>
        <v>229490.05</v>
      </c>
      <c r="S28" s="6">
        <f t="shared" si="4"/>
        <v>202962.34</v>
      </c>
      <c r="T28" s="6">
        <f t="shared" si="4"/>
        <v>54144.94</v>
      </c>
      <c r="U28" s="6">
        <f t="shared" si="4"/>
        <v>7332.04</v>
      </c>
      <c r="V28" s="6">
        <f t="shared" si="4"/>
        <v>257714.97</v>
      </c>
      <c r="W28" s="6">
        <f t="shared" si="4"/>
        <v>28050</v>
      </c>
      <c r="X28" s="6">
        <f t="shared" si="4"/>
        <v>55155.05</v>
      </c>
      <c r="Y28" s="6">
        <f t="shared" si="4"/>
        <v>30065</v>
      </c>
      <c r="Z28" s="6">
        <f t="shared" si="4"/>
        <v>-4815.7700000000004</v>
      </c>
      <c r="AA28" s="6">
        <f t="shared" si="4"/>
        <v>5120.45</v>
      </c>
      <c r="AB28" s="6">
        <f t="shared" si="4"/>
        <v>47407.94</v>
      </c>
      <c r="AC28" s="6">
        <f t="shared" si="4"/>
        <v>142.79</v>
      </c>
      <c r="AD28" s="6">
        <f t="shared" si="4"/>
        <v>119314.41</v>
      </c>
      <c r="AE28" s="6">
        <f t="shared" si="4"/>
        <v>0</v>
      </c>
      <c r="AF28" s="6">
        <f t="shared" si="0"/>
        <v>4037337.1499999994</v>
      </c>
    </row>
    <row r="29" spans="1:32" x14ac:dyDescent="0.25">
      <c r="A29" s="3" t="s">
        <v>54</v>
      </c>
      <c r="B29" s="6">
        <f t="shared" ref="B29:AE29" si="5">(B28)-(0)</f>
        <v>728570.64999999991</v>
      </c>
      <c r="C29" s="6">
        <f t="shared" si="5"/>
        <v>75</v>
      </c>
      <c r="D29" s="6">
        <f t="shared" si="5"/>
        <v>177395.53</v>
      </c>
      <c r="E29" s="6">
        <f t="shared" si="5"/>
        <v>12932.87</v>
      </c>
      <c r="F29" s="6">
        <f t="shared" si="5"/>
        <v>1192775.75</v>
      </c>
      <c r="G29" s="6">
        <f t="shared" si="5"/>
        <v>53949.11</v>
      </c>
      <c r="H29" s="6">
        <f t="shared" si="5"/>
        <v>28704.03</v>
      </c>
      <c r="I29" s="6">
        <f t="shared" si="5"/>
        <v>44810.400000000001</v>
      </c>
      <c r="J29" s="6">
        <f t="shared" si="5"/>
        <v>32008.01</v>
      </c>
      <c r="K29" s="6">
        <f t="shared" si="5"/>
        <v>17150.900000000001</v>
      </c>
      <c r="L29" s="6">
        <f t="shared" si="5"/>
        <v>12187.5</v>
      </c>
      <c r="M29" s="6">
        <f t="shared" si="5"/>
        <v>64256.54</v>
      </c>
      <c r="N29" s="6">
        <f t="shared" si="5"/>
        <v>270765.25</v>
      </c>
      <c r="O29" s="6">
        <f t="shared" si="5"/>
        <v>0</v>
      </c>
      <c r="P29" s="6">
        <f t="shared" si="5"/>
        <v>1095.6600000000001</v>
      </c>
      <c r="Q29" s="6">
        <f t="shared" si="5"/>
        <v>368575.74</v>
      </c>
      <c r="R29" s="6">
        <f t="shared" si="5"/>
        <v>229490.05</v>
      </c>
      <c r="S29" s="6">
        <f t="shared" si="5"/>
        <v>202962.34</v>
      </c>
      <c r="T29" s="6">
        <f t="shared" si="5"/>
        <v>54144.94</v>
      </c>
      <c r="U29" s="6">
        <f t="shared" si="5"/>
        <v>7332.04</v>
      </c>
      <c r="V29" s="6">
        <f t="shared" si="5"/>
        <v>257714.97</v>
      </c>
      <c r="W29" s="6">
        <f t="shared" si="5"/>
        <v>28050</v>
      </c>
      <c r="X29" s="6">
        <f t="shared" si="5"/>
        <v>55155.05</v>
      </c>
      <c r="Y29" s="6">
        <f t="shared" si="5"/>
        <v>30065</v>
      </c>
      <c r="Z29" s="6">
        <f t="shared" si="5"/>
        <v>-4815.7700000000004</v>
      </c>
      <c r="AA29" s="6">
        <f t="shared" si="5"/>
        <v>5120.45</v>
      </c>
      <c r="AB29" s="6">
        <f t="shared" si="5"/>
        <v>47407.94</v>
      </c>
      <c r="AC29" s="6">
        <f t="shared" si="5"/>
        <v>142.79</v>
      </c>
      <c r="AD29" s="6">
        <f t="shared" si="5"/>
        <v>119314.41</v>
      </c>
      <c r="AE29" s="6">
        <f t="shared" si="5"/>
        <v>0</v>
      </c>
      <c r="AF29" s="6">
        <f t="shared" si="0"/>
        <v>4037337.1499999994</v>
      </c>
    </row>
    <row r="30" spans="1:32" x14ac:dyDescent="0.25">
      <c r="A30" s="3" t="s">
        <v>55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x14ac:dyDescent="0.25">
      <c r="A31" s="3" t="s">
        <v>56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5">
        <f t="shared" ref="AF31:AF62" si="6">(((((((((((((((((((((((((((((B31)+(C31))+(D31))+(E31))+(F31))+(G31))+(H31))+(I31))+(J31))+(K31))+(L31))+(M31))+(N31))+(O31))+(P31))+(Q31))+(R31))+(S31))+(T31))+(U31))+(V31))+(W31))+(X31))+(Y31))+(Z31))+(AA31))+(AB31))+(AC31))+(AD31))+(AE31)</f>
        <v>0</v>
      </c>
    </row>
    <row r="32" spans="1:32" x14ac:dyDescent="0.25">
      <c r="A32" s="3" t="s">
        <v>57</v>
      </c>
      <c r="B32" s="5">
        <f>50123.46</f>
        <v>50123.46</v>
      </c>
      <c r="C32" s="4"/>
      <c r="D32" s="5">
        <f>76351.25</f>
        <v>76351.25</v>
      </c>
      <c r="E32" s="4"/>
      <c r="F32" s="5">
        <f>202350.94</f>
        <v>202350.94</v>
      </c>
      <c r="G32" s="5">
        <f>20418.2</f>
        <v>20418.2</v>
      </c>
      <c r="H32" s="5">
        <f>20907.67</f>
        <v>20907.669999999998</v>
      </c>
      <c r="I32" s="5">
        <f>28938.42</f>
        <v>28938.42</v>
      </c>
      <c r="J32" s="4"/>
      <c r="K32" s="4"/>
      <c r="L32" s="5">
        <f>-1261.18</f>
        <v>-1261.18</v>
      </c>
      <c r="M32" s="5">
        <f>13975.74</f>
        <v>13975.74</v>
      </c>
      <c r="N32" s="5">
        <f>206609.86</f>
        <v>206609.86</v>
      </c>
      <c r="O32" s="5">
        <f>13801.5</f>
        <v>13801.5</v>
      </c>
      <c r="P32" s="5">
        <f>1000</f>
        <v>1000</v>
      </c>
      <c r="Q32" s="5">
        <f>65177.63</f>
        <v>65177.63</v>
      </c>
      <c r="R32" s="4"/>
      <c r="S32" s="5">
        <f>19374.96</f>
        <v>19374.96</v>
      </c>
      <c r="T32" s="5">
        <f>24529.38</f>
        <v>24529.38</v>
      </c>
      <c r="U32" s="5">
        <f>5489.67</f>
        <v>5489.67</v>
      </c>
      <c r="V32" s="5">
        <f>131918.9</f>
        <v>131918.9</v>
      </c>
      <c r="W32" s="5">
        <f>14487.96</f>
        <v>14487.96</v>
      </c>
      <c r="X32" s="5">
        <f>52703.26</f>
        <v>52703.26</v>
      </c>
      <c r="Y32" s="4"/>
      <c r="Z32" s="5">
        <f>69188.96</f>
        <v>69188.960000000006</v>
      </c>
      <c r="AA32" s="5">
        <f>2372.76</f>
        <v>2372.7600000000002</v>
      </c>
      <c r="AB32" s="5">
        <f>44620.56</f>
        <v>44620.56</v>
      </c>
      <c r="AC32" s="5">
        <f>10000</f>
        <v>10000</v>
      </c>
      <c r="AD32" s="5">
        <f>71082.76</f>
        <v>71082.759999999995</v>
      </c>
      <c r="AE32" s="4"/>
      <c r="AF32" s="5">
        <f t="shared" si="6"/>
        <v>1144162.6599999999</v>
      </c>
    </row>
    <row r="33" spans="1:32" x14ac:dyDescent="0.25">
      <c r="A33" s="3" t="s">
        <v>58</v>
      </c>
      <c r="B33" s="5">
        <f>49617.16</f>
        <v>49617.16</v>
      </c>
      <c r="C33" s="4"/>
      <c r="D33" s="5">
        <f>11103.95</f>
        <v>11103.95</v>
      </c>
      <c r="E33" s="5">
        <f>11531.28</f>
        <v>11531.28</v>
      </c>
      <c r="F33" s="5">
        <f>62267.83</f>
        <v>62267.83</v>
      </c>
      <c r="G33" s="4"/>
      <c r="H33" s="4"/>
      <c r="I33" s="4"/>
      <c r="J33" s="5">
        <f>22348.92</f>
        <v>22348.92</v>
      </c>
      <c r="K33" s="4"/>
      <c r="L33" s="4"/>
      <c r="M33" s="4"/>
      <c r="N33" s="5">
        <f>11250</f>
        <v>11250</v>
      </c>
      <c r="O33" s="4"/>
      <c r="P33" s="4"/>
      <c r="Q33" s="5">
        <f>13483.74</f>
        <v>13483.74</v>
      </c>
      <c r="R33" s="5">
        <f>159661.2</f>
        <v>159661.20000000001</v>
      </c>
      <c r="S33" s="4"/>
      <c r="T33" s="5">
        <f>18750</f>
        <v>18750</v>
      </c>
      <c r="U33" s="4"/>
      <c r="V33" s="5">
        <f>11753.72</f>
        <v>11753.72</v>
      </c>
      <c r="W33" s="5">
        <f>2263.53</f>
        <v>2263.5300000000002</v>
      </c>
      <c r="X33" s="4"/>
      <c r="Y33" s="4"/>
      <c r="Z33" s="5">
        <f>10307.3</f>
        <v>10307.299999999999</v>
      </c>
      <c r="AA33" s="4"/>
      <c r="AB33" s="4"/>
      <c r="AC33" s="4"/>
      <c r="AD33" s="4"/>
      <c r="AE33" s="4"/>
      <c r="AF33" s="5">
        <f t="shared" si="6"/>
        <v>384338.63</v>
      </c>
    </row>
    <row r="34" spans="1:32" x14ac:dyDescent="0.25">
      <c r="A34" s="3" t="s">
        <v>59</v>
      </c>
      <c r="B34" s="6">
        <f t="shared" ref="B34:AE34" si="7">((B31)+(B32))+(B33)</f>
        <v>99740.62</v>
      </c>
      <c r="C34" s="6">
        <f t="shared" si="7"/>
        <v>0</v>
      </c>
      <c r="D34" s="6">
        <f t="shared" si="7"/>
        <v>87455.2</v>
      </c>
      <c r="E34" s="6">
        <f t="shared" si="7"/>
        <v>11531.28</v>
      </c>
      <c r="F34" s="6">
        <f t="shared" si="7"/>
        <v>264618.77</v>
      </c>
      <c r="G34" s="6">
        <f t="shared" si="7"/>
        <v>20418.2</v>
      </c>
      <c r="H34" s="6">
        <f t="shared" si="7"/>
        <v>20907.669999999998</v>
      </c>
      <c r="I34" s="6">
        <f t="shared" si="7"/>
        <v>28938.42</v>
      </c>
      <c r="J34" s="6">
        <f t="shared" si="7"/>
        <v>22348.92</v>
      </c>
      <c r="K34" s="6">
        <f t="shared" si="7"/>
        <v>0</v>
      </c>
      <c r="L34" s="6">
        <f t="shared" si="7"/>
        <v>-1261.18</v>
      </c>
      <c r="M34" s="6">
        <f t="shared" si="7"/>
        <v>13975.74</v>
      </c>
      <c r="N34" s="6">
        <f t="shared" si="7"/>
        <v>217859.86</v>
      </c>
      <c r="O34" s="6">
        <f t="shared" si="7"/>
        <v>13801.5</v>
      </c>
      <c r="P34" s="6">
        <f t="shared" si="7"/>
        <v>1000</v>
      </c>
      <c r="Q34" s="6">
        <f t="shared" si="7"/>
        <v>78661.37</v>
      </c>
      <c r="R34" s="6">
        <f t="shared" si="7"/>
        <v>159661.20000000001</v>
      </c>
      <c r="S34" s="6">
        <f t="shared" si="7"/>
        <v>19374.96</v>
      </c>
      <c r="T34" s="6">
        <f t="shared" si="7"/>
        <v>43279.380000000005</v>
      </c>
      <c r="U34" s="6">
        <f t="shared" si="7"/>
        <v>5489.67</v>
      </c>
      <c r="V34" s="6">
        <f t="shared" si="7"/>
        <v>143672.62</v>
      </c>
      <c r="W34" s="6">
        <f t="shared" si="7"/>
        <v>16751.489999999998</v>
      </c>
      <c r="X34" s="6">
        <f t="shared" si="7"/>
        <v>52703.26</v>
      </c>
      <c r="Y34" s="6">
        <f t="shared" si="7"/>
        <v>0</v>
      </c>
      <c r="Z34" s="6">
        <f t="shared" si="7"/>
        <v>79496.260000000009</v>
      </c>
      <c r="AA34" s="6">
        <f t="shared" si="7"/>
        <v>2372.7600000000002</v>
      </c>
      <c r="AB34" s="6">
        <f t="shared" si="7"/>
        <v>44620.56</v>
      </c>
      <c r="AC34" s="6">
        <f t="shared" si="7"/>
        <v>10000</v>
      </c>
      <c r="AD34" s="6">
        <f t="shared" si="7"/>
        <v>71082.759999999995</v>
      </c>
      <c r="AE34" s="6">
        <f t="shared" si="7"/>
        <v>0</v>
      </c>
      <c r="AF34" s="6">
        <f t="shared" si="6"/>
        <v>1528501.2900000003</v>
      </c>
    </row>
    <row r="35" spans="1:32" x14ac:dyDescent="0.25">
      <c r="A35" s="3" t="s">
        <v>60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5">
        <f t="shared" si="6"/>
        <v>0</v>
      </c>
    </row>
    <row r="36" spans="1:32" x14ac:dyDescent="0.25">
      <c r="A36" s="3" t="s">
        <v>61</v>
      </c>
      <c r="B36" s="4"/>
      <c r="C36" s="4"/>
      <c r="D36" s="5">
        <f>11.61</f>
        <v>11.61</v>
      </c>
      <c r="E36" s="4"/>
      <c r="F36" s="4"/>
      <c r="G36" s="5">
        <f>1.4</f>
        <v>1.4</v>
      </c>
      <c r="H36" s="5">
        <f>3.21</f>
        <v>3.21</v>
      </c>
      <c r="I36" s="4"/>
      <c r="J36" s="4"/>
      <c r="K36" s="4"/>
      <c r="L36" s="5">
        <f>-0.18</f>
        <v>-0.18</v>
      </c>
      <c r="M36" s="4"/>
      <c r="N36" s="4"/>
      <c r="O36" s="4"/>
      <c r="P36" s="4"/>
      <c r="Q36" s="5">
        <f>6.72</f>
        <v>6.72</v>
      </c>
      <c r="R36" s="4"/>
      <c r="S36" s="5">
        <f>3.75</f>
        <v>3.75</v>
      </c>
      <c r="T36" s="4"/>
      <c r="U36" s="4"/>
      <c r="V36" s="5">
        <f>21.76</f>
        <v>21.76</v>
      </c>
      <c r="W36" s="4"/>
      <c r="X36" s="5">
        <f>5.97</f>
        <v>5.97</v>
      </c>
      <c r="Y36" s="4"/>
      <c r="Z36" s="5">
        <f>12.39</f>
        <v>12.39</v>
      </c>
      <c r="AA36" s="5">
        <f>0.45</f>
        <v>0.45</v>
      </c>
      <c r="AB36" s="5">
        <f>4.11</f>
        <v>4.1100000000000003</v>
      </c>
      <c r="AC36" s="4"/>
      <c r="AD36" s="5">
        <f>6.58</f>
        <v>6.58</v>
      </c>
      <c r="AE36" s="4"/>
      <c r="AF36" s="5">
        <f t="shared" si="6"/>
        <v>77.77</v>
      </c>
    </row>
    <row r="37" spans="1:32" x14ac:dyDescent="0.25">
      <c r="A37" s="3" t="s">
        <v>62</v>
      </c>
      <c r="B37" s="5">
        <f>2193.73</f>
        <v>2193.73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5">
        <f t="shared" si="6"/>
        <v>2193.73</v>
      </c>
    </row>
    <row r="38" spans="1:32" x14ac:dyDescent="0.25">
      <c r="A38" s="3" t="s">
        <v>63</v>
      </c>
      <c r="B38" s="5">
        <f>2837.98</f>
        <v>2837.98</v>
      </c>
      <c r="C38" s="4"/>
      <c r="D38" s="5">
        <f>577.41</f>
        <v>577.41</v>
      </c>
      <c r="E38" s="5">
        <f>636.83</f>
        <v>636.83000000000004</v>
      </c>
      <c r="F38" s="5">
        <f>3684.55</f>
        <v>3684.55</v>
      </c>
      <c r="G38" s="4"/>
      <c r="H38" s="4"/>
      <c r="I38" s="4"/>
      <c r="J38" s="5">
        <f>1319.4</f>
        <v>1319.4</v>
      </c>
      <c r="K38" s="4"/>
      <c r="L38" s="4"/>
      <c r="M38" s="4"/>
      <c r="N38" s="5">
        <f>666.99</f>
        <v>666.99</v>
      </c>
      <c r="O38" s="4"/>
      <c r="P38" s="4"/>
      <c r="Q38" s="5">
        <f>804.37</f>
        <v>804.37</v>
      </c>
      <c r="R38" s="5">
        <f>9479.45</f>
        <v>9479.4500000000007</v>
      </c>
      <c r="S38" s="4"/>
      <c r="T38" s="5">
        <f>1133.37</f>
        <v>1133.3699999999999</v>
      </c>
      <c r="U38" s="4"/>
      <c r="V38" s="5">
        <f>715.19</f>
        <v>715.19</v>
      </c>
      <c r="W38" s="5">
        <f>139.03</f>
        <v>139.03</v>
      </c>
      <c r="X38" s="4"/>
      <c r="Y38" s="4"/>
      <c r="Z38" s="5">
        <f>596.73</f>
        <v>596.73</v>
      </c>
      <c r="AA38" s="4"/>
      <c r="AB38" s="4"/>
      <c r="AC38" s="4"/>
      <c r="AD38" s="4"/>
      <c r="AE38" s="4"/>
      <c r="AF38" s="5">
        <f t="shared" si="6"/>
        <v>22591.3</v>
      </c>
    </row>
    <row r="39" spans="1:32" x14ac:dyDescent="0.25">
      <c r="A39" s="3" t="s">
        <v>64</v>
      </c>
      <c r="B39" s="5">
        <f>1377.84</f>
        <v>1377.84</v>
      </c>
      <c r="C39" s="4"/>
      <c r="D39" s="5">
        <f>1215.34</f>
        <v>1215.3399999999999</v>
      </c>
      <c r="E39" s="5">
        <f>148.92</f>
        <v>148.91999999999999</v>
      </c>
      <c r="F39" s="5">
        <f>3713.22</f>
        <v>3713.22</v>
      </c>
      <c r="G39" s="5">
        <f>288.68</f>
        <v>288.68</v>
      </c>
      <c r="H39" s="5">
        <f>213</f>
        <v>213</v>
      </c>
      <c r="I39" s="5">
        <f>378.45</f>
        <v>378.45</v>
      </c>
      <c r="J39" s="5">
        <f>308.58</f>
        <v>308.58</v>
      </c>
      <c r="K39" s="4"/>
      <c r="L39" s="5">
        <f>-18.29</f>
        <v>-18.29</v>
      </c>
      <c r="M39" s="5">
        <f>199.09</f>
        <v>199.09</v>
      </c>
      <c r="N39" s="5">
        <f>3081.54</f>
        <v>3081.54</v>
      </c>
      <c r="O39" s="5">
        <f>194.71</f>
        <v>194.71</v>
      </c>
      <c r="P39" s="5">
        <f>14.5</f>
        <v>14.5</v>
      </c>
      <c r="Q39" s="5">
        <f>602.22</f>
        <v>602.22</v>
      </c>
      <c r="R39" s="5">
        <f>2216.96</f>
        <v>2216.96</v>
      </c>
      <c r="S39" s="5">
        <f>271.74</f>
        <v>271.74</v>
      </c>
      <c r="T39" s="5">
        <f>609.28</f>
        <v>609.28</v>
      </c>
      <c r="U39" s="5">
        <f>79.6</f>
        <v>79.599999999999994</v>
      </c>
      <c r="V39" s="5">
        <f>1896.46</f>
        <v>1896.46</v>
      </c>
      <c r="W39" s="5">
        <f>343.02</f>
        <v>343.02</v>
      </c>
      <c r="X39" s="5">
        <f>587.67</f>
        <v>587.66999999999996</v>
      </c>
      <c r="Y39" s="4"/>
      <c r="Z39" s="5">
        <f>1262.04</f>
        <v>1262.04</v>
      </c>
      <c r="AA39" s="5">
        <f>31.26</f>
        <v>31.26</v>
      </c>
      <c r="AB39" s="5">
        <f>622.34</f>
        <v>622.34</v>
      </c>
      <c r="AC39" s="4"/>
      <c r="AD39" s="5">
        <f>996.79</f>
        <v>996.79</v>
      </c>
      <c r="AE39" s="4"/>
      <c r="AF39" s="5">
        <f t="shared" si="6"/>
        <v>20634.96</v>
      </c>
    </row>
    <row r="40" spans="1:32" x14ac:dyDescent="0.25">
      <c r="A40" s="3" t="s">
        <v>65</v>
      </c>
      <c r="B40" s="5">
        <f>3268.02</f>
        <v>3268.02</v>
      </c>
      <c r="C40" s="4"/>
      <c r="D40" s="5">
        <f>12640.86</f>
        <v>12640.86</v>
      </c>
      <c r="E40" s="4"/>
      <c r="F40" s="5">
        <f>5518.46</f>
        <v>5518.46</v>
      </c>
      <c r="G40" s="5">
        <f>3433.53</f>
        <v>3433.53</v>
      </c>
      <c r="H40" s="5">
        <f>2502.12</f>
        <v>2502.12</v>
      </c>
      <c r="I40" s="5">
        <f>1152.6</f>
        <v>1152.5999999999999</v>
      </c>
      <c r="J40" s="4"/>
      <c r="K40" s="4"/>
      <c r="L40" s="5">
        <f>-203.11</f>
        <v>-203.11</v>
      </c>
      <c r="M40" s="5">
        <f>419.28</f>
        <v>419.28</v>
      </c>
      <c r="N40" s="5">
        <f>7099.37</f>
        <v>7099.37</v>
      </c>
      <c r="O40" s="5">
        <f>414.06</f>
        <v>414.06</v>
      </c>
      <c r="P40" s="4"/>
      <c r="Q40" s="5">
        <f>4623.29</f>
        <v>4623.29</v>
      </c>
      <c r="R40" s="4"/>
      <c r="S40" s="5">
        <f>2219.4</f>
        <v>2219.4</v>
      </c>
      <c r="T40" s="5">
        <f>735.9</f>
        <v>735.9</v>
      </c>
      <c r="U40" s="5">
        <f>754.83</f>
        <v>754.83</v>
      </c>
      <c r="V40" s="5">
        <f>20322.01</f>
        <v>20322.009999999998</v>
      </c>
      <c r="W40" s="5">
        <f>3685.77</f>
        <v>3685.77</v>
      </c>
      <c r="X40" s="5">
        <f>6181.26</f>
        <v>6181.26</v>
      </c>
      <c r="Y40" s="4"/>
      <c r="Z40" s="5">
        <f>12375.81</f>
        <v>12375.81</v>
      </c>
      <c r="AA40" s="5">
        <f>121.38</f>
        <v>121.38</v>
      </c>
      <c r="AB40" s="5">
        <f>7152.96</f>
        <v>7152.96</v>
      </c>
      <c r="AC40" s="4"/>
      <c r="AD40" s="5">
        <f>11726.71</f>
        <v>11726.71</v>
      </c>
      <c r="AE40" s="4"/>
      <c r="AF40" s="5">
        <f t="shared" si="6"/>
        <v>106144.51000000001</v>
      </c>
    </row>
    <row r="41" spans="1:32" x14ac:dyDescent="0.25">
      <c r="A41" s="3" t="s">
        <v>66</v>
      </c>
      <c r="B41" s="5">
        <f>11420.03</f>
        <v>11420.03</v>
      </c>
      <c r="C41" s="4"/>
      <c r="D41" s="5">
        <f>2591.65</f>
        <v>2591.65</v>
      </c>
      <c r="E41" s="4"/>
      <c r="F41" s="5">
        <f>14533.36</f>
        <v>14533.36</v>
      </c>
      <c r="G41" s="4"/>
      <c r="H41" s="4"/>
      <c r="I41" s="4"/>
      <c r="J41" s="5">
        <f>5216.22</f>
        <v>5216.22</v>
      </c>
      <c r="K41" s="4"/>
      <c r="L41" s="4"/>
      <c r="M41" s="4"/>
      <c r="N41" s="5">
        <f>2625.78</f>
        <v>2625.78</v>
      </c>
      <c r="O41" s="4"/>
      <c r="P41" s="4"/>
      <c r="Q41" s="5">
        <f>3147.12</f>
        <v>3147.12</v>
      </c>
      <c r="R41" s="5">
        <f>33417.72</f>
        <v>33417.72</v>
      </c>
      <c r="S41" s="4"/>
      <c r="T41" s="5">
        <f>4376.28</f>
        <v>4376.28</v>
      </c>
      <c r="U41" s="4"/>
      <c r="V41" s="5">
        <f>1661.63</f>
        <v>1661.63</v>
      </c>
      <c r="W41" s="5">
        <f>311.97</f>
        <v>311.97000000000003</v>
      </c>
      <c r="X41" s="4"/>
      <c r="Y41" s="4"/>
      <c r="Z41" s="5">
        <f>2405.7</f>
        <v>2405.6999999999998</v>
      </c>
      <c r="AA41" s="4"/>
      <c r="AB41" s="4"/>
      <c r="AC41" s="4"/>
      <c r="AD41" s="4"/>
      <c r="AE41" s="4"/>
      <c r="AF41" s="5">
        <f t="shared" si="6"/>
        <v>81707.460000000006</v>
      </c>
    </row>
    <row r="42" spans="1:32" x14ac:dyDescent="0.25">
      <c r="A42" s="3" t="s">
        <v>67</v>
      </c>
      <c r="B42" s="4"/>
      <c r="C42" s="4"/>
      <c r="D42" s="5">
        <f>10670.03</f>
        <v>10670.03</v>
      </c>
      <c r="E42" s="4"/>
      <c r="F42" s="4"/>
      <c r="G42" s="5">
        <f>1528.48</f>
        <v>1528.48</v>
      </c>
      <c r="H42" s="5">
        <f>703.5</f>
        <v>703.5</v>
      </c>
      <c r="I42" s="4"/>
      <c r="J42" s="4"/>
      <c r="K42" s="4"/>
      <c r="L42" s="5">
        <f>-201.58</f>
        <v>-201.58</v>
      </c>
      <c r="M42" s="4"/>
      <c r="N42" s="4"/>
      <c r="O42" s="4"/>
      <c r="P42" s="4"/>
      <c r="Q42" s="5">
        <f>6196.56</f>
        <v>6196.56</v>
      </c>
      <c r="R42" s="4"/>
      <c r="S42" s="5">
        <f>3001.32</f>
        <v>3001.32</v>
      </c>
      <c r="T42" s="4"/>
      <c r="U42" s="4"/>
      <c r="V42" s="5">
        <f>17564.43</f>
        <v>17564.43</v>
      </c>
      <c r="W42" s="4"/>
      <c r="X42" s="5">
        <f>3762.18</f>
        <v>3762.18</v>
      </c>
      <c r="Y42" s="4"/>
      <c r="Z42" s="5">
        <f>7947.1</f>
        <v>7947.1</v>
      </c>
      <c r="AA42" s="5">
        <f>627.93</f>
        <v>627.92999999999995</v>
      </c>
      <c r="AB42" s="5">
        <f>3120.05</f>
        <v>3120.05</v>
      </c>
      <c r="AC42" s="4"/>
      <c r="AD42" s="5">
        <f>4413.34</f>
        <v>4413.34</v>
      </c>
      <c r="AE42" s="4"/>
      <c r="AF42" s="5">
        <f t="shared" si="6"/>
        <v>59333.340000000011</v>
      </c>
    </row>
    <row r="43" spans="1:32" x14ac:dyDescent="0.25">
      <c r="A43" s="3" t="s">
        <v>68</v>
      </c>
      <c r="B43" s="5">
        <f>7827.77</f>
        <v>7827.77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5">
        <f>0</f>
        <v>0</v>
      </c>
      <c r="AF43" s="5">
        <f t="shared" si="6"/>
        <v>7827.77</v>
      </c>
    </row>
    <row r="44" spans="1:32" x14ac:dyDescent="0.25">
      <c r="A44" s="3" t="s">
        <v>69</v>
      </c>
      <c r="B44" s="5">
        <f>-252</f>
        <v>-252</v>
      </c>
      <c r="C44" s="4"/>
      <c r="D44" s="5">
        <f>-31.2</f>
        <v>-31.2</v>
      </c>
      <c r="E44" s="4"/>
      <c r="F44" s="4"/>
      <c r="G44" s="5">
        <f>42.9</f>
        <v>42.9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5">
        <f>-11.7</f>
        <v>-11.7</v>
      </c>
      <c r="AA44" s="4"/>
      <c r="AB44" s="4"/>
      <c r="AC44" s="4"/>
      <c r="AD44" s="4"/>
      <c r="AE44" s="4"/>
      <c r="AF44" s="5">
        <f t="shared" si="6"/>
        <v>-251.99999999999997</v>
      </c>
    </row>
    <row r="45" spans="1:32" x14ac:dyDescent="0.25">
      <c r="A45" s="3" t="s">
        <v>70</v>
      </c>
      <c r="B45" s="4"/>
      <c r="C45" s="4"/>
      <c r="D45" s="5">
        <f>1563.88</f>
        <v>1563.88</v>
      </c>
      <c r="E45" s="4"/>
      <c r="F45" s="5">
        <f>2646.19</f>
        <v>2646.19</v>
      </c>
      <c r="G45" s="5">
        <f>628.37</f>
        <v>628.37</v>
      </c>
      <c r="H45" s="4"/>
      <c r="I45" s="5">
        <f>578.76</f>
        <v>578.76</v>
      </c>
      <c r="J45" s="5">
        <f>446.97</f>
        <v>446.97</v>
      </c>
      <c r="K45" s="4"/>
      <c r="L45" s="4"/>
      <c r="M45" s="5">
        <f>139.77</f>
        <v>139.77000000000001</v>
      </c>
      <c r="N45" s="5">
        <f>4357.2</f>
        <v>4357.2</v>
      </c>
      <c r="O45" s="5">
        <f>276.03</f>
        <v>276.02999999999997</v>
      </c>
      <c r="P45" s="4"/>
      <c r="Q45" s="5">
        <f>794.61</f>
        <v>794.61</v>
      </c>
      <c r="R45" s="4"/>
      <c r="S45" s="5">
        <f>387.51</f>
        <v>387.51</v>
      </c>
      <c r="T45" s="4"/>
      <c r="U45" s="4"/>
      <c r="V45" s="4"/>
      <c r="W45" s="4"/>
      <c r="X45" s="5">
        <f>1109.49</f>
        <v>1109.49</v>
      </c>
      <c r="Y45" s="4"/>
      <c r="Z45" s="5">
        <f>1447.47</f>
        <v>1447.47</v>
      </c>
      <c r="AA45" s="4"/>
      <c r="AB45" s="5">
        <f>892.41</f>
        <v>892.41</v>
      </c>
      <c r="AC45" s="4"/>
      <c r="AD45" s="5">
        <f>1421.66</f>
        <v>1421.66</v>
      </c>
      <c r="AE45" s="4"/>
      <c r="AF45" s="5">
        <f t="shared" si="6"/>
        <v>16690.32</v>
      </c>
    </row>
    <row r="46" spans="1:32" x14ac:dyDescent="0.25">
      <c r="A46" s="3" t="s">
        <v>71</v>
      </c>
      <c r="B46" s="4"/>
      <c r="C46" s="4"/>
      <c r="D46" s="5">
        <f>92.88</f>
        <v>92.88</v>
      </c>
      <c r="E46" s="4"/>
      <c r="F46" s="4"/>
      <c r="G46" s="5">
        <f>11.2</f>
        <v>11.2</v>
      </c>
      <c r="H46" s="5">
        <f>25.68</f>
        <v>25.68</v>
      </c>
      <c r="I46" s="4"/>
      <c r="J46" s="4"/>
      <c r="K46" s="4"/>
      <c r="L46" s="5">
        <f>-1.44</f>
        <v>-1.44</v>
      </c>
      <c r="M46" s="4"/>
      <c r="N46" s="4"/>
      <c r="O46" s="4"/>
      <c r="P46" s="4"/>
      <c r="Q46" s="5">
        <f>53.76</f>
        <v>53.76</v>
      </c>
      <c r="R46" s="4"/>
      <c r="S46" s="5">
        <f>30</f>
        <v>30</v>
      </c>
      <c r="T46" s="4"/>
      <c r="U46" s="4"/>
      <c r="V46" s="5">
        <f>174.08</f>
        <v>174.08</v>
      </c>
      <c r="W46" s="4"/>
      <c r="X46" s="5">
        <f>47.76</f>
        <v>47.76</v>
      </c>
      <c r="Y46" s="4"/>
      <c r="Z46" s="5">
        <f>99.12</f>
        <v>99.12</v>
      </c>
      <c r="AA46" s="5">
        <f>3.6</f>
        <v>3.6</v>
      </c>
      <c r="AB46" s="5">
        <f>32.88</f>
        <v>32.880000000000003</v>
      </c>
      <c r="AC46" s="4"/>
      <c r="AD46" s="5">
        <f>52.64</f>
        <v>52.64</v>
      </c>
      <c r="AE46" s="4"/>
      <c r="AF46" s="5">
        <f t="shared" si="6"/>
        <v>622.16</v>
      </c>
    </row>
    <row r="47" spans="1:32" x14ac:dyDescent="0.25">
      <c r="A47" s="3" t="s">
        <v>72</v>
      </c>
      <c r="B47" s="6">
        <f t="shared" ref="B47:AE47" si="8">(((((((((((B35)+(B36))+(B37))+(B38))+(B39))+(B40))+(B41))+(B42))+(B43))+(B44))+(B45))+(B46)</f>
        <v>28673.37</v>
      </c>
      <c r="C47" s="6">
        <f t="shared" si="8"/>
        <v>0</v>
      </c>
      <c r="D47" s="6">
        <f t="shared" si="8"/>
        <v>29332.460000000003</v>
      </c>
      <c r="E47" s="6">
        <f t="shared" si="8"/>
        <v>785.75</v>
      </c>
      <c r="F47" s="6">
        <f t="shared" si="8"/>
        <v>30095.78</v>
      </c>
      <c r="G47" s="6">
        <f t="shared" si="8"/>
        <v>5934.5599999999995</v>
      </c>
      <c r="H47" s="6">
        <f t="shared" si="8"/>
        <v>3447.5099999999998</v>
      </c>
      <c r="I47" s="6">
        <f t="shared" si="8"/>
        <v>2109.81</v>
      </c>
      <c r="J47" s="6">
        <f t="shared" si="8"/>
        <v>7291.170000000001</v>
      </c>
      <c r="K47" s="6">
        <f t="shared" si="8"/>
        <v>0</v>
      </c>
      <c r="L47" s="6">
        <f t="shared" si="8"/>
        <v>-424.6</v>
      </c>
      <c r="M47" s="6">
        <f t="shared" si="8"/>
        <v>758.14</v>
      </c>
      <c r="N47" s="6">
        <f t="shared" si="8"/>
        <v>17830.88</v>
      </c>
      <c r="O47" s="6">
        <f t="shared" si="8"/>
        <v>884.8</v>
      </c>
      <c r="P47" s="6">
        <f t="shared" si="8"/>
        <v>14.5</v>
      </c>
      <c r="Q47" s="6">
        <f t="shared" si="8"/>
        <v>16228.650000000003</v>
      </c>
      <c r="R47" s="6">
        <f t="shared" si="8"/>
        <v>45114.130000000005</v>
      </c>
      <c r="S47" s="6">
        <f t="shared" si="8"/>
        <v>5913.7200000000012</v>
      </c>
      <c r="T47" s="6">
        <f t="shared" si="8"/>
        <v>6854.83</v>
      </c>
      <c r="U47" s="6">
        <f t="shared" si="8"/>
        <v>834.43000000000006</v>
      </c>
      <c r="V47" s="6">
        <f t="shared" si="8"/>
        <v>42355.56</v>
      </c>
      <c r="W47" s="6">
        <f t="shared" si="8"/>
        <v>4479.79</v>
      </c>
      <c r="X47" s="6">
        <f t="shared" si="8"/>
        <v>11694.33</v>
      </c>
      <c r="Y47" s="6">
        <f t="shared" si="8"/>
        <v>0</v>
      </c>
      <c r="Z47" s="6">
        <f t="shared" si="8"/>
        <v>26134.659999999996</v>
      </c>
      <c r="AA47" s="6">
        <f t="shared" si="8"/>
        <v>784.62</v>
      </c>
      <c r="AB47" s="6">
        <f t="shared" si="8"/>
        <v>11824.749999999998</v>
      </c>
      <c r="AC47" s="6">
        <f t="shared" si="8"/>
        <v>0</v>
      </c>
      <c r="AD47" s="6">
        <f t="shared" si="8"/>
        <v>18617.719999999998</v>
      </c>
      <c r="AE47" s="6">
        <f t="shared" si="8"/>
        <v>0</v>
      </c>
      <c r="AF47" s="6">
        <f t="shared" si="6"/>
        <v>317571.31999999995</v>
      </c>
    </row>
    <row r="48" spans="1:32" x14ac:dyDescent="0.25">
      <c r="A48" s="3" t="s">
        <v>73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5">
        <f t="shared" si="6"/>
        <v>0</v>
      </c>
    </row>
    <row r="49" spans="1:32" x14ac:dyDescent="0.25">
      <c r="A49" s="3" t="s">
        <v>74</v>
      </c>
      <c r="B49" s="5">
        <f>5998.59</f>
        <v>5998.59</v>
      </c>
      <c r="C49" s="4"/>
      <c r="D49" s="5">
        <f>3389.17</f>
        <v>3389.17</v>
      </c>
      <c r="E49" s="4"/>
      <c r="F49" s="5">
        <f>516</f>
        <v>516</v>
      </c>
      <c r="G49" s="4"/>
      <c r="H49" s="4"/>
      <c r="I49" s="5">
        <f>7.95</f>
        <v>7.95</v>
      </c>
      <c r="J49" s="4"/>
      <c r="K49" s="4"/>
      <c r="L49" s="4"/>
      <c r="M49" s="4"/>
      <c r="N49" s="4"/>
      <c r="O49" s="4"/>
      <c r="P49" s="4"/>
      <c r="Q49" s="4"/>
      <c r="R49" s="5">
        <f>126.5</f>
        <v>126.5</v>
      </c>
      <c r="S49" s="4"/>
      <c r="T49" s="4"/>
      <c r="U49" s="5">
        <f>63.25</f>
        <v>63.25</v>
      </c>
      <c r="V49" s="5">
        <f>1276.31</f>
        <v>1276.31</v>
      </c>
      <c r="W49" s="5">
        <f>699.79</f>
        <v>699.79</v>
      </c>
      <c r="X49" s="4"/>
      <c r="Y49" s="4"/>
      <c r="Z49" s="4"/>
      <c r="AA49" s="4"/>
      <c r="AB49" s="5">
        <f>-1569.13</f>
        <v>-1569.13</v>
      </c>
      <c r="AC49" s="4"/>
      <c r="AD49" s="5">
        <f>73.25</f>
        <v>73.25</v>
      </c>
      <c r="AE49" s="4"/>
      <c r="AF49" s="5">
        <f t="shared" si="6"/>
        <v>10581.68</v>
      </c>
    </row>
    <row r="50" spans="1:32" x14ac:dyDescent="0.25">
      <c r="A50" s="3" t="s">
        <v>75</v>
      </c>
      <c r="B50" s="5">
        <f>17600</f>
        <v>17600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5">
        <f t="shared" si="6"/>
        <v>17600</v>
      </c>
    </row>
    <row r="51" spans="1:32" x14ac:dyDescent="0.25">
      <c r="A51" s="3" t="s">
        <v>76</v>
      </c>
      <c r="B51" s="5">
        <f>2016.93</f>
        <v>2016.93</v>
      </c>
      <c r="C51" s="4"/>
      <c r="D51" s="4"/>
      <c r="E51" s="4"/>
      <c r="F51" s="5">
        <f>1584.72</f>
        <v>1584.72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5">
        <f t="shared" si="6"/>
        <v>3601.65</v>
      </c>
    </row>
    <row r="52" spans="1:32" x14ac:dyDescent="0.25">
      <c r="A52" s="3" t="s">
        <v>77</v>
      </c>
      <c r="B52" s="5">
        <f>511.38</f>
        <v>511.38</v>
      </c>
      <c r="C52" s="4"/>
      <c r="D52" s="5">
        <f>276.12</f>
        <v>276.12</v>
      </c>
      <c r="E52" s="4"/>
      <c r="F52" s="5">
        <f>3258.6</f>
        <v>3258.6</v>
      </c>
      <c r="G52" s="5">
        <f>20.22</f>
        <v>20.22</v>
      </c>
      <c r="H52" s="5">
        <f>58.92</f>
        <v>58.92</v>
      </c>
      <c r="I52" s="5">
        <f>117.84</f>
        <v>117.84</v>
      </c>
      <c r="J52" s="4"/>
      <c r="K52" s="4"/>
      <c r="L52" s="4"/>
      <c r="M52" s="5">
        <f>58.92</f>
        <v>58.92</v>
      </c>
      <c r="N52" s="4"/>
      <c r="O52" s="4"/>
      <c r="P52" s="4"/>
      <c r="Q52" s="5">
        <f>97.62</f>
        <v>97.62</v>
      </c>
      <c r="R52" s="4"/>
      <c r="S52" s="4"/>
      <c r="T52" s="4"/>
      <c r="U52" s="4"/>
      <c r="V52" s="5">
        <f>181.98</f>
        <v>181.98</v>
      </c>
      <c r="W52" s="5">
        <f>309.6</f>
        <v>309.60000000000002</v>
      </c>
      <c r="X52" s="5">
        <f>117.84</f>
        <v>117.84</v>
      </c>
      <c r="Y52" s="4"/>
      <c r="Z52" s="5">
        <f>176.76</f>
        <v>176.76</v>
      </c>
      <c r="AA52" s="4"/>
      <c r="AB52" s="5">
        <f>77.4</f>
        <v>77.400000000000006</v>
      </c>
      <c r="AC52" s="4"/>
      <c r="AD52" s="5">
        <f>154.8</f>
        <v>154.80000000000001</v>
      </c>
      <c r="AE52" s="4"/>
      <c r="AF52" s="5">
        <f t="shared" si="6"/>
        <v>5418</v>
      </c>
    </row>
    <row r="53" spans="1:32" x14ac:dyDescent="0.25">
      <c r="A53" s="3" t="s">
        <v>78</v>
      </c>
      <c r="B53" s="6">
        <f t="shared" ref="B53:AE53" si="9">((((B48)+(B49))+(B50))+(B51))+(B52)</f>
        <v>26126.9</v>
      </c>
      <c r="C53" s="6">
        <f t="shared" si="9"/>
        <v>0</v>
      </c>
      <c r="D53" s="6">
        <f t="shared" si="9"/>
        <v>3665.29</v>
      </c>
      <c r="E53" s="6">
        <f t="shared" si="9"/>
        <v>0</v>
      </c>
      <c r="F53" s="6">
        <f t="shared" si="9"/>
        <v>5359.32</v>
      </c>
      <c r="G53" s="6">
        <f t="shared" si="9"/>
        <v>20.22</v>
      </c>
      <c r="H53" s="6">
        <f t="shared" si="9"/>
        <v>58.92</v>
      </c>
      <c r="I53" s="6">
        <f t="shared" si="9"/>
        <v>125.79</v>
      </c>
      <c r="J53" s="6">
        <f t="shared" si="9"/>
        <v>0</v>
      </c>
      <c r="K53" s="6">
        <f t="shared" si="9"/>
        <v>0</v>
      </c>
      <c r="L53" s="6">
        <f t="shared" si="9"/>
        <v>0</v>
      </c>
      <c r="M53" s="6">
        <f t="shared" si="9"/>
        <v>58.92</v>
      </c>
      <c r="N53" s="6">
        <f t="shared" si="9"/>
        <v>0</v>
      </c>
      <c r="O53" s="6">
        <f t="shared" si="9"/>
        <v>0</v>
      </c>
      <c r="P53" s="6">
        <f t="shared" si="9"/>
        <v>0</v>
      </c>
      <c r="Q53" s="6">
        <f t="shared" si="9"/>
        <v>97.62</v>
      </c>
      <c r="R53" s="6">
        <f t="shared" si="9"/>
        <v>126.5</v>
      </c>
      <c r="S53" s="6">
        <f t="shared" si="9"/>
        <v>0</v>
      </c>
      <c r="T53" s="6">
        <f t="shared" si="9"/>
        <v>0</v>
      </c>
      <c r="U53" s="6">
        <f t="shared" si="9"/>
        <v>63.25</v>
      </c>
      <c r="V53" s="6">
        <f t="shared" si="9"/>
        <v>1458.29</v>
      </c>
      <c r="W53" s="6">
        <f t="shared" si="9"/>
        <v>1009.39</v>
      </c>
      <c r="X53" s="6">
        <f t="shared" si="9"/>
        <v>117.84</v>
      </c>
      <c r="Y53" s="6">
        <f t="shared" si="9"/>
        <v>0</v>
      </c>
      <c r="Z53" s="6">
        <f t="shared" si="9"/>
        <v>176.76</v>
      </c>
      <c r="AA53" s="6">
        <f t="shared" si="9"/>
        <v>0</v>
      </c>
      <c r="AB53" s="6">
        <f t="shared" si="9"/>
        <v>-1491.73</v>
      </c>
      <c r="AC53" s="6">
        <f t="shared" si="9"/>
        <v>0</v>
      </c>
      <c r="AD53" s="6">
        <f t="shared" si="9"/>
        <v>228.05</v>
      </c>
      <c r="AE53" s="6">
        <f t="shared" si="9"/>
        <v>0</v>
      </c>
      <c r="AF53" s="6">
        <f t="shared" si="6"/>
        <v>37201.33</v>
      </c>
    </row>
    <row r="54" spans="1:32" x14ac:dyDescent="0.25">
      <c r="A54" s="3" t="s">
        <v>79</v>
      </c>
      <c r="B54" s="5">
        <f>12021.5</f>
        <v>12021.5</v>
      </c>
      <c r="C54" s="4"/>
      <c r="D54" s="5">
        <f>170</f>
        <v>170</v>
      </c>
      <c r="E54" s="4"/>
      <c r="F54" s="5">
        <f>819</f>
        <v>819</v>
      </c>
      <c r="G54" s="5">
        <f>7388.88</f>
        <v>7388.88</v>
      </c>
      <c r="H54" s="5">
        <f>13829.21</f>
        <v>13829.21</v>
      </c>
      <c r="I54" s="4"/>
      <c r="J54" s="4"/>
      <c r="K54" s="4"/>
      <c r="L54" s="4"/>
      <c r="M54" s="4"/>
      <c r="N54" s="4"/>
      <c r="O54" s="4"/>
      <c r="P54" s="4"/>
      <c r="Q54" s="5">
        <f>48282.15</f>
        <v>48282.15</v>
      </c>
      <c r="R54" s="4"/>
      <c r="S54" s="4"/>
      <c r="T54" s="4"/>
      <c r="U54" s="5">
        <f>85</f>
        <v>85</v>
      </c>
      <c r="V54" s="4"/>
      <c r="W54" s="4"/>
      <c r="X54" s="4"/>
      <c r="Y54" s="4"/>
      <c r="Z54" s="5">
        <f>171223.97</f>
        <v>171223.97</v>
      </c>
      <c r="AA54" s="4"/>
      <c r="AB54" s="5">
        <f>0</f>
        <v>0</v>
      </c>
      <c r="AC54" s="5">
        <f>156170.19</f>
        <v>156170.19</v>
      </c>
      <c r="AD54" s="5">
        <f>170</f>
        <v>170</v>
      </c>
      <c r="AE54" s="4"/>
      <c r="AF54" s="5">
        <f t="shared" si="6"/>
        <v>410159.9</v>
      </c>
    </row>
    <row r="55" spans="1:32" x14ac:dyDescent="0.25">
      <c r="A55" s="3" t="s">
        <v>80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5">
        <f t="shared" si="6"/>
        <v>0</v>
      </c>
    </row>
    <row r="56" spans="1:32" x14ac:dyDescent="0.25">
      <c r="A56" s="3" t="s">
        <v>81</v>
      </c>
      <c r="B56" s="5">
        <f>114.38</f>
        <v>114.38</v>
      </c>
      <c r="C56" s="4"/>
      <c r="D56" s="4"/>
      <c r="E56" s="4"/>
      <c r="F56" s="5">
        <f>232.23</f>
        <v>232.23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5">
        <f t="shared" si="6"/>
        <v>346.61</v>
      </c>
    </row>
    <row r="57" spans="1:32" x14ac:dyDescent="0.25">
      <c r="A57" s="3" t="s">
        <v>82</v>
      </c>
      <c r="B57" s="5">
        <f>1184.7</f>
        <v>1184.7</v>
      </c>
      <c r="C57" s="4"/>
      <c r="D57" s="4"/>
      <c r="E57" s="4"/>
      <c r="F57" s="5">
        <f>2405.3</f>
        <v>2405.3000000000002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5">
        <f t="shared" si="6"/>
        <v>3590</v>
      </c>
    </row>
    <row r="58" spans="1:32" x14ac:dyDescent="0.25">
      <c r="A58" s="3" t="s">
        <v>83</v>
      </c>
      <c r="B58" s="5">
        <f>368.24</f>
        <v>368.24</v>
      </c>
      <c r="C58" s="4"/>
      <c r="D58" s="4"/>
      <c r="E58" s="4"/>
      <c r="F58" s="5">
        <f>917.67</f>
        <v>917.67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5">
        <f t="shared" si="6"/>
        <v>1285.9099999999999</v>
      </c>
    </row>
    <row r="59" spans="1:32" x14ac:dyDescent="0.25">
      <c r="A59" s="3" t="s">
        <v>84</v>
      </c>
      <c r="B59" s="5">
        <f>6614.08</f>
        <v>6614.08</v>
      </c>
      <c r="C59" s="4"/>
      <c r="D59" s="4"/>
      <c r="E59" s="4"/>
      <c r="F59" s="5">
        <f>93737.62</f>
        <v>93737.62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5">
        <f>2129.9</f>
        <v>2129.9</v>
      </c>
      <c r="AD59" s="4"/>
      <c r="AE59" s="4"/>
      <c r="AF59" s="5">
        <f t="shared" si="6"/>
        <v>102481.59999999999</v>
      </c>
    </row>
    <row r="60" spans="1:32" x14ac:dyDescent="0.25">
      <c r="A60" s="3" t="s">
        <v>85</v>
      </c>
      <c r="B60" s="4"/>
      <c r="C60" s="4"/>
      <c r="D60" s="5">
        <f>14000</f>
        <v>14000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5">
        <f>700</f>
        <v>700</v>
      </c>
      <c r="P60" s="4"/>
      <c r="Q60" s="4"/>
      <c r="R60" s="4"/>
      <c r="S60" s="4"/>
      <c r="T60" s="4"/>
      <c r="U60" s="4"/>
      <c r="V60" s="4"/>
      <c r="W60" s="4"/>
      <c r="X60" s="4"/>
      <c r="Y60" s="4"/>
      <c r="Z60" s="5">
        <f>7000</f>
        <v>7000</v>
      </c>
      <c r="AA60" s="4"/>
      <c r="AB60" s="4"/>
      <c r="AC60" s="4"/>
      <c r="AD60" s="4"/>
      <c r="AE60" s="4"/>
      <c r="AF60" s="5">
        <f t="shared" si="6"/>
        <v>21700</v>
      </c>
    </row>
    <row r="61" spans="1:32" x14ac:dyDescent="0.25">
      <c r="A61" s="3" t="s">
        <v>86</v>
      </c>
      <c r="B61" s="5">
        <f>2799.73</f>
        <v>2799.73</v>
      </c>
      <c r="C61" s="4"/>
      <c r="D61" s="4"/>
      <c r="E61" s="4"/>
      <c r="F61" s="5">
        <f>5704.98</f>
        <v>5704.98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5">
        <f t="shared" si="6"/>
        <v>8504.7099999999991</v>
      </c>
    </row>
    <row r="62" spans="1:32" x14ac:dyDescent="0.25">
      <c r="A62" s="3" t="s">
        <v>87</v>
      </c>
      <c r="B62" s="5">
        <f>818.55</f>
        <v>818.55</v>
      </c>
      <c r="C62" s="4"/>
      <c r="D62" s="5">
        <f>2225.68</f>
        <v>2225.6799999999998</v>
      </c>
      <c r="E62" s="4"/>
      <c r="F62" s="5">
        <f>215.34</f>
        <v>215.34</v>
      </c>
      <c r="G62" s="4"/>
      <c r="H62" s="4"/>
      <c r="I62" s="5">
        <f>110.68</f>
        <v>110.68</v>
      </c>
      <c r="J62" s="4"/>
      <c r="K62" s="4"/>
      <c r="L62" s="4"/>
      <c r="M62" s="4"/>
      <c r="N62" s="4"/>
      <c r="O62" s="5">
        <f>55.34</f>
        <v>55.34</v>
      </c>
      <c r="P62" s="4"/>
      <c r="Q62" s="5">
        <f>110.68</f>
        <v>110.68</v>
      </c>
      <c r="R62" s="4"/>
      <c r="S62" s="4"/>
      <c r="T62" s="4"/>
      <c r="U62" s="4"/>
      <c r="V62" s="5">
        <f>560.85</f>
        <v>560.85</v>
      </c>
      <c r="W62" s="5">
        <f>62.79</f>
        <v>62.79</v>
      </c>
      <c r="X62" s="5">
        <f>37.36</f>
        <v>37.36</v>
      </c>
      <c r="Y62" s="4"/>
      <c r="Z62" s="5">
        <f>184.7</f>
        <v>184.7</v>
      </c>
      <c r="AA62" s="5">
        <f>1694.8</f>
        <v>1694.8</v>
      </c>
      <c r="AB62" s="5">
        <f>74.02</f>
        <v>74.02</v>
      </c>
      <c r="AC62" s="4"/>
      <c r="AD62" s="5">
        <f>148.04</f>
        <v>148.04</v>
      </c>
      <c r="AE62" s="4"/>
      <c r="AF62" s="5">
        <f t="shared" si="6"/>
        <v>6298.83</v>
      </c>
    </row>
    <row r="63" spans="1:32" x14ac:dyDescent="0.25">
      <c r="A63" s="3" t="s">
        <v>88</v>
      </c>
      <c r="B63" s="4"/>
      <c r="C63" s="4"/>
      <c r="D63" s="4"/>
      <c r="E63" s="4"/>
      <c r="F63" s="5">
        <f>327.19</f>
        <v>327.19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5">
        <f t="shared" ref="AF63:AF93" si="10">(((((((((((((((((((((((((((((B63)+(C63))+(D63))+(E63))+(F63))+(G63))+(H63))+(I63))+(J63))+(K63))+(L63))+(M63))+(N63))+(O63))+(P63))+(Q63))+(R63))+(S63))+(T63))+(U63))+(V63))+(W63))+(X63))+(Y63))+(Z63))+(AA63))+(AB63))+(AC63))+(AD63))+(AE63)</f>
        <v>327.19</v>
      </c>
    </row>
    <row r="64" spans="1:32" x14ac:dyDescent="0.25">
      <c r="A64" s="3" t="s">
        <v>89</v>
      </c>
      <c r="B64" s="5">
        <f>5151.33</f>
        <v>5151.33</v>
      </c>
      <c r="C64" s="4"/>
      <c r="D64" s="4"/>
      <c r="E64" s="4"/>
      <c r="F64" s="5">
        <f>4744.66</f>
        <v>4744.66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>
        <f>1226</f>
        <v>1226</v>
      </c>
      <c r="W64" s="4"/>
      <c r="X64" s="4"/>
      <c r="Y64" s="4"/>
      <c r="Z64" s="5">
        <f>2357.19</f>
        <v>2357.19</v>
      </c>
      <c r="AA64" s="4"/>
      <c r="AB64" s="5">
        <f>4764</f>
        <v>4764</v>
      </c>
      <c r="AC64" s="4"/>
      <c r="AD64" s="5">
        <f>9468.64</f>
        <v>9468.64</v>
      </c>
      <c r="AE64" s="4"/>
      <c r="AF64" s="5">
        <f t="shared" si="10"/>
        <v>27711.82</v>
      </c>
    </row>
    <row r="65" spans="1:32" x14ac:dyDescent="0.25">
      <c r="A65" s="3" t="s">
        <v>90</v>
      </c>
      <c r="B65" s="6">
        <f t="shared" ref="B65:AE65" si="11">(((((((((B55)+(B56))+(B57))+(B58))+(B59))+(B60))+(B61))+(B62))+(B63))+(B64)</f>
        <v>17051.009999999998</v>
      </c>
      <c r="C65" s="6">
        <f t="shared" si="11"/>
        <v>0</v>
      </c>
      <c r="D65" s="6">
        <f t="shared" si="11"/>
        <v>16225.68</v>
      </c>
      <c r="E65" s="6">
        <f t="shared" si="11"/>
        <v>0</v>
      </c>
      <c r="F65" s="6">
        <f t="shared" si="11"/>
        <v>108284.98999999999</v>
      </c>
      <c r="G65" s="6">
        <f t="shared" si="11"/>
        <v>0</v>
      </c>
      <c r="H65" s="6">
        <f t="shared" si="11"/>
        <v>0</v>
      </c>
      <c r="I65" s="6">
        <f t="shared" si="11"/>
        <v>110.68</v>
      </c>
      <c r="J65" s="6">
        <f t="shared" si="11"/>
        <v>0</v>
      </c>
      <c r="K65" s="6">
        <f t="shared" si="11"/>
        <v>0</v>
      </c>
      <c r="L65" s="6">
        <f t="shared" si="11"/>
        <v>0</v>
      </c>
      <c r="M65" s="6">
        <f t="shared" si="11"/>
        <v>0</v>
      </c>
      <c r="N65" s="6">
        <f t="shared" si="11"/>
        <v>0</v>
      </c>
      <c r="O65" s="6">
        <f t="shared" si="11"/>
        <v>755.34</v>
      </c>
      <c r="P65" s="6">
        <f t="shared" si="11"/>
        <v>0</v>
      </c>
      <c r="Q65" s="6">
        <f t="shared" si="11"/>
        <v>110.68</v>
      </c>
      <c r="R65" s="6">
        <f t="shared" si="11"/>
        <v>0</v>
      </c>
      <c r="S65" s="6">
        <f t="shared" si="11"/>
        <v>0</v>
      </c>
      <c r="T65" s="6">
        <f t="shared" si="11"/>
        <v>0</v>
      </c>
      <c r="U65" s="6">
        <f t="shared" si="11"/>
        <v>0</v>
      </c>
      <c r="V65" s="6">
        <f t="shared" si="11"/>
        <v>1786.85</v>
      </c>
      <c r="W65" s="6">
        <f t="shared" si="11"/>
        <v>62.79</v>
      </c>
      <c r="X65" s="6">
        <f t="shared" si="11"/>
        <v>37.36</v>
      </c>
      <c r="Y65" s="6">
        <f t="shared" si="11"/>
        <v>0</v>
      </c>
      <c r="Z65" s="6">
        <f t="shared" si="11"/>
        <v>9541.89</v>
      </c>
      <c r="AA65" s="6">
        <f t="shared" si="11"/>
        <v>1694.8</v>
      </c>
      <c r="AB65" s="6">
        <f t="shared" si="11"/>
        <v>4838.0200000000004</v>
      </c>
      <c r="AC65" s="6">
        <f t="shared" si="11"/>
        <v>2129.9</v>
      </c>
      <c r="AD65" s="6">
        <f t="shared" si="11"/>
        <v>9616.68</v>
      </c>
      <c r="AE65" s="6">
        <f t="shared" si="11"/>
        <v>0</v>
      </c>
      <c r="AF65" s="6">
        <f t="shared" si="10"/>
        <v>172246.66999999993</v>
      </c>
    </row>
    <row r="66" spans="1:32" x14ac:dyDescent="0.25">
      <c r="A66" s="3" t="s">
        <v>91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5">
        <f t="shared" si="10"/>
        <v>0</v>
      </c>
    </row>
    <row r="67" spans="1:32" x14ac:dyDescent="0.25">
      <c r="A67" s="3" t="s">
        <v>92</v>
      </c>
      <c r="B67" s="5">
        <f>11994.6</f>
        <v>11994.6</v>
      </c>
      <c r="C67" s="4"/>
      <c r="D67" s="4"/>
      <c r="E67" s="4"/>
      <c r="F67" s="5">
        <f>4517.28</f>
        <v>4517.28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5">
        <f t="shared" si="10"/>
        <v>16511.88</v>
      </c>
    </row>
    <row r="68" spans="1:32" x14ac:dyDescent="0.25">
      <c r="A68" s="3" t="s">
        <v>93</v>
      </c>
      <c r="B68" s="5">
        <f>3416.25</f>
        <v>3416.25</v>
      </c>
      <c r="C68" s="4"/>
      <c r="D68" s="4"/>
      <c r="E68" s="4"/>
      <c r="F68" s="5">
        <f>3416.25</f>
        <v>3416.25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5">
        <f t="shared" si="10"/>
        <v>6832.5</v>
      </c>
    </row>
    <row r="69" spans="1:32" x14ac:dyDescent="0.25">
      <c r="A69" s="3" t="s">
        <v>94</v>
      </c>
      <c r="B69" s="5">
        <f>1285.23</f>
        <v>1285.23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5">
        <f t="shared" si="10"/>
        <v>1285.23</v>
      </c>
    </row>
    <row r="70" spans="1:32" x14ac:dyDescent="0.25">
      <c r="A70" s="3" t="s">
        <v>95</v>
      </c>
      <c r="B70" s="6">
        <f t="shared" ref="B70:AE70" si="12">(((B66)+(B67))+(B68))+(B69)</f>
        <v>16696.080000000002</v>
      </c>
      <c r="C70" s="6">
        <f t="shared" si="12"/>
        <v>0</v>
      </c>
      <c r="D70" s="6">
        <f t="shared" si="12"/>
        <v>0</v>
      </c>
      <c r="E70" s="6">
        <f t="shared" si="12"/>
        <v>0</v>
      </c>
      <c r="F70" s="6">
        <f t="shared" si="12"/>
        <v>7933.53</v>
      </c>
      <c r="G70" s="6">
        <f t="shared" si="12"/>
        <v>0</v>
      </c>
      <c r="H70" s="6">
        <f t="shared" si="12"/>
        <v>0</v>
      </c>
      <c r="I70" s="6">
        <f t="shared" si="12"/>
        <v>0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0</v>
      </c>
      <c r="O70" s="6">
        <f t="shared" si="12"/>
        <v>0</v>
      </c>
      <c r="P70" s="6">
        <f t="shared" si="12"/>
        <v>0</v>
      </c>
      <c r="Q70" s="6">
        <f t="shared" si="12"/>
        <v>0</v>
      </c>
      <c r="R70" s="6">
        <f t="shared" si="12"/>
        <v>0</v>
      </c>
      <c r="S70" s="6">
        <f t="shared" si="12"/>
        <v>0</v>
      </c>
      <c r="T70" s="6">
        <f t="shared" si="12"/>
        <v>0</v>
      </c>
      <c r="U70" s="6">
        <f t="shared" si="12"/>
        <v>0</v>
      </c>
      <c r="V70" s="6">
        <f t="shared" si="12"/>
        <v>0</v>
      </c>
      <c r="W70" s="6">
        <f t="shared" si="12"/>
        <v>0</v>
      </c>
      <c r="X70" s="6">
        <f t="shared" si="12"/>
        <v>0</v>
      </c>
      <c r="Y70" s="6">
        <f t="shared" si="12"/>
        <v>0</v>
      </c>
      <c r="Z70" s="6">
        <f t="shared" si="12"/>
        <v>0</v>
      </c>
      <c r="AA70" s="6">
        <f t="shared" si="12"/>
        <v>0</v>
      </c>
      <c r="AB70" s="6">
        <f t="shared" si="12"/>
        <v>0</v>
      </c>
      <c r="AC70" s="6">
        <f t="shared" si="12"/>
        <v>0</v>
      </c>
      <c r="AD70" s="6">
        <f t="shared" si="12"/>
        <v>0</v>
      </c>
      <c r="AE70" s="6">
        <f t="shared" si="12"/>
        <v>0</v>
      </c>
      <c r="AF70" s="6">
        <f t="shared" si="10"/>
        <v>24629.61</v>
      </c>
    </row>
    <row r="71" spans="1:32" x14ac:dyDescent="0.25">
      <c r="A71" s="3" t="s">
        <v>96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5">
        <f t="shared" si="10"/>
        <v>0</v>
      </c>
    </row>
    <row r="72" spans="1:32" x14ac:dyDescent="0.25">
      <c r="A72" s="3" t="s">
        <v>97</v>
      </c>
      <c r="B72" s="5">
        <f>205.8</f>
        <v>205.8</v>
      </c>
      <c r="C72" s="4"/>
      <c r="D72" s="4"/>
      <c r="E72" s="4"/>
      <c r="F72" s="5">
        <f>123.48</f>
        <v>123.48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>
        <f>82.31</f>
        <v>82.31</v>
      </c>
      <c r="W72" s="4"/>
      <c r="X72" s="4"/>
      <c r="Y72" s="4"/>
      <c r="Z72" s="4"/>
      <c r="AA72" s="4"/>
      <c r="AB72" s="4"/>
      <c r="AC72" s="4"/>
      <c r="AD72" s="4"/>
      <c r="AE72" s="4"/>
      <c r="AF72" s="5">
        <f t="shared" si="10"/>
        <v>411.59000000000003</v>
      </c>
    </row>
    <row r="73" spans="1:32" x14ac:dyDescent="0.25">
      <c r="A73" s="3" t="s">
        <v>98</v>
      </c>
      <c r="B73" s="5">
        <f>0</f>
        <v>0</v>
      </c>
      <c r="C73" s="4"/>
      <c r="D73" s="4"/>
      <c r="E73" s="4"/>
      <c r="F73" s="5">
        <f>0</f>
        <v>0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>
        <f>0</f>
        <v>0</v>
      </c>
      <c r="W73" s="4"/>
      <c r="X73" s="4"/>
      <c r="Y73" s="4"/>
      <c r="Z73" s="4"/>
      <c r="AA73" s="4"/>
      <c r="AB73" s="4"/>
      <c r="AC73" s="4"/>
      <c r="AD73" s="4"/>
      <c r="AE73" s="4"/>
      <c r="AF73" s="5">
        <f t="shared" si="10"/>
        <v>0</v>
      </c>
    </row>
    <row r="74" spans="1:32" x14ac:dyDescent="0.25">
      <c r="A74" s="3" t="s">
        <v>99</v>
      </c>
      <c r="B74" s="5">
        <f>1310.81</f>
        <v>1310.81</v>
      </c>
      <c r="C74" s="4"/>
      <c r="D74" s="5">
        <f>908.63</f>
        <v>908.63</v>
      </c>
      <c r="E74" s="4"/>
      <c r="F74" s="5">
        <f>1165.29</f>
        <v>1165.29</v>
      </c>
      <c r="G74" s="5">
        <f>18.18</f>
        <v>18.18</v>
      </c>
      <c r="H74" s="4"/>
      <c r="I74" s="4"/>
      <c r="J74" s="4"/>
      <c r="K74" s="4"/>
      <c r="L74" s="4"/>
      <c r="M74" s="4"/>
      <c r="N74" s="4"/>
      <c r="O74" s="5">
        <f>34.77</f>
        <v>34.770000000000003</v>
      </c>
      <c r="P74" s="4"/>
      <c r="Q74" s="5">
        <f>110.21</f>
        <v>110.21</v>
      </c>
      <c r="R74" s="4"/>
      <c r="S74" s="4"/>
      <c r="T74" s="4"/>
      <c r="U74" s="4"/>
      <c r="V74" s="5">
        <f>599.23</f>
        <v>599.23</v>
      </c>
      <c r="W74" s="5">
        <f>542.43</f>
        <v>542.42999999999995</v>
      </c>
      <c r="X74" s="5">
        <f>196.53</f>
        <v>196.53</v>
      </c>
      <c r="Y74" s="4"/>
      <c r="Z74" s="5">
        <f>248.04</f>
        <v>248.04</v>
      </c>
      <c r="AA74" s="4"/>
      <c r="AB74" s="5">
        <f>1.62</f>
        <v>1.62</v>
      </c>
      <c r="AC74" s="4"/>
      <c r="AD74" s="5">
        <f>3.18</f>
        <v>3.18</v>
      </c>
      <c r="AE74" s="4"/>
      <c r="AF74" s="5">
        <f t="shared" si="10"/>
        <v>5138.92</v>
      </c>
    </row>
    <row r="75" spans="1:32" x14ac:dyDescent="0.25">
      <c r="A75" s="3" t="s">
        <v>100</v>
      </c>
      <c r="B75" s="5">
        <f>472.51</f>
        <v>472.51</v>
      </c>
      <c r="C75" s="4"/>
      <c r="D75" s="4"/>
      <c r="E75" s="4"/>
      <c r="F75" s="5">
        <f>47.41</f>
        <v>47.41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>
        <f>1172.3</f>
        <v>1172.3</v>
      </c>
      <c r="W75" s="4"/>
      <c r="X75" s="4"/>
      <c r="Y75" s="4"/>
      <c r="Z75" s="4"/>
      <c r="AA75" s="4"/>
      <c r="AB75" s="4"/>
      <c r="AC75" s="4"/>
      <c r="AD75" s="4"/>
      <c r="AE75" s="4"/>
      <c r="AF75" s="5">
        <f t="shared" si="10"/>
        <v>1692.2199999999998</v>
      </c>
    </row>
    <row r="76" spans="1:32" x14ac:dyDescent="0.25">
      <c r="A76" s="3" t="s">
        <v>101</v>
      </c>
      <c r="B76" s="5">
        <f>5171.89</f>
        <v>5171.8900000000003</v>
      </c>
      <c r="C76" s="4"/>
      <c r="D76" s="5">
        <f>2414.48</f>
        <v>2414.48</v>
      </c>
      <c r="E76" s="4"/>
      <c r="F76" s="5">
        <f>152.11</f>
        <v>152.11000000000001</v>
      </c>
      <c r="G76" s="5">
        <f>176.59</f>
        <v>176.59</v>
      </c>
      <c r="H76" s="4"/>
      <c r="I76" s="4"/>
      <c r="J76" s="4"/>
      <c r="K76" s="4"/>
      <c r="L76" s="5">
        <f>293.5</f>
        <v>293.5</v>
      </c>
      <c r="M76" s="4"/>
      <c r="N76" s="4"/>
      <c r="O76" s="5">
        <f>257.89</f>
        <v>257.89</v>
      </c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5">
        <f>-502.54</f>
        <v>-502.54</v>
      </c>
      <c r="AD76" s="5">
        <f>-176.59</f>
        <v>-176.59</v>
      </c>
      <c r="AE76" s="4"/>
      <c r="AF76" s="5">
        <f t="shared" si="10"/>
        <v>7787.329999999999</v>
      </c>
    </row>
    <row r="77" spans="1:32" x14ac:dyDescent="0.25">
      <c r="A77" s="3" t="s">
        <v>102</v>
      </c>
      <c r="B77" s="5">
        <f>22975.71</f>
        <v>22975.71</v>
      </c>
      <c r="C77" s="4"/>
      <c r="D77" s="5">
        <f>4227.19</f>
        <v>4227.1899999999996</v>
      </c>
      <c r="E77" s="4"/>
      <c r="F77" s="5">
        <f>18250.85</f>
        <v>18250.849999999999</v>
      </c>
      <c r="G77" s="5">
        <f>0</f>
        <v>0</v>
      </c>
      <c r="H77" s="5">
        <f>0</f>
        <v>0</v>
      </c>
      <c r="I77" s="4"/>
      <c r="J77" s="4"/>
      <c r="K77" s="5">
        <f>58.84</f>
        <v>58.84</v>
      </c>
      <c r="L77" s="5">
        <f>661.21</f>
        <v>661.21</v>
      </c>
      <c r="M77" s="4"/>
      <c r="N77" s="4"/>
      <c r="O77" s="4"/>
      <c r="P77" s="4"/>
      <c r="Q77" s="5">
        <f>168381.47</f>
        <v>168381.47</v>
      </c>
      <c r="R77" s="4"/>
      <c r="S77" s="4"/>
      <c r="T77" s="4"/>
      <c r="U77" s="4"/>
      <c r="V77" s="5">
        <f>8396.54</f>
        <v>8396.5400000000009</v>
      </c>
      <c r="W77" s="5">
        <f>162</f>
        <v>162</v>
      </c>
      <c r="X77" s="5">
        <f>11470.31</f>
        <v>11470.31</v>
      </c>
      <c r="Y77" s="4"/>
      <c r="Z77" s="5">
        <f>10997.87</f>
        <v>10997.87</v>
      </c>
      <c r="AA77" s="4"/>
      <c r="AB77" s="5">
        <f>2001.06</f>
        <v>2001.06</v>
      </c>
      <c r="AC77" s="5">
        <f>1085.06</f>
        <v>1085.06</v>
      </c>
      <c r="AD77" s="5">
        <f>4079.94</f>
        <v>4079.94</v>
      </c>
      <c r="AE77" s="4"/>
      <c r="AF77" s="5">
        <f t="shared" si="10"/>
        <v>252748.05</v>
      </c>
    </row>
    <row r="78" spans="1:32" x14ac:dyDescent="0.25">
      <c r="A78" s="3" t="s">
        <v>103</v>
      </c>
      <c r="B78" s="5">
        <f>7.99</f>
        <v>7.99</v>
      </c>
      <c r="C78" s="4"/>
      <c r="D78" s="4"/>
      <c r="E78" s="4"/>
      <c r="F78" s="5">
        <f>391.93</f>
        <v>391.93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5">
        <f t="shared" si="10"/>
        <v>399.92</v>
      </c>
    </row>
    <row r="79" spans="1:32" x14ac:dyDescent="0.25">
      <c r="A79" s="3" t="s">
        <v>104</v>
      </c>
      <c r="B79" s="6">
        <f t="shared" ref="B79:AE79" si="13">(((((((B71)+(B72))+(B73))+(B74))+(B75))+(B76))+(B77))+(B78)</f>
        <v>30144.710000000003</v>
      </c>
      <c r="C79" s="6">
        <f t="shared" si="13"/>
        <v>0</v>
      </c>
      <c r="D79" s="6">
        <f t="shared" si="13"/>
        <v>7550.2999999999993</v>
      </c>
      <c r="E79" s="6">
        <f t="shared" si="13"/>
        <v>0</v>
      </c>
      <c r="F79" s="6">
        <f t="shared" si="13"/>
        <v>20131.07</v>
      </c>
      <c r="G79" s="6">
        <f t="shared" si="13"/>
        <v>194.77</v>
      </c>
      <c r="H79" s="6">
        <f t="shared" si="13"/>
        <v>0</v>
      </c>
      <c r="I79" s="6">
        <f t="shared" si="13"/>
        <v>0</v>
      </c>
      <c r="J79" s="6">
        <f t="shared" si="13"/>
        <v>0</v>
      </c>
      <c r="K79" s="6">
        <f t="shared" si="13"/>
        <v>58.84</v>
      </c>
      <c r="L79" s="6">
        <f t="shared" si="13"/>
        <v>954.71</v>
      </c>
      <c r="M79" s="6">
        <f t="shared" si="13"/>
        <v>0</v>
      </c>
      <c r="N79" s="6">
        <f t="shared" si="13"/>
        <v>0</v>
      </c>
      <c r="O79" s="6">
        <f t="shared" si="13"/>
        <v>292.65999999999997</v>
      </c>
      <c r="P79" s="6">
        <f t="shared" si="13"/>
        <v>0</v>
      </c>
      <c r="Q79" s="6">
        <f t="shared" si="13"/>
        <v>168491.68</v>
      </c>
      <c r="R79" s="6">
        <f t="shared" si="13"/>
        <v>0</v>
      </c>
      <c r="S79" s="6">
        <f t="shared" si="13"/>
        <v>0</v>
      </c>
      <c r="T79" s="6">
        <f t="shared" si="13"/>
        <v>0</v>
      </c>
      <c r="U79" s="6">
        <f t="shared" si="13"/>
        <v>0</v>
      </c>
      <c r="V79" s="6">
        <f t="shared" si="13"/>
        <v>10250.380000000001</v>
      </c>
      <c r="W79" s="6">
        <f t="shared" si="13"/>
        <v>704.43</v>
      </c>
      <c r="X79" s="6">
        <f t="shared" si="13"/>
        <v>11666.84</v>
      </c>
      <c r="Y79" s="6">
        <f t="shared" si="13"/>
        <v>0</v>
      </c>
      <c r="Z79" s="6">
        <f t="shared" si="13"/>
        <v>11245.910000000002</v>
      </c>
      <c r="AA79" s="6">
        <f t="shared" si="13"/>
        <v>0</v>
      </c>
      <c r="AB79" s="6">
        <f t="shared" si="13"/>
        <v>2002.6799999999998</v>
      </c>
      <c r="AC79" s="6">
        <f t="shared" si="13"/>
        <v>582.52</v>
      </c>
      <c r="AD79" s="6">
        <f t="shared" si="13"/>
        <v>3906.53</v>
      </c>
      <c r="AE79" s="6">
        <f t="shared" si="13"/>
        <v>0</v>
      </c>
      <c r="AF79" s="6">
        <f t="shared" si="10"/>
        <v>268178.03000000003</v>
      </c>
    </row>
    <row r="80" spans="1:32" x14ac:dyDescent="0.25">
      <c r="A80" s="3" t="s">
        <v>105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5">
        <f t="shared" si="10"/>
        <v>0</v>
      </c>
    </row>
    <row r="81" spans="1:32" x14ac:dyDescent="0.25">
      <c r="A81" s="3" t="s">
        <v>106</v>
      </c>
      <c r="B81" s="4"/>
      <c r="C81" s="4"/>
      <c r="D81" s="5">
        <f>17254.84</f>
        <v>17254.84</v>
      </c>
      <c r="E81" s="4"/>
      <c r="F81" s="5">
        <f>0</f>
        <v>0</v>
      </c>
      <c r="G81" s="5">
        <f>200</f>
        <v>200</v>
      </c>
      <c r="H81" s="4"/>
      <c r="I81" s="4"/>
      <c r="J81" s="4"/>
      <c r="K81" s="4"/>
      <c r="L81" s="5">
        <f>94920</f>
        <v>94920</v>
      </c>
      <c r="M81" s="4"/>
      <c r="N81" s="5">
        <f>10459.49</f>
        <v>10459.49</v>
      </c>
      <c r="O81" s="5">
        <f>2000</f>
        <v>2000</v>
      </c>
      <c r="P81" s="4"/>
      <c r="Q81" s="4"/>
      <c r="R81" s="4"/>
      <c r="S81" s="4"/>
      <c r="T81" s="4"/>
      <c r="U81" s="4"/>
      <c r="V81" s="5">
        <f>30662.5</f>
        <v>30662.5</v>
      </c>
      <c r="W81" s="4"/>
      <c r="X81" s="4"/>
      <c r="Y81" s="4"/>
      <c r="Z81" s="5">
        <f>0</f>
        <v>0</v>
      </c>
      <c r="AA81" s="4"/>
      <c r="AB81" s="5">
        <f>2636.13</f>
        <v>2636.13</v>
      </c>
      <c r="AC81" s="5">
        <f>36650</f>
        <v>36650</v>
      </c>
      <c r="AD81" s="5">
        <f>-2616.13</f>
        <v>-2616.13</v>
      </c>
      <c r="AE81" s="5">
        <f>0</f>
        <v>0</v>
      </c>
      <c r="AF81" s="5">
        <f t="shared" si="10"/>
        <v>192166.83000000002</v>
      </c>
    </row>
    <row r="82" spans="1:32" x14ac:dyDescent="0.25">
      <c r="A82" s="3" t="s">
        <v>107</v>
      </c>
      <c r="B82" s="5">
        <f>2093</f>
        <v>2093</v>
      </c>
      <c r="C82" s="4"/>
      <c r="D82" s="5">
        <f>150</f>
        <v>150</v>
      </c>
      <c r="E82" s="4"/>
      <c r="F82" s="5">
        <f>6299</f>
        <v>6299</v>
      </c>
      <c r="G82" s="5">
        <f>7901.5</f>
        <v>7901.5</v>
      </c>
      <c r="H82" s="4"/>
      <c r="I82" s="4"/>
      <c r="J82" s="4"/>
      <c r="K82" s="4"/>
      <c r="L82" s="4"/>
      <c r="M82" s="4"/>
      <c r="N82" s="4"/>
      <c r="O82" s="5">
        <f>1975</f>
        <v>1975</v>
      </c>
      <c r="P82" s="4"/>
      <c r="Q82" s="5">
        <f>7592.36</f>
        <v>7592.36</v>
      </c>
      <c r="R82" s="4"/>
      <c r="S82" s="4"/>
      <c r="T82" s="4"/>
      <c r="U82" s="5">
        <f>145</f>
        <v>145</v>
      </c>
      <c r="V82" s="5">
        <f>1158</f>
        <v>1158</v>
      </c>
      <c r="W82" s="5">
        <f>1745</f>
        <v>1745</v>
      </c>
      <c r="X82" s="5">
        <f>-361.36</f>
        <v>-361.36</v>
      </c>
      <c r="Y82" s="4"/>
      <c r="Z82" s="4"/>
      <c r="AA82" s="4"/>
      <c r="AB82" s="5">
        <f>6035.9</f>
        <v>6035.9</v>
      </c>
      <c r="AC82" s="5">
        <f>28908.2</f>
        <v>28908.2</v>
      </c>
      <c r="AD82" s="5">
        <f>0</f>
        <v>0</v>
      </c>
      <c r="AE82" s="4"/>
      <c r="AF82" s="5">
        <f t="shared" si="10"/>
        <v>63641.600000000006</v>
      </c>
    </row>
    <row r="83" spans="1:32" x14ac:dyDescent="0.25">
      <c r="A83" s="3" t="s">
        <v>108</v>
      </c>
      <c r="B83" s="5">
        <f>-31396.94</f>
        <v>-31396.94</v>
      </c>
      <c r="C83" s="4"/>
      <c r="D83" s="5">
        <f>3099.83</f>
        <v>3099.83</v>
      </c>
      <c r="E83" s="4"/>
      <c r="F83" s="5">
        <f>-325.15</f>
        <v>-325.14999999999998</v>
      </c>
      <c r="G83" s="5">
        <f>13489.76</f>
        <v>13489.76</v>
      </c>
      <c r="H83" s="4"/>
      <c r="I83" s="5">
        <f>65.32</f>
        <v>65.319999999999993</v>
      </c>
      <c r="J83" s="4"/>
      <c r="K83" s="4"/>
      <c r="L83" s="4"/>
      <c r="M83" s="4"/>
      <c r="N83" s="4"/>
      <c r="O83" s="5">
        <f>27938.14</f>
        <v>27938.14</v>
      </c>
      <c r="P83" s="4"/>
      <c r="Q83" s="5">
        <f>6284.06</f>
        <v>6284.06</v>
      </c>
      <c r="R83" s="4"/>
      <c r="S83" s="5">
        <f>159222.54</f>
        <v>159222.54</v>
      </c>
      <c r="T83" s="4"/>
      <c r="U83" s="5">
        <f>171.58</f>
        <v>171.58</v>
      </c>
      <c r="V83" s="5">
        <f>4780.77</f>
        <v>4780.7700000000004</v>
      </c>
      <c r="W83" s="5">
        <f>1220.2</f>
        <v>1220.2</v>
      </c>
      <c r="X83" s="5">
        <f>1045.53</f>
        <v>1045.53</v>
      </c>
      <c r="Y83" s="4"/>
      <c r="Z83" s="5">
        <f>4837.24</f>
        <v>4837.24</v>
      </c>
      <c r="AA83" s="4"/>
      <c r="AB83" s="5">
        <f>4835.88</f>
        <v>4835.88</v>
      </c>
      <c r="AC83" s="5">
        <f>34940.68</f>
        <v>34940.68</v>
      </c>
      <c r="AD83" s="5">
        <f>3313.55</f>
        <v>3313.55</v>
      </c>
      <c r="AE83" s="5"/>
      <c r="AF83" s="5">
        <f t="shared" si="10"/>
        <v>233522.98999999996</v>
      </c>
    </row>
    <row r="84" spans="1:32" x14ac:dyDescent="0.25">
      <c r="A84" s="3" t="s">
        <v>109</v>
      </c>
      <c r="B84" s="5">
        <f>-3488.19</f>
        <v>-3488.19</v>
      </c>
      <c r="C84" s="4"/>
      <c r="D84" s="5">
        <f>3004.18</f>
        <v>3004.18</v>
      </c>
      <c r="E84" s="4"/>
      <c r="F84" s="4"/>
      <c r="G84" s="4"/>
      <c r="H84" s="4"/>
      <c r="I84" s="4"/>
      <c r="J84" s="4"/>
      <c r="K84" s="5">
        <f>294.9</f>
        <v>294.89999999999998</v>
      </c>
      <c r="L84" s="5">
        <f>2570.09</f>
        <v>2570.09</v>
      </c>
      <c r="M84" s="4"/>
      <c r="N84" s="4"/>
      <c r="O84" s="4"/>
      <c r="P84" s="4"/>
      <c r="Q84" s="4"/>
      <c r="R84" s="4"/>
      <c r="S84" s="4"/>
      <c r="T84" s="4"/>
      <c r="U84" s="4"/>
      <c r="V84" s="5">
        <f>2180.33</f>
        <v>2180.33</v>
      </c>
      <c r="W84" s="4"/>
      <c r="X84" s="4"/>
      <c r="Y84" s="4"/>
      <c r="Z84" s="5">
        <f>0</f>
        <v>0</v>
      </c>
      <c r="AA84" s="5">
        <f>167.98</f>
        <v>167.98</v>
      </c>
      <c r="AB84" s="4"/>
      <c r="AC84" s="5">
        <f>938.19</f>
        <v>938.19</v>
      </c>
      <c r="AD84" s="5">
        <f>0</f>
        <v>0</v>
      </c>
      <c r="AE84" s="4"/>
      <c r="AF84" s="5">
        <f t="shared" si="10"/>
        <v>5667.48</v>
      </c>
    </row>
    <row r="85" spans="1:32" x14ac:dyDescent="0.25">
      <c r="A85" s="3" t="s">
        <v>110</v>
      </c>
      <c r="B85" s="5">
        <f>1748.53</f>
        <v>1748.53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5">
        <f t="shared" si="10"/>
        <v>1748.53</v>
      </c>
    </row>
    <row r="86" spans="1:32" x14ac:dyDescent="0.25">
      <c r="A86" s="3" t="s">
        <v>111</v>
      </c>
      <c r="B86" s="6">
        <f t="shared" ref="B86:AE86" si="14">(((((B80)+(B81))+(B82))+(B83))+(B84))+(B85)</f>
        <v>-31043.599999999999</v>
      </c>
      <c r="C86" s="6">
        <f t="shared" si="14"/>
        <v>0</v>
      </c>
      <c r="D86" s="6">
        <f t="shared" si="14"/>
        <v>23508.85</v>
      </c>
      <c r="E86" s="6">
        <f t="shared" si="14"/>
        <v>0</v>
      </c>
      <c r="F86" s="6">
        <f t="shared" si="14"/>
        <v>5973.85</v>
      </c>
      <c r="G86" s="6">
        <f t="shared" si="14"/>
        <v>21591.260000000002</v>
      </c>
      <c r="H86" s="6">
        <f t="shared" si="14"/>
        <v>0</v>
      </c>
      <c r="I86" s="6">
        <f t="shared" si="14"/>
        <v>65.319999999999993</v>
      </c>
      <c r="J86" s="6">
        <f t="shared" si="14"/>
        <v>0</v>
      </c>
      <c r="K86" s="6">
        <f t="shared" si="14"/>
        <v>294.89999999999998</v>
      </c>
      <c r="L86" s="6">
        <f t="shared" si="14"/>
        <v>97490.09</v>
      </c>
      <c r="M86" s="6">
        <f t="shared" si="14"/>
        <v>0</v>
      </c>
      <c r="N86" s="6">
        <f t="shared" si="14"/>
        <v>10459.49</v>
      </c>
      <c r="O86" s="6">
        <f t="shared" si="14"/>
        <v>31913.14</v>
      </c>
      <c r="P86" s="6">
        <f t="shared" si="14"/>
        <v>0</v>
      </c>
      <c r="Q86" s="6">
        <f t="shared" si="14"/>
        <v>13876.42</v>
      </c>
      <c r="R86" s="6">
        <f t="shared" si="14"/>
        <v>0</v>
      </c>
      <c r="S86" s="6">
        <f t="shared" si="14"/>
        <v>159222.54</v>
      </c>
      <c r="T86" s="6">
        <f t="shared" si="14"/>
        <v>0</v>
      </c>
      <c r="U86" s="6">
        <f t="shared" si="14"/>
        <v>316.58000000000004</v>
      </c>
      <c r="V86" s="6">
        <f t="shared" si="14"/>
        <v>38781.600000000006</v>
      </c>
      <c r="W86" s="6">
        <f t="shared" si="14"/>
        <v>2965.2</v>
      </c>
      <c r="X86" s="6">
        <f t="shared" si="14"/>
        <v>684.17</v>
      </c>
      <c r="Y86" s="6">
        <f t="shared" si="14"/>
        <v>0</v>
      </c>
      <c r="Z86" s="6">
        <f t="shared" si="14"/>
        <v>4837.24</v>
      </c>
      <c r="AA86" s="6">
        <f t="shared" si="14"/>
        <v>167.98</v>
      </c>
      <c r="AB86" s="6">
        <f t="shared" si="14"/>
        <v>13507.91</v>
      </c>
      <c r="AC86" s="6">
        <f t="shared" si="14"/>
        <v>101437.07</v>
      </c>
      <c r="AD86" s="6">
        <f t="shared" si="14"/>
        <v>697.42000000000007</v>
      </c>
      <c r="AE86" s="6">
        <f t="shared" si="14"/>
        <v>0</v>
      </c>
      <c r="AF86" s="6">
        <f t="shared" si="10"/>
        <v>496747.43</v>
      </c>
    </row>
    <row r="87" spans="1:32" x14ac:dyDescent="0.25">
      <c r="A87" s="3" t="s">
        <v>112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5">
        <f t="shared" si="10"/>
        <v>0</v>
      </c>
    </row>
    <row r="88" spans="1:32" x14ac:dyDescent="0.25">
      <c r="A88" s="3" t="s">
        <v>113</v>
      </c>
      <c r="B88" s="5">
        <f>1284</f>
        <v>1284</v>
      </c>
      <c r="C88" s="4"/>
      <c r="D88" s="5">
        <f>89</f>
        <v>89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>
        <f>321.04</f>
        <v>321.04000000000002</v>
      </c>
      <c r="W88" s="4"/>
      <c r="X88" s="4"/>
      <c r="Y88" s="4"/>
      <c r="Z88" s="4"/>
      <c r="AA88" s="4"/>
      <c r="AB88" s="4"/>
      <c r="AC88" s="4"/>
      <c r="AD88" s="5">
        <f>342.61</f>
        <v>342.61</v>
      </c>
      <c r="AE88" s="4"/>
      <c r="AF88" s="5">
        <f t="shared" si="10"/>
        <v>2036.65</v>
      </c>
    </row>
    <row r="89" spans="1:32" x14ac:dyDescent="0.25">
      <c r="A89" s="3" t="s">
        <v>114</v>
      </c>
      <c r="B89" s="4"/>
      <c r="C89" s="4"/>
      <c r="D89" s="5">
        <f>13140.41</f>
        <v>13140.41</v>
      </c>
      <c r="E89" s="5">
        <f>615.84</f>
        <v>615.84</v>
      </c>
      <c r="F89" s="5">
        <f>44121.63</f>
        <v>44121.63</v>
      </c>
      <c r="G89" s="5">
        <f>5554.8</f>
        <v>5554.8</v>
      </c>
      <c r="H89" s="5">
        <f>3821.33</f>
        <v>3821.33</v>
      </c>
      <c r="I89" s="5">
        <f>3115.7</f>
        <v>3115.7</v>
      </c>
      <c r="J89" s="5">
        <f>2367.92</f>
        <v>2367.92</v>
      </c>
      <c r="K89" s="4"/>
      <c r="L89" s="5">
        <f>9675.9</f>
        <v>9675.9</v>
      </c>
      <c r="M89" s="5">
        <f>1479.28</f>
        <v>1479.28</v>
      </c>
      <c r="N89" s="5">
        <f>24615.02</f>
        <v>24615.02</v>
      </c>
      <c r="O89" s="5">
        <f>4681.34</f>
        <v>4681.34</v>
      </c>
      <c r="P89" s="5">
        <f>81.16</f>
        <v>81.16</v>
      </c>
      <c r="Q89" s="5">
        <f>42827.17</f>
        <v>42827.17</v>
      </c>
      <c r="R89" s="5">
        <f>24588.22</f>
        <v>24588.22</v>
      </c>
      <c r="S89" s="5">
        <f>18451.12</f>
        <v>18451.12</v>
      </c>
      <c r="T89" s="5">
        <f>4010.73</f>
        <v>4010.73</v>
      </c>
      <c r="U89" s="5">
        <f>543.11</f>
        <v>543.11</v>
      </c>
      <c r="V89" s="5">
        <f>19088.63</f>
        <v>19088.63</v>
      </c>
      <c r="W89" s="5">
        <f>2077.85</f>
        <v>2077.85</v>
      </c>
      <c r="X89" s="5">
        <f>10766.52</f>
        <v>10766.52</v>
      </c>
      <c r="Y89" s="4"/>
      <c r="Z89" s="5">
        <f>30265.68</f>
        <v>30265.68</v>
      </c>
      <c r="AA89" s="5">
        <f>100.4</f>
        <v>100.4</v>
      </c>
      <c r="AB89" s="5">
        <f>9710.99</f>
        <v>9710.99</v>
      </c>
      <c r="AC89" s="5">
        <f>26988.72</f>
        <v>26988.720000000001</v>
      </c>
      <c r="AD89" s="5">
        <f>14652.64</f>
        <v>14652.64</v>
      </c>
      <c r="AE89" s="4"/>
      <c r="AF89" s="5">
        <f t="shared" si="10"/>
        <v>317342.11</v>
      </c>
    </row>
    <row r="90" spans="1:32" x14ac:dyDescent="0.25">
      <c r="A90" s="3" t="s">
        <v>115</v>
      </c>
      <c r="B90" s="6">
        <f t="shared" ref="B90:AE90" si="15">((B87)+(B88))+(B89)</f>
        <v>1284</v>
      </c>
      <c r="C90" s="6">
        <f t="shared" si="15"/>
        <v>0</v>
      </c>
      <c r="D90" s="6">
        <f t="shared" si="15"/>
        <v>13229.41</v>
      </c>
      <c r="E90" s="6">
        <f t="shared" si="15"/>
        <v>615.84</v>
      </c>
      <c r="F90" s="6">
        <f t="shared" si="15"/>
        <v>44121.63</v>
      </c>
      <c r="G90" s="6">
        <f t="shared" si="15"/>
        <v>5554.8</v>
      </c>
      <c r="H90" s="6">
        <f t="shared" si="15"/>
        <v>3821.33</v>
      </c>
      <c r="I90" s="6">
        <f t="shared" si="15"/>
        <v>3115.7</v>
      </c>
      <c r="J90" s="6">
        <f t="shared" si="15"/>
        <v>2367.92</v>
      </c>
      <c r="K90" s="6">
        <f t="shared" si="15"/>
        <v>0</v>
      </c>
      <c r="L90" s="6">
        <f t="shared" si="15"/>
        <v>9675.9</v>
      </c>
      <c r="M90" s="6">
        <f t="shared" si="15"/>
        <v>1479.28</v>
      </c>
      <c r="N90" s="6">
        <f t="shared" si="15"/>
        <v>24615.02</v>
      </c>
      <c r="O90" s="6">
        <f t="shared" si="15"/>
        <v>4681.34</v>
      </c>
      <c r="P90" s="6">
        <f t="shared" si="15"/>
        <v>81.16</v>
      </c>
      <c r="Q90" s="6">
        <f t="shared" si="15"/>
        <v>42827.17</v>
      </c>
      <c r="R90" s="6">
        <f t="shared" si="15"/>
        <v>24588.22</v>
      </c>
      <c r="S90" s="6">
        <f t="shared" si="15"/>
        <v>18451.12</v>
      </c>
      <c r="T90" s="6">
        <f t="shared" si="15"/>
        <v>4010.73</v>
      </c>
      <c r="U90" s="6">
        <f t="shared" si="15"/>
        <v>543.11</v>
      </c>
      <c r="V90" s="6">
        <f t="shared" si="15"/>
        <v>19409.670000000002</v>
      </c>
      <c r="W90" s="6">
        <f t="shared" si="15"/>
        <v>2077.85</v>
      </c>
      <c r="X90" s="6">
        <f t="shared" si="15"/>
        <v>10766.52</v>
      </c>
      <c r="Y90" s="6">
        <f t="shared" si="15"/>
        <v>0</v>
      </c>
      <c r="Z90" s="6">
        <f t="shared" si="15"/>
        <v>30265.68</v>
      </c>
      <c r="AA90" s="6">
        <f t="shared" si="15"/>
        <v>100.4</v>
      </c>
      <c r="AB90" s="6">
        <f t="shared" si="15"/>
        <v>9710.99</v>
      </c>
      <c r="AC90" s="6">
        <f t="shared" si="15"/>
        <v>26988.720000000001</v>
      </c>
      <c r="AD90" s="6">
        <f t="shared" si="15"/>
        <v>14995.25</v>
      </c>
      <c r="AE90" s="6">
        <f t="shared" si="15"/>
        <v>0</v>
      </c>
      <c r="AF90" s="6">
        <f t="shared" si="10"/>
        <v>319378.76</v>
      </c>
    </row>
    <row r="91" spans="1:32" x14ac:dyDescent="0.25">
      <c r="A91" s="3" t="s">
        <v>116</v>
      </c>
      <c r="B91" s="6">
        <f t="shared" ref="B91:AE91" si="16">((((((((B34)+(B47))+(B53))+(B54))+(B65))+(B70))+(B79))+(B86))+(B90)</f>
        <v>200694.58999999997</v>
      </c>
      <c r="C91" s="6">
        <f t="shared" si="16"/>
        <v>0</v>
      </c>
      <c r="D91" s="6">
        <f t="shared" si="16"/>
        <v>181137.19</v>
      </c>
      <c r="E91" s="6">
        <f t="shared" si="16"/>
        <v>12932.87</v>
      </c>
      <c r="F91" s="6">
        <f t="shared" si="16"/>
        <v>487337.94000000006</v>
      </c>
      <c r="G91" s="6">
        <f t="shared" si="16"/>
        <v>61102.69</v>
      </c>
      <c r="H91" s="6">
        <f t="shared" si="16"/>
        <v>42064.639999999999</v>
      </c>
      <c r="I91" s="6">
        <f t="shared" si="16"/>
        <v>34465.72</v>
      </c>
      <c r="J91" s="6">
        <f t="shared" si="16"/>
        <v>32008.010000000002</v>
      </c>
      <c r="K91" s="6">
        <f t="shared" si="16"/>
        <v>353.74</v>
      </c>
      <c r="L91" s="6">
        <f t="shared" si="16"/>
        <v>106434.91999999998</v>
      </c>
      <c r="M91" s="6">
        <f t="shared" si="16"/>
        <v>16272.08</v>
      </c>
      <c r="N91" s="6">
        <f t="shared" si="16"/>
        <v>270765.25</v>
      </c>
      <c r="O91" s="6">
        <f t="shared" si="16"/>
        <v>52328.78</v>
      </c>
      <c r="P91" s="6">
        <f t="shared" si="16"/>
        <v>1095.6600000000001</v>
      </c>
      <c r="Q91" s="6">
        <f t="shared" si="16"/>
        <v>368575.74</v>
      </c>
      <c r="R91" s="6">
        <f t="shared" si="16"/>
        <v>229490.05000000002</v>
      </c>
      <c r="S91" s="6">
        <f t="shared" si="16"/>
        <v>202962.34</v>
      </c>
      <c r="T91" s="6">
        <f t="shared" si="16"/>
        <v>54144.94000000001</v>
      </c>
      <c r="U91" s="6">
        <f t="shared" si="16"/>
        <v>7332.04</v>
      </c>
      <c r="V91" s="6">
        <f t="shared" si="16"/>
        <v>257714.97000000003</v>
      </c>
      <c r="W91" s="6">
        <f t="shared" si="16"/>
        <v>28050.94</v>
      </c>
      <c r="X91" s="6">
        <f t="shared" si="16"/>
        <v>87670.32</v>
      </c>
      <c r="Y91" s="6">
        <f t="shared" si="16"/>
        <v>0</v>
      </c>
      <c r="Z91" s="6">
        <f t="shared" si="16"/>
        <v>332922.37</v>
      </c>
      <c r="AA91" s="6">
        <f t="shared" si="16"/>
        <v>5120.5599999999995</v>
      </c>
      <c r="AB91" s="6">
        <f t="shared" si="16"/>
        <v>85013.18</v>
      </c>
      <c r="AC91" s="6">
        <f t="shared" si="16"/>
        <v>297308.40000000002</v>
      </c>
      <c r="AD91" s="6">
        <f t="shared" si="16"/>
        <v>119314.40999999999</v>
      </c>
      <c r="AE91" s="6">
        <f t="shared" si="16"/>
        <v>0</v>
      </c>
      <c r="AF91" s="6">
        <f t="shared" si="10"/>
        <v>3574614.3400000003</v>
      </c>
    </row>
    <row r="92" spans="1:32" x14ac:dyDescent="0.25">
      <c r="A92" s="3" t="s">
        <v>117</v>
      </c>
      <c r="B92" s="6">
        <f t="shared" ref="B92:AE92" si="17">(B29)-(B91)</f>
        <v>527876.05999999994</v>
      </c>
      <c r="C92" s="6">
        <f t="shared" si="17"/>
        <v>75</v>
      </c>
      <c r="D92" s="6">
        <f t="shared" si="17"/>
        <v>-3741.6600000000035</v>
      </c>
      <c r="E92" s="6">
        <f t="shared" si="17"/>
        <v>0</v>
      </c>
      <c r="F92" s="6">
        <f t="shared" si="17"/>
        <v>705437.80999999994</v>
      </c>
      <c r="G92" s="6">
        <f t="shared" si="17"/>
        <v>-7153.5800000000017</v>
      </c>
      <c r="H92" s="6">
        <f t="shared" si="17"/>
        <v>-13360.61</v>
      </c>
      <c r="I92" s="6">
        <f t="shared" si="17"/>
        <v>10344.68</v>
      </c>
      <c r="J92" s="6">
        <f t="shared" si="17"/>
        <v>0</v>
      </c>
      <c r="K92" s="6">
        <f t="shared" si="17"/>
        <v>16797.16</v>
      </c>
      <c r="L92" s="6">
        <f t="shared" si="17"/>
        <v>-94247.419999999984</v>
      </c>
      <c r="M92" s="6">
        <f t="shared" si="17"/>
        <v>47984.46</v>
      </c>
      <c r="N92" s="6">
        <f t="shared" si="17"/>
        <v>0</v>
      </c>
      <c r="O92" s="6">
        <f t="shared" si="17"/>
        <v>-52328.78</v>
      </c>
      <c r="P92" s="6">
        <f t="shared" si="17"/>
        <v>0</v>
      </c>
      <c r="Q92" s="6">
        <f t="shared" si="17"/>
        <v>0</v>
      </c>
      <c r="R92" s="6">
        <f t="shared" si="17"/>
        <v>0</v>
      </c>
      <c r="S92" s="6">
        <f t="shared" si="17"/>
        <v>0</v>
      </c>
      <c r="T92" s="6">
        <f t="shared" si="17"/>
        <v>0</v>
      </c>
      <c r="U92" s="6">
        <f t="shared" si="17"/>
        <v>0</v>
      </c>
      <c r="V92" s="6">
        <f t="shared" si="17"/>
        <v>0</v>
      </c>
      <c r="W92" s="6">
        <f t="shared" si="17"/>
        <v>-0.93999999999869033</v>
      </c>
      <c r="X92" s="6">
        <f t="shared" si="17"/>
        <v>-32515.270000000004</v>
      </c>
      <c r="Y92" s="6">
        <f t="shared" si="17"/>
        <v>30065</v>
      </c>
      <c r="Z92" s="6">
        <f t="shared" si="17"/>
        <v>-337738.14</v>
      </c>
      <c r="AA92" s="6">
        <f t="shared" si="17"/>
        <v>-0.10999999999967258</v>
      </c>
      <c r="AB92" s="6">
        <f t="shared" si="17"/>
        <v>-37605.239999999991</v>
      </c>
      <c r="AC92" s="6">
        <f t="shared" si="17"/>
        <v>-297165.61000000004</v>
      </c>
      <c r="AD92" s="6">
        <f t="shared" si="17"/>
        <v>0</v>
      </c>
      <c r="AE92" s="6">
        <f t="shared" si="17"/>
        <v>0</v>
      </c>
      <c r="AF92" s="6">
        <f t="shared" si="10"/>
        <v>462722.80999999965</v>
      </c>
    </row>
    <row r="93" spans="1:32" x14ac:dyDescent="0.25">
      <c r="A93" s="3" t="s">
        <v>118</v>
      </c>
      <c r="B93" s="7">
        <f t="shared" ref="B93:AE93" si="18">(B92)+(0)</f>
        <v>527876.05999999994</v>
      </c>
      <c r="C93" s="7">
        <f t="shared" si="18"/>
        <v>75</v>
      </c>
      <c r="D93" s="7">
        <f t="shared" si="18"/>
        <v>-3741.6600000000035</v>
      </c>
      <c r="E93" s="7">
        <f t="shared" si="18"/>
        <v>0</v>
      </c>
      <c r="F93" s="7">
        <f t="shared" si="18"/>
        <v>705437.80999999994</v>
      </c>
      <c r="G93" s="7">
        <f t="shared" si="18"/>
        <v>-7153.5800000000017</v>
      </c>
      <c r="H93" s="7">
        <f t="shared" si="18"/>
        <v>-13360.61</v>
      </c>
      <c r="I93" s="7">
        <f t="shared" si="18"/>
        <v>10344.68</v>
      </c>
      <c r="J93" s="7">
        <f t="shared" si="18"/>
        <v>0</v>
      </c>
      <c r="K93" s="7">
        <f t="shared" si="18"/>
        <v>16797.16</v>
      </c>
      <c r="L93" s="7">
        <f t="shared" si="18"/>
        <v>-94247.419999999984</v>
      </c>
      <c r="M93" s="7">
        <f t="shared" si="18"/>
        <v>47984.46</v>
      </c>
      <c r="N93" s="7">
        <f t="shared" si="18"/>
        <v>0</v>
      </c>
      <c r="O93" s="7">
        <f t="shared" si="18"/>
        <v>-52328.78</v>
      </c>
      <c r="P93" s="7">
        <f t="shared" si="18"/>
        <v>0</v>
      </c>
      <c r="Q93" s="7">
        <f t="shared" si="18"/>
        <v>0</v>
      </c>
      <c r="R93" s="7">
        <f t="shared" si="18"/>
        <v>0</v>
      </c>
      <c r="S93" s="7">
        <f t="shared" si="18"/>
        <v>0</v>
      </c>
      <c r="T93" s="7">
        <f t="shared" si="18"/>
        <v>0</v>
      </c>
      <c r="U93" s="7">
        <f t="shared" si="18"/>
        <v>0</v>
      </c>
      <c r="V93" s="7">
        <f t="shared" si="18"/>
        <v>0</v>
      </c>
      <c r="W93" s="7">
        <f t="shared" si="18"/>
        <v>-0.93999999999869033</v>
      </c>
      <c r="X93" s="7">
        <f t="shared" si="18"/>
        <v>-32515.270000000004</v>
      </c>
      <c r="Y93" s="7">
        <f t="shared" si="18"/>
        <v>30065</v>
      </c>
      <c r="Z93" s="7">
        <f t="shared" si="18"/>
        <v>-337738.14</v>
      </c>
      <c r="AA93" s="7">
        <f t="shared" si="18"/>
        <v>-0.10999999999967258</v>
      </c>
      <c r="AB93" s="7">
        <f t="shared" si="18"/>
        <v>-37605.239999999991</v>
      </c>
      <c r="AC93" s="7">
        <f t="shared" si="18"/>
        <v>-297165.61000000004</v>
      </c>
      <c r="AD93" s="7">
        <f t="shared" si="18"/>
        <v>0</v>
      </c>
      <c r="AE93" s="7">
        <f t="shared" si="18"/>
        <v>0</v>
      </c>
      <c r="AF93" s="7">
        <f t="shared" si="10"/>
        <v>462722.80999999965</v>
      </c>
    </row>
    <row r="94" spans="1:32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7" spans="1:32" x14ac:dyDescent="0.2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</sheetData>
  <sheetProtection algorithmName="SHA-512" hashValue="3b1cDN3hRjY/ioYEqrW6/j2vDddnkqerIhXHiXpTfzlY1syAXh3K3M8GVkJZDRM0mLUugXVtc+y6dBO5S+/6dw==" saltValue="DnYypTsHoVLmmyYS6XKkbA==" spinCount="100000" sheet="1" objects="1" scenarios="1"/>
  <mergeCells count="4">
    <mergeCell ref="A97:AF97"/>
    <mergeCell ref="A1:AF1"/>
    <mergeCell ref="A2:AF2"/>
    <mergeCell ref="A3:AF3"/>
  </mergeCells>
  <pageMargins left="0.7" right="0.7" top="0.75" bottom="0.75" header="0.3" footer="0.3"/>
  <pageSetup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Faust</cp:lastModifiedBy>
  <cp:lastPrinted>2023-10-12T12:10:21Z</cp:lastPrinted>
  <dcterms:created xsi:type="dcterms:W3CDTF">2023-10-12T12:07:34Z</dcterms:created>
  <dcterms:modified xsi:type="dcterms:W3CDTF">2023-10-30T17:01:37Z</dcterms:modified>
</cp:coreProperties>
</file>