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OOKKEEPER\Board Reports\2023-24\"/>
    </mc:Choice>
  </mc:AlternateContent>
  <xr:revisionPtr revIDLastSave="0" documentId="8_{C2020104-F5CF-4F1C-9496-47F467B5EC8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ofit and Loss by Class" sheetId="1" r:id="rId1"/>
  </sheets>
  <calcPr calcId="191029"/>
</workbook>
</file>

<file path=xl/calcChain.xml><?xml version="1.0" encoding="utf-8"?>
<calcChain xmlns="http://schemas.openxmlformats.org/spreadsheetml/2006/main">
  <c r="AL8" i="1" l="1"/>
  <c r="AL19" i="1"/>
  <c r="AL22" i="1"/>
  <c r="AL29" i="1" s="1"/>
  <c r="AL30" i="1" s="1"/>
  <c r="AL28" i="1"/>
  <c r="AL35" i="1"/>
  <c r="AL47" i="1"/>
  <c r="AL96" i="1" s="1"/>
  <c r="AL49" i="1"/>
  <c r="AL50" i="1"/>
  <c r="AL54" i="1"/>
  <c r="AL55" i="1"/>
  <c r="AL67" i="1"/>
  <c r="AL72" i="1"/>
  <c r="AL79" i="1"/>
  <c r="AL81" i="1"/>
  <c r="AL83" i="1"/>
  <c r="AL85" i="1"/>
  <c r="AL88" i="1"/>
  <c r="AL95" i="1"/>
  <c r="Q95" i="1"/>
  <c r="P95" i="1"/>
  <c r="K95" i="1"/>
  <c r="D95" i="1"/>
  <c r="C95" i="1"/>
  <c r="AK94" i="1"/>
  <c r="AK95" i="1" s="1"/>
  <c r="AJ94" i="1"/>
  <c r="AI94" i="1"/>
  <c r="AI95" i="1" s="1"/>
  <c r="AH94" i="1"/>
  <c r="AG94" i="1"/>
  <c r="AF94" i="1"/>
  <c r="AF95" i="1" s="1"/>
  <c r="AE94" i="1"/>
  <c r="AD94" i="1"/>
  <c r="AC94" i="1"/>
  <c r="AB94" i="1"/>
  <c r="AA94" i="1"/>
  <c r="AA95" i="1" s="1"/>
  <c r="Z94" i="1"/>
  <c r="Z95" i="1" s="1"/>
  <c r="Y94" i="1"/>
  <c r="Y95" i="1" s="1"/>
  <c r="X94" i="1"/>
  <c r="X95" i="1" s="1"/>
  <c r="W94" i="1"/>
  <c r="V94" i="1"/>
  <c r="V95" i="1" s="1"/>
  <c r="U94" i="1"/>
  <c r="T94" i="1"/>
  <c r="T95" i="1" s="1"/>
  <c r="S94" i="1"/>
  <c r="S95" i="1" s="1"/>
  <c r="R94" i="1"/>
  <c r="R95" i="1" s="1"/>
  <c r="O94" i="1"/>
  <c r="O95" i="1" s="1"/>
  <c r="N94" i="1"/>
  <c r="N95" i="1" s="1"/>
  <c r="M94" i="1"/>
  <c r="M95" i="1" s="1"/>
  <c r="L94" i="1"/>
  <c r="L95" i="1" s="1"/>
  <c r="K94" i="1"/>
  <c r="J94" i="1"/>
  <c r="I94" i="1"/>
  <c r="I95" i="1" s="1"/>
  <c r="H94" i="1"/>
  <c r="H95" i="1" s="1"/>
  <c r="G94" i="1"/>
  <c r="F94" i="1"/>
  <c r="F95" i="1" s="1"/>
  <c r="E94" i="1"/>
  <c r="E95" i="1" s="1"/>
  <c r="AC93" i="1"/>
  <c r="G93" i="1"/>
  <c r="B93" i="1"/>
  <c r="G92" i="1"/>
  <c r="AM92" i="1" s="1"/>
  <c r="AJ91" i="1"/>
  <c r="AH91" i="1"/>
  <c r="AG91" i="1"/>
  <c r="AE91" i="1"/>
  <c r="AE95" i="1" s="1"/>
  <c r="AD91" i="1"/>
  <c r="AD95" i="1" s="1"/>
  <c r="AC91" i="1"/>
  <c r="AB91" i="1"/>
  <c r="AB95" i="1" s="1"/>
  <c r="W91" i="1"/>
  <c r="U91" i="1"/>
  <c r="U95" i="1" s="1"/>
  <c r="J91" i="1"/>
  <c r="J95" i="1" s="1"/>
  <c r="G91" i="1"/>
  <c r="B91" i="1"/>
  <c r="AM90" i="1"/>
  <c r="B89" i="1"/>
  <c r="AM89" i="1" s="1"/>
  <c r="AA88" i="1"/>
  <c r="Z88" i="1"/>
  <c r="X88" i="1"/>
  <c r="V88" i="1"/>
  <c r="S88" i="1"/>
  <c r="R88" i="1"/>
  <c r="P88" i="1"/>
  <c r="O88" i="1"/>
  <c r="M88" i="1"/>
  <c r="L88" i="1"/>
  <c r="K88" i="1"/>
  <c r="I88" i="1"/>
  <c r="H88" i="1"/>
  <c r="F88" i="1"/>
  <c r="D88" i="1"/>
  <c r="C88" i="1"/>
  <c r="B87" i="1"/>
  <c r="AM87" i="1" s="1"/>
  <c r="AJ86" i="1"/>
  <c r="AI86" i="1"/>
  <c r="AI88" i="1" s="1"/>
  <c r="AG86" i="1"/>
  <c r="AF86" i="1"/>
  <c r="AF88" i="1" s="1"/>
  <c r="AE86" i="1"/>
  <c r="AD86" i="1"/>
  <c r="AC86" i="1"/>
  <c r="AB86" i="1"/>
  <c r="W86" i="1"/>
  <c r="R86" i="1"/>
  <c r="Q86" i="1"/>
  <c r="N86" i="1"/>
  <c r="G86" i="1"/>
  <c r="E86" i="1"/>
  <c r="B86" i="1"/>
  <c r="AK85" i="1"/>
  <c r="AJ85" i="1"/>
  <c r="AE85" i="1"/>
  <c r="AD85" i="1"/>
  <c r="AC85" i="1"/>
  <c r="AB85" i="1"/>
  <c r="Y85" i="1"/>
  <c r="Y88" i="1" s="1"/>
  <c r="W85" i="1"/>
  <c r="U85" i="1"/>
  <c r="T85" i="1"/>
  <c r="R85" i="1"/>
  <c r="Q85" i="1"/>
  <c r="Q88" i="1" s="1"/>
  <c r="N85" i="1"/>
  <c r="N88" i="1" s="1"/>
  <c r="J85" i="1"/>
  <c r="J88" i="1" s="1"/>
  <c r="G85" i="1"/>
  <c r="E85" i="1"/>
  <c r="B85" i="1"/>
  <c r="AK84" i="1"/>
  <c r="AJ84" i="1"/>
  <c r="AG84" i="1"/>
  <c r="AG88" i="1" s="1"/>
  <c r="AE84" i="1"/>
  <c r="AD84" i="1"/>
  <c r="AC84" i="1"/>
  <c r="AB84" i="1"/>
  <c r="W84" i="1"/>
  <c r="U84" i="1"/>
  <c r="G84" i="1"/>
  <c r="E84" i="1"/>
  <c r="B84" i="1"/>
  <c r="AK83" i="1"/>
  <c r="AJ83" i="1"/>
  <c r="AJ88" i="1" s="1"/>
  <c r="AH83" i="1"/>
  <c r="AH88" i="1" s="1"/>
  <c r="AE83" i="1"/>
  <c r="AC83" i="1"/>
  <c r="AB83" i="1"/>
  <c r="W83" i="1"/>
  <c r="U83" i="1"/>
  <c r="T83" i="1"/>
  <c r="T88" i="1" s="1"/>
  <c r="G83" i="1"/>
  <c r="E83" i="1"/>
  <c r="B83" i="1"/>
  <c r="AM82" i="1"/>
  <c r="AF81" i="1"/>
  <c r="AA81" i="1"/>
  <c r="Z81" i="1"/>
  <c r="Y81" i="1"/>
  <c r="X81" i="1"/>
  <c r="V81" i="1"/>
  <c r="T81" i="1"/>
  <c r="O81" i="1"/>
  <c r="L81" i="1"/>
  <c r="K81" i="1"/>
  <c r="F81" i="1"/>
  <c r="W80" i="1"/>
  <c r="G80" i="1"/>
  <c r="B80" i="1"/>
  <c r="AK79" i="1"/>
  <c r="AJ79" i="1"/>
  <c r="AI79" i="1"/>
  <c r="AH79" i="1"/>
  <c r="AH81" i="1" s="1"/>
  <c r="AG79" i="1"/>
  <c r="AG81" i="1" s="1"/>
  <c r="AE79" i="1"/>
  <c r="AD79" i="1"/>
  <c r="AC79" i="1"/>
  <c r="AB79" i="1"/>
  <c r="W79" i="1"/>
  <c r="U79" i="1"/>
  <c r="S79" i="1"/>
  <c r="S81" i="1" s="1"/>
  <c r="R79" i="1"/>
  <c r="Q79" i="1"/>
  <c r="P79" i="1"/>
  <c r="P81" i="1" s="1"/>
  <c r="N79" i="1"/>
  <c r="M79" i="1"/>
  <c r="M81" i="1" s="1"/>
  <c r="J79" i="1"/>
  <c r="I79" i="1"/>
  <c r="I81" i="1" s="1"/>
  <c r="H79" i="1"/>
  <c r="H81" i="1" s="1"/>
  <c r="G79" i="1"/>
  <c r="E79" i="1"/>
  <c r="D79" i="1"/>
  <c r="D81" i="1" s="1"/>
  <c r="C79" i="1"/>
  <c r="C81" i="1" s="1"/>
  <c r="B79" i="1"/>
  <c r="AJ78" i="1"/>
  <c r="AJ81" i="1" s="1"/>
  <c r="AI78" i="1"/>
  <c r="AI81" i="1" s="1"/>
  <c r="AE78" i="1"/>
  <c r="AD78" i="1"/>
  <c r="W78" i="1"/>
  <c r="U78" i="1"/>
  <c r="R78" i="1"/>
  <c r="Q78" i="1"/>
  <c r="Q81" i="1" s="1"/>
  <c r="N78" i="1"/>
  <c r="N81" i="1" s="1"/>
  <c r="J78" i="1"/>
  <c r="G78" i="1"/>
  <c r="E78" i="1"/>
  <c r="B78" i="1"/>
  <c r="AC77" i="1"/>
  <c r="AB77" i="1"/>
  <c r="G77" i="1"/>
  <c r="AM77" i="1" s="1"/>
  <c r="B77" i="1"/>
  <c r="AK76" i="1"/>
  <c r="AE76" i="1"/>
  <c r="AE81" i="1" s="1"/>
  <c r="AD76" i="1"/>
  <c r="AC76" i="1"/>
  <c r="AB76" i="1"/>
  <c r="W76" i="1"/>
  <c r="W81" i="1" s="1"/>
  <c r="U76" i="1"/>
  <c r="U81" i="1" s="1"/>
  <c r="J76" i="1"/>
  <c r="J81" i="1" s="1"/>
  <c r="G76" i="1"/>
  <c r="E76" i="1"/>
  <c r="E81" i="1" s="1"/>
  <c r="B76" i="1"/>
  <c r="AC75" i="1"/>
  <c r="AB75" i="1"/>
  <c r="G75" i="1"/>
  <c r="B75" i="1"/>
  <c r="AM75" i="1" s="1"/>
  <c r="AC74" i="1"/>
  <c r="AB74" i="1"/>
  <c r="G74" i="1"/>
  <c r="B74" i="1"/>
  <c r="AM73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F72" i="1"/>
  <c r="E72" i="1"/>
  <c r="D72" i="1"/>
  <c r="C72" i="1"/>
  <c r="B71" i="1"/>
  <c r="W70" i="1"/>
  <c r="W72" i="1" s="1"/>
  <c r="G70" i="1"/>
  <c r="B70" i="1"/>
  <c r="G69" i="1"/>
  <c r="G72" i="1" s="1"/>
  <c r="B69" i="1"/>
  <c r="AM68" i="1"/>
  <c r="AK67" i="1"/>
  <c r="AH67" i="1"/>
  <c r="AC67" i="1"/>
  <c r="AA67" i="1"/>
  <c r="Z67" i="1"/>
  <c r="Y67" i="1"/>
  <c r="X67" i="1"/>
  <c r="V67" i="1"/>
  <c r="T67" i="1"/>
  <c r="S67" i="1"/>
  <c r="Q67" i="1"/>
  <c r="P67" i="1"/>
  <c r="O67" i="1"/>
  <c r="M67" i="1"/>
  <c r="L67" i="1"/>
  <c r="K67" i="1"/>
  <c r="I67" i="1"/>
  <c r="H67" i="1"/>
  <c r="F67" i="1"/>
  <c r="D67" i="1"/>
  <c r="C67" i="1"/>
  <c r="G66" i="1"/>
  <c r="AM66" i="1" s="1"/>
  <c r="AJ65" i="1"/>
  <c r="AE65" i="1"/>
  <c r="AC65" i="1"/>
  <c r="W65" i="1"/>
  <c r="U65" i="1"/>
  <c r="G65" i="1"/>
  <c r="B65" i="1"/>
  <c r="AE64" i="1"/>
  <c r="U64" i="1"/>
  <c r="G64" i="1"/>
  <c r="E64" i="1"/>
  <c r="B64" i="1"/>
  <c r="AJ63" i="1"/>
  <c r="AG63" i="1"/>
  <c r="AG67" i="1" s="1"/>
  <c r="AF63" i="1"/>
  <c r="AF67" i="1" s="1"/>
  <c r="AE63" i="1"/>
  <c r="AE67" i="1" s="1"/>
  <c r="AD63" i="1"/>
  <c r="AD67" i="1" s="1"/>
  <c r="AC63" i="1"/>
  <c r="AB63" i="1"/>
  <c r="W63" i="1"/>
  <c r="W67" i="1" s="1"/>
  <c r="U63" i="1"/>
  <c r="R63" i="1"/>
  <c r="R67" i="1" s="1"/>
  <c r="N63" i="1"/>
  <c r="N67" i="1" s="1"/>
  <c r="J63" i="1"/>
  <c r="G63" i="1"/>
  <c r="E63" i="1"/>
  <c r="B63" i="1"/>
  <c r="G62" i="1"/>
  <c r="B62" i="1"/>
  <c r="AB61" i="1"/>
  <c r="U61" i="1"/>
  <c r="J61" i="1"/>
  <c r="J67" i="1" s="1"/>
  <c r="E61" i="1"/>
  <c r="AI60" i="1"/>
  <c r="AI67" i="1" s="1"/>
  <c r="G60" i="1"/>
  <c r="B60" i="1"/>
  <c r="AM59" i="1"/>
  <c r="G59" i="1"/>
  <c r="B59" i="1"/>
  <c r="G58" i="1"/>
  <c r="B58" i="1"/>
  <c r="G57" i="1"/>
  <c r="B57" i="1"/>
  <c r="AM56" i="1"/>
  <c r="AK55" i="1"/>
  <c r="AJ55" i="1"/>
  <c r="AH55" i="1"/>
  <c r="AE55" i="1"/>
  <c r="AD55" i="1"/>
  <c r="AA55" i="1"/>
  <c r="W55" i="1"/>
  <c r="N55" i="1"/>
  <c r="M55" i="1"/>
  <c r="L55" i="1"/>
  <c r="J55" i="1"/>
  <c r="G55" i="1"/>
  <c r="E55" i="1"/>
  <c r="B55" i="1"/>
  <c r="AI54" i="1"/>
  <c r="AG54" i="1"/>
  <c r="AF54" i="1"/>
  <c r="AA54" i="1"/>
  <c r="Z54" i="1"/>
  <c r="Y54" i="1"/>
  <c r="P54" i="1"/>
  <c r="O54" i="1"/>
  <c r="L54" i="1"/>
  <c r="I54" i="1"/>
  <c r="F54" i="1"/>
  <c r="D54" i="1"/>
  <c r="C54" i="1"/>
  <c r="AK53" i="1"/>
  <c r="AK54" i="1" s="1"/>
  <c r="AE53" i="1"/>
  <c r="AD53" i="1"/>
  <c r="AC53" i="1"/>
  <c r="AB53" i="1"/>
  <c r="W53" i="1"/>
  <c r="S53" i="1"/>
  <c r="N53" i="1"/>
  <c r="M53" i="1"/>
  <c r="M54" i="1" s="1"/>
  <c r="J53" i="1"/>
  <c r="G53" i="1"/>
  <c r="E53" i="1"/>
  <c r="B53" i="1"/>
  <c r="X52" i="1"/>
  <c r="G52" i="1"/>
  <c r="B52" i="1"/>
  <c r="AC51" i="1"/>
  <c r="AM51" i="1" s="1"/>
  <c r="B50" i="1"/>
  <c r="AM50" i="1" s="1"/>
  <c r="AJ49" i="1"/>
  <c r="AJ54" i="1" s="1"/>
  <c r="AH49" i="1"/>
  <c r="AH54" i="1" s="1"/>
  <c r="AE49" i="1"/>
  <c r="AD49" i="1"/>
  <c r="AC49" i="1"/>
  <c r="AB49" i="1"/>
  <c r="X49" i="1"/>
  <c r="W49" i="1"/>
  <c r="W54" i="1" s="1"/>
  <c r="V49" i="1"/>
  <c r="V54" i="1" s="1"/>
  <c r="U49" i="1"/>
  <c r="U54" i="1" s="1"/>
  <c r="T49" i="1"/>
  <c r="T54" i="1" s="1"/>
  <c r="S49" i="1"/>
  <c r="R49" i="1"/>
  <c r="R54" i="1" s="1"/>
  <c r="Q49" i="1"/>
  <c r="Q54" i="1" s="1"/>
  <c r="N49" i="1"/>
  <c r="N54" i="1" s="1"/>
  <c r="K49" i="1"/>
  <c r="K54" i="1" s="1"/>
  <c r="J49" i="1"/>
  <c r="J54" i="1" s="1"/>
  <c r="H49" i="1"/>
  <c r="H54" i="1" s="1"/>
  <c r="G49" i="1"/>
  <c r="E49" i="1"/>
  <c r="B49" i="1"/>
  <c r="AE48" i="1"/>
  <c r="AD48" i="1"/>
  <c r="AD54" i="1" s="1"/>
  <c r="B48" i="1"/>
  <c r="Z47" i="1"/>
  <c r="P47" i="1"/>
  <c r="L47" i="1"/>
  <c r="K47" i="1"/>
  <c r="H47" i="1"/>
  <c r="D47" i="1"/>
  <c r="C47" i="1"/>
  <c r="AK46" i="1"/>
  <c r="AH46" i="1"/>
  <c r="AG46" i="1"/>
  <c r="AF46" i="1"/>
  <c r="AE46" i="1"/>
  <c r="AD46" i="1"/>
  <c r="AC46" i="1"/>
  <c r="AB46" i="1"/>
  <c r="Y46" i="1"/>
  <c r="W46" i="1"/>
  <c r="R46" i="1"/>
  <c r="Q46" i="1"/>
  <c r="M46" i="1"/>
  <c r="J46" i="1"/>
  <c r="I46" i="1"/>
  <c r="E46" i="1"/>
  <c r="AJ45" i="1"/>
  <c r="AI45" i="1"/>
  <c r="AI47" i="1" s="1"/>
  <c r="AH45" i="1"/>
  <c r="AE45" i="1"/>
  <c r="AD45" i="1"/>
  <c r="Y45" i="1"/>
  <c r="W45" i="1"/>
  <c r="U45" i="1"/>
  <c r="T45" i="1"/>
  <c r="S45" i="1"/>
  <c r="J45" i="1"/>
  <c r="G45" i="1"/>
  <c r="E45" i="1"/>
  <c r="B45" i="1"/>
  <c r="AH44" i="1"/>
  <c r="AG44" i="1"/>
  <c r="AE44" i="1"/>
  <c r="AD44" i="1"/>
  <c r="AC44" i="1"/>
  <c r="Z44" i="1"/>
  <c r="Y44" i="1"/>
  <c r="X44" i="1"/>
  <c r="W44" i="1"/>
  <c r="U44" i="1"/>
  <c r="T44" i="1"/>
  <c r="S44" i="1"/>
  <c r="O44" i="1"/>
  <c r="N44" i="1"/>
  <c r="M44" i="1"/>
  <c r="J44" i="1"/>
  <c r="G44" i="1"/>
  <c r="F44" i="1"/>
  <c r="E44" i="1"/>
  <c r="B44" i="1"/>
  <c r="AE43" i="1"/>
  <c r="AD43" i="1"/>
  <c r="AC43" i="1"/>
  <c r="Z43" i="1"/>
  <c r="X43" i="1"/>
  <c r="W43" i="1"/>
  <c r="U43" i="1"/>
  <c r="T43" i="1"/>
  <c r="S43" i="1"/>
  <c r="O43" i="1"/>
  <c r="N43" i="1"/>
  <c r="M43" i="1"/>
  <c r="J43" i="1"/>
  <c r="G43" i="1"/>
  <c r="F43" i="1"/>
  <c r="E43" i="1"/>
  <c r="B43" i="1"/>
  <c r="AK42" i="1"/>
  <c r="AH42" i="1"/>
  <c r="AG42" i="1"/>
  <c r="AF42" i="1"/>
  <c r="AE42" i="1"/>
  <c r="AD42" i="1"/>
  <c r="AC42" i="1"/>
  <c r="AB42" i="1"/>
  <c r="Y42" i="1"/>
  <c r="X42" i="1"/>
  <c r="W42" i="1"/>
  <c r="R42" i="1"/>
  <c r="Q42" i="1"/>
  <c r="M42" i="1"/>
  <c r="J42" i="1"/>
  <c r="I42" i="1"/>
  <c r="E42" i="1"/>
  <c r="AC41" i="1"/>
  <c r="AB41" i="1"/>
  <c r="Z41" i="1"/>
  <c r="X41" i="1"/>
  <c r="W41" i="1"/>
  <c r="T41" i="1"/>
  <c r="O41" i="1"/>
  <c r="G41" i="1"/>
  <c r="B41" i="1"/>
  <c r="AK40" i="1"/>
  <c r="AJ40" i="1"/>
  <c r="AH40" i="1"/>
  <c r="AG40" i="1"/>
  <c r="AF40" i="1"/>
  <c r="AE40" i="1"/>
  <c r="AD40" i="1"/>
  <c r="AC40" i="1"/>
  <c r="AB40" i="1"/>
  <c r="AA40" i="1"/>
  <c r="Y40" i="1"/>
  <c r="W40" i="1"/>
  <c r="U40" i="1"/>
  <c r="T40" i="1"/>
  <c r="S40" i="1"/>
  <c r="R40" i="1"/>
  <c r="Q40" i="1"/>
  <c r="N40" i="1"/>
  <c r="M40" i="1"/>
  <c r="J40" i="1"/>
  <c r="I40" i="1"/>
  <c r="G40" i="1"/>
  <c r="E40" i="1"/>
  <c r="B40" i="1"/>
  <c r="AK39" i="1"/>
  <c r="AJ39" i="1"/>
  <c r="AJ47" i="1" s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V47" i="1" s="1"/>
  <c r="U39" i="1"/>
  <c r="T39" i="1"/>
  <c r="S39" i="1"/>
  <c r="R39" i="1"/>
  <c r="Q39" i="1"/>
  <c r="O39" i="1"/>
  <c r="N39" i="1"/>
  <c r="M39" i="1"/>
  <c r="J39" i="1"/>
  <c r="I39" i="1"/>
  <c r="G39" i="1"/>
  <c r="F39" i="1"/>
  <c r="E39" i="1"/>
  <c r="B39" i="1"/>
  <c r="AM39" i="1" s="1"/>
  <c r="AC38" i="1"/>
  <c r="AB38" i="1"/>
  <c r="AA38" i="1"/>
  <c r="Z38" i="1"/>
  <c r="X38" i="1"/>
  <c r="W38" i="1"/>
  <c r="T38" i="1"/>
  <c r="O38" i="1"/>
  <c r="O47" i="1" s="1"/>
  <c r="G38" i="1"/>
  <c r="F38" i="1"/>
  <c r="B38" i="1"/>
  <c r="AK37" i="1"/>
  <c r="AK47" i="1" s="1"/>
  <c r="AH37" i="1"/>
  <c r="AG37" i="1"/>
  <c r="AF37" i="1"/>
  <c r="AE37" i="1"/>
  <c r="AE47" i="1" s="1"/>
  <c r="AD37" i="1"/>
  <c r="AC37" i="1"/>
  <c r="AB37" i="1"/>
  <c r="AB47" i="1" s="1"/>
  <c r="Y37" i="1"/>
  <c r="W37" i="1"/>
  <c r="R37" i="1"/>
  <c r="Q37" i="1"/>
  <c r="M37" i="1"/>
  <c r="J37" i="1"/>
  <c r="I37" i="1"/>
  <c r="E37" i="1"/>
  <c r="W36" i="1"/>
  <c r="B36" i="1"/>
  <c r="AM36" i="1" s="1"/>
  <c r="P35" i="1"/>
  <c r="L35" i="1"/>
  <c r="K35" i="1"/>
  <c r="H35" i="1"/>
  <c r="D35" i="1"/>
  <c r="C35" i="1"/>
  <c r="AC34" i="1"/>
  <c r="AB34" i="1"/>
  <c r="Z34" i="1"/>
  <c r="Z35" i="1" s="1"/>
  <c r="X34" i="1"/>
  <c r="X35" i="1" s="1"/>
  <c r="W34" i="1"/>
  <c r="T34" i="1"/>
  <c r="T35" i="1" s="1"/>
  <c r="O34" i="1"/>
  <c r="O35" i="1" s="1"/>
  <c r="G34" i="1"/>
  <c r="F34" i="1"/>
  <c r="F35" i="1" s="1"/>
  <c r="B34" i="1"/>
  <c r="AK33" i="1"/>
  <c r="AK35" i="1" s="1"/>
  <c r="AJ33" i="1"/>
  <c r="AJ35" i="1" s="1"/>
  <c r="AI33" i="1"/>
  <c r="AI35" i="1" s="1"/>
  <c r="AH33" i="1"/>
  <c r="AH35" i="1" s="1"/>
  <c r="AG33" i="1"/>
  <c r="AG35" i="1" s="1"/>
  <c r="AF33" i="1"/>
  <c r="AF35" i="1" s="1"/>
  <c r="AE33" i="1"/>
  <c r="AE35" i="1" s="1"/>
  <c r="AD33" i="1"/>
  <c r="AD35" i="1" s="1"/>
  <c r="AC33" i="1"/>
  <c r="AB33" i="1"/>
  <c r="AB35" i="1" s="1"/>
  <c r="AA33" i="1"/>
  <c r="AA35" i="1" s="1"/>
  <c r="Y33" i="1"/>
  <c r="Y35" i="1" s="1"/>
  <c r="W33" i="1"/>
  <c r="W35" i="1" s="1"/>
  <c r="V33" i="1"/>
  <c r="V35" i="1" s="1"/>
  <c r="U33" i="1"/>
  <c r="U35" i="1" s="1"/>
  <c r="T33" i="1"/>
  <c r="S33" i="1"/>
  <c r="S35" i="1" s="1"/>
  <c r="R33" i="1"/>
  <c r="R35" i="1" s="1"/>
  <c r="Q33" i="1"/>
  <c r="Q35" i="1" s="1"/>
  <c r="N33" i="1"/>
  <c r="N35" i="1" s="1"/>
  <c r="M33" i="1"/>
  <c r="M35" i="1" s="1"/>
  <c r="J33" i="1"/>
  <c r="J35" i="1" s="1"/>
  <c r="I33" i="1"/>
  <c r="I35" i="1" s="1"/>
  <c r="G33" i="1"/>
  <c r="E33" i="1"/>
  <c r="E35" i="1" s="1"/>
  <c r="B33" i="1"/>
  <c r="B35" i="1" s="1"/>
  <c r="AM32" i="1"/>
  <c r="AK28" i="1"/>
  <c r="AI28" i="1"/>
  <c r="S28" i="1"/>
  <c r="R28" i="1"/>
  <c r="Q28" i="1"/>
  <c r="P28" i="1"/>
  <c r="O28" i="1"/>
  <c r="N28" i="1"/>
  <c r="G28" i="1"/>
  <c r="F28" i="1"/>
  <c r="D28" i="1"/>
  <c r="C28" i="1"/>
  <c r="B28" i="1"/>
  <c r="AJ27" i="1"/>
  <c r="AJ28" i="1" s="1"/>
  <c r="AI27" i="1"/>
  <c r="AH27" i="1"/>
  <c r="AH28" i="1" s="1"/>
  <c r="AG27" i="1"/>
  <c r="AG28" i="1" s="1"/>
  <c r="AF27" i="1"/>
  <c r="AF28" i="1" s="1"/>
  <c r="AE27" i="1"/>
  <c r="AE28" i="1" s="1"/>
  <c r="AD27" i="1"/>
  <c r="AD28" i="1" s="1"/>
  <c r="AC27" i="1"/>
  <c r="AC28" i="1" s="1"/>
  <c r="AB27" i="1"/>
  <c r="AB28" i="1" s="1"/>
  <c r="AA27" i="1"/>
  <c r="AA28" i="1" s="1"/>
  <c r="Y27" i="1"/>
  <c r="Y28" i="1" s="1"/>
  <c r="W27" i="1"/>
  <c r="W28" i="1" s="1"/>
  <c r="W29" i="1" s="1"/>
  <c r="W30" i="1" s="1"/>
  <c r="V27" i="1"/>
  <c r="V28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H28" i="1" s="1"/>
  <c r="E27" i="1"/>
  <c r="E28" i="1" s="1"/>
  <c r="Z26" i="1"/>
  <c r="X26" i="1"/>
  <c r="X28" i="1" s="1"/>
  <c r="T26" i="1"/>
  <c r="T28" i="1" s="1"/>
  <c r="U25" i="1"/>
  <c r="U28" i="1" s="1"/>
  <c r="B24" i="1"/>
  <c r="AM24" i="1" s="1"/>
  <c r="B23" i="1"/>
  <c r="AM23" i="1" s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R22" i="1"/>
  <c r="Q22" i="1"/>
  <c r="P22" i="1"/>
  <c r="O22" i="1"/>
  <c r="M22" i="1"/>
  <c r="L22" i="1"/>
  <c r="K22" i="1"/>
  <c r="J22" i="1"/>
  <c r="I22" i="1"/>
  <c r="H22" i="1"/>
  <c r="F22" i="1"/>
  <c r="E22" i="1"/>
  <c r="D22" i="1"/>
  <c r="C22" i="1"/>
  <c r="B22" i="1"/>
  <c r="G21" i="1"/>
  <c r="S20" i="1"/>
  <c r="S22" i="1" s="1"/>
  <c r="N20" i="1"/>
  <c r="N22" i="1" s="1"/>
  <c r="G20" i="1"/>
  <c r="AM20" i="1" s="1"/>
  <c r="AJ19" i="1"/>
  <c r="AI19" i="1"/>
  <c r="AH19" i="1"/>
  <c r="AG19" i="1"/>
  <c r="AF19" i="1"/>
  <c r="AE19" i="1"/>
  <c r="AC19" i="1"/>
  <c r="AB19" i="1"/>
  <c r="AA19" i="1"/>
  <c r="Z19" i="1"/>
  <c r="Y19" i="1"/>
  <c r="Y29" i="1" s="1"/>
  <c r="Y30" i="1" s="1"/>
  <c r="X19" i="1"/>
  <c r="W19" i="1"/>
  <c r="V19" i="1"/>
  <c r="T19" i="1"/>
  <c r="S19" i="1"/>
  <c r="P19" i="1"/>
  <c r="N19" i="1"/>
  <c r="M19" i="1"/>
  <c r="L19" i="1"/>
  <c r="K19" i="1"/>
  <c r="I19" i="1"/>
  <c r="I29" i="1" s="1"/>
  <c r="I30" i="1" s="1"/>
  <c r="H19" i="1"/>
  <c r="E19" i="1"/>
  <c r="E29" i="1" s="1"/>
  <c r="E30" i="1" s="1"/>
  <c r="G18" i="1"/>
  <c r="AM18" i="1" s="1"/>
  <c r="R17" i="1"/>
  <c r="G17" i="1"/>
  <c r="C17" i="1"/>
  <c r="C19" i="1" s="1"/>
  <c r="B17" i="1"/>
  <c r="B16" i="1"/>
  <c r="AM16" i="1" s="1"/>
  <c r="O15" i="1"/>
  <c r="B15" i="1"/>
  <c r="B14" i="1"/>
  <c r="AM14" i="1" s="1"/>
  <c r="U13" i="1"/>
  <c r="J13" i="1"/>
  <c r="J19" i="1" s="1"/>
  <c r="G13" i="1"/>
  <c r="B13" i="1"/>
  <c r="AD12" i="1"/>
  <c r="AD19" i="1" s="1"/>
  <c r="B12" i="1"/>
  <c r="AK11" i="1"/>
  <c r="AK19" i="1" s="1"/>
  <c r="AK29" i="1" s="1"/>
  <c r="AK30" i="1" s="1"/>
  <c r="U11" i="1"/>
  <c r="O11" i="1"/>
  <c r="F11" i="1"/>
  <c r="F19" i="1" s="1"/>
  <c r="F29" i="1" s="1"/>
  <c r="F30" i="1" s="1"/>
  <c r="D11" i="1"/>
  <c r="D19" i="1" s="1"/>
  <c r="D29" i="1" s="1"/>
  <c r="D30" i="1" s="1"/>
  <c r="B11" i="1"/>
  <c r="U10" i="1"/>
  <c r="R10" i="1"/>
  <c r="R19" i="1" s="1"/>
  <c r="Q10" i="1"/>
  <c r="B9" i="1"/>
  <c r="AM9" i="1" s="1"/>
  <c r="Q8" i="1"/>
  <c r="B8" i="1"/>
  <c r="G7" i="1"/>
  <c r="G19" i="1" s="1"/>
  <c r="AL97" i="1" l="1"/>
  <c r="AL98" i="1" s="1"/>
  <c r="AM93" i="1"/>
  <c r="U19" i="1"/>
  <c r="U29" i="1" s="1"/>
  <c r="U30" i="1" s="1"/>
  <c r="AC29" i="1"/>
  <c r="AC30" i="1" s="1"/>
  <c r="AM25" i="1"/>
  <c r="G35" i="1"/>
  <c r="B54" i="1"/>
  <c r="AM62" i="1"/>
  <c r="E88" i="1"/>
  <c r="AM86" i="1"/>
  <c r="AC95" i="1"/>
  <c r="AM10" i="1"/>
  <c r="B67" i="1"/>
  <c r="AM11" i="1"/>
  <c r="AM13" i="1"/>
  <c r="AF29" i="1"/>
  <c r="AF30" i="1" s="1"/>
  <c r="V96" i="1"/>
  <c r="AK88" i="1"/>
  <c r="AD88" i="1"/>
  <c r="B95" i="1"/>
  <c r="Y47" i="1"/>
  <c r="AC54" i="1"/>
  <c r="AM58" i="1"/>
  <c r="E67" i="1"/>
  <c r="AM69" i="1"/>
  <c r="U88" i="1"/>
  <c r="AG95" i="1"/>
  <c r="AI29" i="1"/>
  <c r="AI30" i="1" s="1"/>
  <c r="F47" i="1"/>
  <c r="G54" i="1"/>
  <c r="AM52" i="1"/>
  <c r="AM70" i="1"/>
  <c r="AB81" i="1"/>
  <c r="AK81" i="1"/>
  <c r="AK96" i="1" s="1"/>
  <c r="AK97" i="1" s="1"/>
  <c r="AK98" i="1" s="1"/>
  <c r="AJ95" i="1"/>
  <c r="E54" i="1"/>
  <c r="G81" i="1"/>
  <c r="P29" i="1"/>
  <c r="P30" i="1" s="1"/>
  <c r="N47" i="1"/>
  <c r="AM53" i="1"/>
  <c r="AB67" i="1"/>
  <c r="AC81" i="1"/>
  <c r="W95" i="1"/>
  <c r="H96" i="1"/>
  <c r="AJ29" i="1"/>
  <c r="AJ30" i="1" s="1"/>
  <c r="AI96" i="1"/>
  <c r="AI97" i="1" s="1"/>
  <c r="AI98" i="1" s="1"/>
  <c r="AF47" i="1"/>
  <c r="AF96" i="1" s="1"/>
  <c r="AF97" i="1" s="1"/>
  <c r="AF98" i="1" s="1"/>
  <c r="Q47" i="1"/>
  <c r="Q96" i="1" s="1"/>
  <c r="AG47" i="1"/>
  <c r="J47" i="1"/>
  <c r="G67" i="1"/>
  <c r="AM85" i="1"/>
  <c r="AM17" i="1"/>
  <c r="T29" i="1"/>
  <c r="T30" i="1" s="1"/>
  <c r="AB29" i="1"/>
  <c r="AB30" i="1" s="1"/>
  <c r="R47" i="1"/>
  <c r="AH47" i="1"/>
  <c r="AM74" i="1"/>
  <c r="J29" i="1"/>
  <c r="J30" i="1" s="1"/>
  <c r="AC35" i="1"/>
  <c r="AM35" i="1" s="1"/>
  <c r="W47" i="1"/>
  <c r="X47" i="1"/>
  <c r="S47" i="1"/>
  <c r="S96" i="1" s="1"/>
  <c r="AA47" i="1"/>
  <c r="AA96" i="1" s="1"/>
  <c r="X54" i="1"/>
  <c r="B72" i="1"/>
  <c r="AM84" i="1"/>
  <c r="O19" i="1"/>
  <c r="O29" i="1" s="1"/>
  <c r="O30" i="1" s="1"/>
  <c r="K29" i="1"/>
  <c r="K30" i="1" s="1"/>
  <c r="N29" i="1"/>
  <c r="N30" i="1" s="1"/>
  <c r="K96" i="1"/>
  <c r="T47" i="1"/>
  <c r="AM45" i="1"/>
  <c r="AB54" i="1"/>
  <c r="AM63" i="1"/>
  <c r="W88" i="1"/>
  <c r="W96" i="1" s="1"/>
  <c r="W97" i="1" s="1"/>
  <c r="W98" i="1" s="1"/>
  <c r="N96" i="1"/>
  <c r="L29" i="1"/>
  <c r="L30" i="1" s="1"/>
  <c r="F96" i="1"/>
  <c r="F97" i="1" s="1"/>
  <c r="F98" i="1" s="1"/>
  <c r="L96" i="1"/>
  <c r="AM38" i="1"/>
  <c r="U47" i="1"/>
  <c r="AM40" i="1"/>
  <c r="AM41" i="1"/>
  <c r="AM80" i="1"/>
  <c r="G88" i="1"/>
  <c r="R29" i="1"/>
  <c r="R30" i="1" s="1"/>
  <c r="AG29" i="1"/>
  <c r="AG30" i="1" s="1"/>
  <c r="M29" i="1"/>
  <c r="M30" i="1" s="1"/>
  <c r="AE29" i="1"/>
  <c r="AE30" i="1" s="1"/>
  <c r="AM34" i="1"/>
  <c r="S54" i="1"/>
  <c r="AM61" i="1"/>
  <c r="B81" i="1"/>
  <c r="AM78" i="1"/>
  <c r="D96" i="1"/>
  <c r="D97" i="1" s="1"/>
  <c r="D98" i="1" s="1"/>
  <c r="AM12" i="1"/>
  <c r="AM15" i="1"/>
  <c r="AH29" i="1"/>
  <c r="AH30" i="1" s="1"/>
  <c r="V29" i="1"/>
  <c r="V30" i="1" s="1"/>
  <c r="V97" i="1" s="1"/>
  <c r="V98" i="1" s="1"/>
  <c r="AG96" i="1"/>
  <c r="O96" i="1"/>
  <c r="C96" i="1"/>
  <c r="AD47" i="1"/>
  <c r="G47" i="1"/>
  <c r="AM42" i="1"/>
  <c r="AM43" i="1"/>
  <c r="AM60" i="1"/>
  <c r="U67" i="1"/>
  <c r="U96" i="1" s="1"/>
  <c r="AD81" i="1"/>
  <c r="AH95" i="1"/>
  <c r="X29" i="1"/>
  <c r="X30" i="1" s="1"/>
  <c r="AM37" i="1"/>
  <c r="AM44" i="1"/>
  <c r="AC47" i="1"/>
  <c r="AD29" i="1"/>
  <c r="AD30" i="1" s="1"/>
  <c r="AM26" i="1"/>
  <c r="Z28" i="1"/>
  <c r="Z29" i="1" s="1"/>
  <c r="Z30" i="1" s="1"/>
  <c r="Z96" i="1"/>
  <c r="AM65" i="1"/>
  <c r="AM72" i="1"/>
  <c r="AM76" i="1"/>
  <c r="AB88" i="1"/>
  <c r="AB96" i="1" s="1"/>
  <c r="AB97" i="1" s="1"/>
  <c r="AB98" i="1" s="1"/>
  <c r="T96" i="1"/>
  <c r="T97" i="1" s="1"/>
  <c r="T98" i="1" s="1"/>
  <c r="B19" i="1"/>
  <c r="Q19" i="1"/>
  <c r="Q29" i="1" s="1"/>
  <c r="Q30" i="1" s="1"/>
  <c r="AM8" i="1"/>
  <c r="S29" i="1"/>
  <c r="S30" i="1" s="1"/>
  <c r="AA29" i="1"/>
  <c r="AA30" i="1" s="1"/>
  <c r="AM33" i="1"/>
  <c r="M47" i="1"/>
  <c r="M96" i="1" s="1"/>
  <c r="M97" i="1" s="1"/>
  <c r="M98" i="1" s="1"/>
  <c r="AC88" i="1"/>
  <c r="H29" i="1"/>
  <c r="H30" i="1" s="1"/>
  <c r="H97" i="1" s="1"/>
  <c r="H98" i="1" s="1"/>
  <c r="J96" i="1"/>
  <c r="J97" i="1" s="1"/>
  <c r="J98" i="1" s="1"/>
  <c r="AM49" i="1"/>
  <c r="AJ67" i="1"/>
  <c r="AM79" i="1"/>
  <c r="B88" i="1"/>
  <c r="AE88" i="1"/>
  <c r="Y96" i="1"/>
  <c r="Y97" i="1" s="1"/>
  <c r="Y98" i="1" s="1"/>
  <c r="C29" i="1"/>
  <c r="C30" i="1" s="1"/>
  <c r="AE54" i="1"/>
  <c r="AM48" i="1"/>
  <c r="AM55" i="1"/>
  <c r="AM64" i="1"/>
  <c r="P96" i="1"/>
  <c r="P97" i="1" s="1"/>
  <c r="P98" i="1" s="1"/>
  <c r="R81" i="1"/>
  <c r="G95" i="1"/>
  <c r="AM94" i="1"/>
  <c r="G22" i="1"/>
  <c r="AM22" i="1" s="1"/>
  <c r="AM21" i="1"/>
  <c r="I47" i="1"/>
  <c r="I96" i="1" s="1"/>
  <c r="I97" i="1" s="1"/>
  <c r="I98" i="1" s="1"/>
  <c r="N97" i="1"/>
  <c r="N98" i="1" s="1"/>
  <c r="AM46" i="1"/>
  <c r="B47" i="1"/>
  <c r="AM7" i="1"/>
  <c r="AM27" i="1"/>
  <c r="AM83" i="1"/>
  <c r="AM91" i="1"/>
  <c r="AM57" i="1"/>
  <c r="E47" i="1"/>
  <c r="AM71" i="1"/>
  <c r="U97" i="1" l="1"/>
  <c r="U98" i="1" s="1"/>
  <c r="X96" i="1"/>
  <c r="AJ96" i="1"/>
  <c r="AJ97" i="1" s="1"/>
  <c r="AJ98" i="1" s="1"/>
  <c r="AA97" i="1"/>
  <c r="AA98" i="1" s="1"/>
  <c r="K97" i="1"/>
  <c r="K98" i="1" s="1"/>
  <c r="AM28" i="1"/>
  <c r="AM54" i="1"/>
  <c r="S97" i="1"/>
  <c r="S98" i="1" s="1"/>
  <c r="E96" i="1"/>
  <c r="E97" i="1" s="1"/>
  <c r="E98" i="1" s="1"/>
  <c r="AE96" i="1"/>
  <c r="AE97" i="1" s="1"/>
  <c r="AE98" i="1" s="1"/>
  <c r="C97" i="1"/>
  <c r="C98" i="1" s="1"/>
  <c r="O97" i="1"/>
  <c r="O98" i="1" s="1"/>
  <c r="G96" i="1"/>
  <c r="AD96" i="1"/>
  <c r="AG97" i="1"/>
  <c r="AG98" i="1" s="1"/>
  <c r="AH96" i="1"/>
  <c r="AH97" i="1" s="1"/>
  <c r="AH98" i="1" s="1"/>
  <c r="AM81" i="1"/>
  <c r="X97" i="1"/>
  <c r="X98" i="1" s="1"/>
  <c r="AM95" i="1"/>
  <c r="Q97" i="1"/>
  <c r="Q98" i="1" s="1"/>
  <c r="AM47" i="1"/>
  <c r="AM67" i="1"/>
  <c r="AC96" i="1"/>
  <c r="AC97" i="1" s="1"/>
  <c r="AC98" i="1" s="1"/>
  <c r="Z97" i="1"/>
  <c r="Z98" i="1" s="1"/>
  <c r="L97" i="1"/>
  <c r="L98" i="1" s="1"/>
  <c r="AD97" i="1"/>
  <c r="AD98" i="1" s="1"/>
  <c r="R96" i="1"/>
  <c r="R97" i="1" s="1"/>
  <c r="R98" i="1" s="1"/>
  <c r="G29" i="1"/>
  <c r="G30" i="1" s="1"/>
  <c r="G97" i="1" s="1"/>
  <c r="G98" i="1" s="1"/>
  <c r="B96" i="1"/>
  <c r="AM88" i="1"/>
  <c r="B29" i="1"/>
  <c r="AM19" i="1"/>
  <c r="AM96" i="1" l="1"/>
  <c r="B30" i="1"/>
  <c r="AM29" i="1"/>
  <c r="B97" i="1" l="1"/>
  <c r="AM30" i="1"/>
  <c r="B98" i="1" l="1"/>
  <c r="AM98" i="1" s="1"/>
  <c r="AM97" i="1"/>
</calcChain>
</file>

<file path=xl/sharedStrings.xml><?xml version="1.0" encoding="utf-8"?>
<sst xmlns="http://schemas.openxmlformats.org/spreadsheetml/2006/main" count="134" uniqueCount="134">
  <si>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</si>
  <si>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</si>
  <si>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</si>
  <si>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</si>
  <si>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</si>
  <si>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</si>
  <si>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1108 - Student Health</t>
  </si>
  <si>
    <t>1130 - DEI Support</t>
  </si>
  <si>
    <t>1135 - DEI Grant</t>
  </si>
  <si>
    <t>1140 - DEI Training</t>
  </si>
  <si>
    <t>1145 - DEI 54K</t>
  </si>
  <si>
    <t>1260- Positive Action</t>
  </si>
  <si>
    <t>1310 - EL Local</t>
  </si>
  <si>
    <t>1415 - NKU Regional Consultant</t>
  </si>
  <si>
    <t>1451 - VSA  Arts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</si>
  <si>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</si>
  <si>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</si>
  <si>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</si>
  <si>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</si>
  <si>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</si>
  <si>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</si>
  <si>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</si>
  <si>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</si>
  <si>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</si>
  <si>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</si>
  <si>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</si>
  <si>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</si>
  <si>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</si>
  <si>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</si>
  <si>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</si>
  <si>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</si>
  <si>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</si>
  <si>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</si>
  <si>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3900 - New Teacher</t>
  </si>
  <si>
    <t>3925 - Mental Health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</si>
  <si>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</si>
  <si>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</si>
  <si>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</si>
  <si>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</si>
  <si>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</si>
  <si>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</si>
  <si>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</si>
  <si>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</si>
  <si>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</si>
  <si>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</si>
  <si>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</si>
  <si>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</si>
  <si>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</si>
  <si>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</si>
  <si>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</si>
  <si>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</si>
  <si>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</si>
  <si>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</si>
  <si>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</si>
  <si>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</si>
  <si>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</si>
  <si>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</si>
  <si>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</si>
  <si>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</si>
  <si>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</si>
  <si>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</si>
  <si>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</si>
  <si>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</si>
  <si>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</si>
  <si>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</si>
  <si>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</si>
  <si>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</si>
  <si>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</si>
  <si>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</si>
  <si>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</si>
  <si>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</si>
  <si>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</si>
  <si>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</si>
  <si>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</si>
  <si>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</si>
  <si>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</si>
  <si>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</si>
  <si>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</si>
  <si>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</si>
  <si>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</si>
  <si>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</si>
  <si>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</si>
  <si>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</si>
  <si>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</si>
  <si>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</si>
  <si>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</si>
  <si>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</si>
  <si>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</si>
  <si>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</si>
  <si>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</si>
  <si>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</si>
  <si>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</si>
  <si>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</si>
  <si>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</si>
  <si>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</si>
  <si>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</si>
  <si>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</si>
  <si>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</si>
  <si>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</si>
  <si>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</si>
  <si>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</si>
  <si>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</si>
  <si>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</si>
  <si>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</si>
  <si>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</si>
  <si>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</si>
  <si>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</si>
  <si>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</si>
  <si>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</si>
  <si>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</si>
  <si>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</si>
  <si>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</si>
  <si>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</si>
  <si>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</si>
  <si>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</si>
  <si>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</si>
  <si>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</si>
  <si>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</si>
  <si>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</si>
  <si>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</si>
  <si>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</si>
  <si>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</si>
  <si>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</si>
  <si>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</si>
  <si>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</si>
  <si>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</si>
  <si>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</si>
  <si>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</si>
  <si>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</si>
  <si>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</si>
  <si>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</si>
  <si>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</si>
  <si>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</si>
  <si>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2022 -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</si>
</sst>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2"/>
  <sheetViews>
    <sheetView tabSelected="1" workbookViewId="0">
      <pane xSplit="1" topLeftCell="B1" activePane="topRight" state="frozen"/>
      <selection pane="topRight" activeCell="A86" sqref="A86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8.5703125" customWidth="1"/>
    <col min="5" max="5" width="10.28515625" customWidth="1"/>
    <col min="6" max="6" width="9.42578125" customWidth="1"/>
    <col min="7" max="7" width="12" customWidth="1"/>
    <col min="8" max="9" width="8.5703125" customWidth="1"/>
    <col min="10" max="10" width="10.28515625" customWidth="1"/>
    <col min="11" max="12" width="9.42578125" customWidth="1"/>
    <col min="13" max="15" width="10.28515625" customWidth="1"/>
    <col min="16" max="16" width="8.5703125" customWidth="1"/>
    <col min="17" max="18" width="10.28515625" customWidth="1"/>
    <col min="19" max="19" width="9.42578125" customWidth="1"/>
    <col min="20" max="20" width="12" customWidth="1"/>
    <col min="21" max="21" width="11.85546875" customWidth="1"/>
    <col min="22" max="22" width="8.5703125" customWidth="1"/>
    <col min="23" max="25" width="10.28515625" customWidth="1"/>
    <col min="26" max="27" width="9.42578125" customWidth="1"/>
    <col min="28" max="31" width="10.28515625" customWidth="1"/>
    <col min="32" max="32" width="8.5703125" customWidth="1"/>
    <col min="33" max="36" width="9.42578125" customWidth="1"/>
    <col min="37" max="37" width="10.28515625" customWidth="1"/>
    <col min="38" max="38" width="7.7109375" hidden="1" customWidth="1"/>
    <col min="39" max="39" width="12.85546875" customWidth="1"/>
  </cols>
  <sheetData>
    <row r="1" spans="1:39" ht="18" x14ac:dyDescent="0.25">
      <c r="A1" s="10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8" x14ac:dyDescent="0.25">
      <c r="A2" s="10" t="s">
        <v>132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x14ac:dyDescent="0.25">
      <c r="A3" s="11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5" spans="1:39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  <c r="AJ5" s="2" t="s">
        <v>34</v>
      </c>
      <c r="AK5" s="2" t="s">
        <v>35</v>
      </c>
      <c r="AL5" s="2" t="s">
        <v>36</v>
      </c>
      <c r="AM5" s="2" t="s">
        <v>37</v>
      </c>
    </row>
    <row r="6" spans="1:39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3" t="s">
        <v>39</v>
      </c>
      <c r="B7" s="4"/>
      <c r="C7" s="4"/>
      <c r="D7" s="4"/>
      <c r="E7" s="4"/>
      <c r="F7" s="4"/>
      <c r="G7" s="5">
        <f>7500</f>
        <v>7500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>
        <f>((((((((((((((((((((((((((((((((((((B7)+(C7))+(D7))+(E7))+(F7))+(G7))+(H7))+(I7))+(J7))+(K7))+(L7))+(M7))+(N7))+(O7))+(P7))+(Q7))+(R7))+(S7))+(T7))+(U7))+(V7))+(W7))+(X7))+(Y7))+(Z7))+(AA7))+(AB7))+(AC7))+(AD7))+(AE7))+(AF7))+(AG7))+(AH7))+(AI7))+(AJ7))+(AK7))+(AL7)</f>
        <v>7500</v>
      </c>
    </row>
    <row r="8" spans="1:39" x14ac:dyDescent="0.25">
      <c r="A8" s="3" t="s">
        <v>40</v>
      </c>
      <c r="B8" s="5">
        <f>259924.07</f>
        <v>259924.07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>
        <f>400</f>
        <v>400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5">
        <f>0</f>
        <v>0</v>
      </c>
      <c r="AM8" s="5">
        <f>((((((((((((((((((((((((((((((((((((B8)+(C8))+(D8))+(E8))+(F8))+(G8))+(H8))+(I8))+(J8))+(K8))+(L8))+(M8))+(N8))+(O8))+(P8))+(Q8))+(R8))+(S8))+(T8))+(U8))+(V8))+(W8))+(X8))+(Y8))+(Z8))+(AA8))+(AB8))+(AC8))+(AD8))+(AE8))+(AF8))+(AG8))+(AH8))+(AI8))+(AJ8))+(AK8))+(AL8)</f>
        <v>260324.07</v>
      </c>
    </row>
    <row r="9" spans="1:39" x14ac:dyDescent="0.25">
      <c r="A9" s="3" t="s">
        <v>41</v>
      </c>
      <c r="B9" s="5">
        <f>81020.45</f>
        <v>81020.45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>
        <f>((((((((((((((((((((((((((((((((((((B9)+(C9))+(D9))+(E9))+(F9))+(G9))+(H9))+(I9))+(J9))+(K9))+(L9))+(M9))+(N9))+(O9))+(P9))+(Q9))+(R9))+(S9))+(T9))+(U9))+(V9))+(W9))+(X9))+(Y9))+(Z9))+(AA9))+(AB9))+(AC9))+(AD9))+(AE9))+(AF9))+(AG9))+(AH9))+(AI9))+(AJ9))+(AK9))+(AL9)</f>
        <v>81020.45</v>
      </c>
    </row>
    <row r="10" spans="1:39" x14ac:dyDescent="0.25">
      <c r="A10" s="3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>129205.56</f>
        <v>129205.56</v>
      </c>
      <c r="R10" s="5">
        <f>108085</f>
        <v>108085</v>
      </c>
      <c r="S10" s="4"/>
      <c r="T10" s="4"/>
      <c r="U10" s="5">
        <f>92000</f>
        <v>92000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>
        <f>((((((((((((((((((((((((((((((((((((B10)+(C10))+(D10))+(E10))+(F10))+(G10))+(H10))+(I10))+(J10))+(K10))+(L10))+(M10))+(N10))+(O10))+(P10))+(Q10))+(R10))+(S10))+(T10))+(U10))+(V10))+(W10))+(X10))+(Y10))+(Z10))+(AA10))+(AB10))+(AC10))+(AD10))+(AE10))+(AF10))+(AG10))+(AH10))+(AI10))+(AJ10))+(AK10))+(AL10)</f>
        <v>329290.56</v>
      </c>
    </row>
    <row r="11" spans="1:39" x14ac:dyDescent="0.25">
      <c r="A11" s="3" t="s">
        <v>43</v>
      </c>
      <c r="B11" s="5">
        <f>50000</f>
        <v>50000</v>
      </c>
      <c r="C11" s="4"/>
      <c r="D11" s="5">
        <f>4712</f>
        <v>4712</v>
      </c>
      <c r="E11" s="4"/>
      <c r="F11" s="5">
        <f>52001.86</f>
        <v>52001.86</v>
      </c>
      <c r="G11" s="4"/>
      <c r="H11" s="4"/>
      <c r="I11" s="4"/>
      <c r="J11" s="4"/>
      <c r="K11" s="4"/>
      <c r="L11" s="4"/>
      <c r="M11" s="4"/>
      <c r="N11" s="4"/>
      <c r="O11" s="5">
        <f>106019.07</f>
        <v>106019.07</v>
      </c>
      <c r="P11" s="4"/>
      <c r="Q11" s="4"/>
      <c r="R11" s="4"/>
      <c r="S11" s="4"/>
      <c r="T11" s="4"/>
      <c r="U11" s="5">
        <f>518363</f>
        <v>518363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>
        <f>223845.3</f>
        <v>223845.3</v>
      </c>
      <c r="AL11" s="4"/>
      <c r="AM11" s="5">
        <f>((((((((((((((((((((((((((((((((((((B11)+(C11))+(D11))+(E11))+(F11))+(G11))+(H11))+(I11))+(J11))+(K11))+(L11))+(M11))+(N11))+(O11))+(P11))+(Q11))+(R11))+(S11))+(T11))+(U11))+(V11))+(W11))+(X11))+(Y11))+(Z11))+(AA11))+(AB11))+(AC11))+(AD11))+(AE11))+(AF11))+(AG11))+(AH11))+(AI11))+(AJ11))+(AK11))+(AL11)</f>
        <v>954941.23</v>
      </c>
    </row>
    <row r="12" spans="1:39" x14ac:dyDescent="0.25">
      <c r="A12" s="3" t="s">
        <v>44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>
        <f>1000</f>
        <v>1000</v>
      </c>
      <c r="AE12" s="4"/>
      <c r="AF12" s="4"/>
      <c r="AG12" s="4"/>
      <c r="AH12" s="4"/>
      <c r="AI12" s="4"/>
      <c r="AJ12" s="4"/>
      <c r="AK12" s="4"/>
      <c r="AL12" s="4"/>
      <c r="AM12" s="5">
        <f>((((((((((((((((((((((((((((((((((((B12)+(C12))+(D12))+(E12))+(F12))+(G12))+(H12))+(I12))+(J12))+(K12))+(L12))+(M12))+(N12))+(O12))+(P12))+(Q12))+(R12))+(S12))+(T12))+(U12))+(V12))+(W12))+(X12))+(Y12))+(Z12))+(AA12))+(AB12))+(AC12))+(AD12))+(AE12))+(AF12))+(AG12))+(AH12))+(AI12))+(AJ12))+(AK12))+(AL12)</f>
        <v>1750</v>
      </c>
    </row>
    <row r="13" spans="1:39" x14ac:dyDescent="0.25">
      <c r="A13" s="3" t="s">
        <v>45</v>
      </c>
      <c r="B13" s="5">
        <f>9178.63</f>
        <v>9178.6299999999992</v>
      </c>
      <c r="C13" s="4"/>
      <c r="D13" s="4"/>
      <c r="E13" s="4"/>
      <c r="F13" s="4"/>
      <c r="G13" s="5">
        <f>1606.25</f>
        <v>1606.25</v>
      </c>
      <c r="H13" s="4"/>
      <c r="I13" s="4"/>
      <c r="J13" s="5">
        <f>0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>482.8</f>
        <v>482.8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f>((((((((((((((((((((((((((((((((((((B13)+(C13))+(D13))+(E13))+(F13))+(G13))+(H13))+(I13))+(J13))+(K13))+(L13))+(M13))+(N13))+(O13))+(P13))+(Q13))+(R13))+(S13))+(T13))+(U13))+(V13))+(W13))+(X13))+(Y13))+(Z13))+(AA13))+(AB13))+(AC13))+(AD13))+(AE13))+(AF13))+(AG13))+(AH13))+(AI13))+(AJ13))+(AK13))+(AL13)</f>
        <v>11267.679999999998</v>
      </c>
    </row>
    <row r="14" spans="1:39" x14ac:dyDescent="0.25">
      <c r="A14" s="3" t="s">
        <v>46</v>
      </c>
      <c r="B14" s="5">
        <f>59599.68</f>
        <v>59599.68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>
        <f>((((((((((((((((((((((((((((((((((((B14)+(C14))+(D14))+(E14))+(F14))+(G14))+(H14))+(I14))+(J14))+(K14))+(L14))+(M14))+(N14))+(O14))+(P14))+(Q14))+(R14))+(S14))+(T14))+(U14))+(V14))+(W14))+(X14))+(Y14))+(Z14))+(AA14))+(AB14))+(AC14))+(AD14))+(AE14))+(AF14))+(AG14))+(AH14))+(AI14))+(AJ14))+(AK14))+(AL14)</f>
        <v>59599.68</v>
      </c>
    </row>
    <row r="15" spans="1:39" x14ac:dyDescent="0.25">
      <c r="A15" s="3" t="s">
        <v>47</v>
      </c>
      <c r="B15" s="5">
        <f>812767</f>
        <v>812767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>
        <f>8481.51</f>
        <v>8481.51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>((((((((((((((((((((((((((((((((((((B15)+(C15))+(D15))+(E15))+(F15))+(G15))+(H15))+(I15))+(J15))+(K15))+(L15))+(M15))+(N15))+(O15))+(P15))+(Q15))+(R15))+(S15))+(T15))+(U15))+(V15))+(W15))+(X15))+(Y15))+(Z15))+(AA15))+(AB15))+(AC15))+(AD15))+(AE15))+(AF15))+(AG15))+(AH15))+(AI15))+(AJ15))+(AK15))+(AL15)</f>
        <v>821248.51</v>
      </c>
    </row>
    <row r="16" spans="1:39" x14ac:dyDescent="0.25">
      <c r="A16" s="3" t="s">
        <v>48</v>
      </c>
      <c r="B16" s="5">
        <f>58200</f>
        <v>58200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>
        <f>((((((((((((((((((((((((((((((((((((B16)+(C16))+(D16))+(E16))+(F16))+(G16))+(H16))+(I16))+(J16))+(K16))+(L16))+(M16))+(N16))+(O16))+(P16))+(Q16))+(R16))+(S16))+(T16))+(U16))+(V16))+(W16))+(X16))+(Y16))+(Z16))+(AA16))+(AB16))+(AC16))+(AD16))+(AE16))+(AF16))+(AG16))+(AH16))+(AI16))+(AJ16))+(AK16))+(AL16)</f>
        <v>58200</v>
      </c>
    </row>
    <row r="17" spans="1:39" x14ac:dyDescent="0.25">
      <c r="A17" s="3" t="s">
        <v>49</v>
      </c>
      <c r="B17" s="5">
        <f>1704.92</f>
        <v>1704.92</v>
      </c>
      <c r="C17" s="5">
        <f>285.92</f>
        <v>285.92</v>
      </c>
      <c r="D17" s="4"/>
      <c r="E17" s="4"/>
      <c r="F17" s="4"/>
      <c r="G17" s="5">
        <f>714.5</f>
        <v>714.5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f>452.61</f>
        <v>452.61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>((((((((((((((((((((((((((((((((((((B17)+(C17))+(D17))+(E17))+(F17))+(G17))+(H17))+(I17))+(J17))+(K17))+(L17))+(M17))+(N17))+(O17))+(P17))+(Q17))+(R17))+(S17))+(T17))+(U17))+(V17))+(W17))+(X17))+(Y17))+(Z17))+(AA17))+(AB17))+(AC17))+(AD17))+(AE17))+(AF17))+(AG17))+(AH17))+(AI17))+(AJ17))+(AK17))+(AL17)</f>
        <v>3157.9500000000003</v>
      </c>
    </row>
    <row r="18" spans="1:39" x14ac:dyDescent="0.25">
      <c r="A18" s="3" t="s">
        <v>50</v>
      </c>
      <c r="B18" s="4"/>
      <c r="C18" s="4"/>
      <c r="D18" s="4"/>
      <c r="E18" s="4"/>
      <c r="F18" s="4"/>
      <c r="G18" s="5">
        <f>195515.96</f>
        <v>195515.96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>
        <f>((((((((((((((((((((((((((((((((((((B18)+(C18))+(D18))+(E18))+(F18))+(G18))+(H18))+(I18))+(J18))+(K18))+(L18))+(M18))+(N18))+(O18))+(P18))+(Q18))+(R18))+(S18))+(T18))+(U18))+(V18))+(W18))+(X18))+(Y18))+(Z18))+(AA18))+(AB18))+(AC18))+(AD18))+(AE18))+(AF18))+(AG18))+(AH18))+(AI18))+(AJ18))+(AK18))+(AL18)</f>
        <v>195515.96</v>
      </c>
    </row>
    <row r="19" spans="1:39" x14ac:dyDescent="0.25">
      <c r="A19" s="3" t="s">
        <v>51</v>
      </c>
      <c r="B19" s="6">
        <f t="shared" ref="B19:AL19" si="0">(((((((((((B7)+(B8))+(B9))+(B10))+(B11))+(B12))+(B13))+(B14))+(B15))+(B16))+(B17))+(B18)</f>
        <v>1333144.75</v>
      </c>
      <c r="C19" s="6">
        <f t="shared" si="0"/>
        <v>285.92</v>
      </c>
      <c r="D19" s="6">
        <f t="shared" si="0"/>
        <v>4712</v>
      </c>
      <c r="E19" s="6">
        <f t="shared" si="0"/>
        <v>0</v>
      </c>
      <c r="F19" s="6">
        <f t="shared" si="0"/>
        <v>52001.86</v>
      </c>
      <c r="G19" s="6">
        <f t="shared" si="0"/>
        <v>205336.71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114500.58</v>
      </c>
      <c r="P19" s="6">
        <f t="shared" si="0"/>
        <v>0</v>
      </c>
      <c r="Q19" s="6">
        <f t="shared" si="0"/>
        <v>129605.56</v>
      </c>
      <c r="R19" s="6">
        <f t="shared" si="0"/>
        <v>108537.61</v>
      </c>
      <c r="S19" s="6">
        <f t="shared" si="0"/>
        <v>0</v>
      </c>
      <c r="T19" s="6">
        <f t="shared" si="0"/>
        <v>0</v>
      </c>
      <c r="U19" s="6">
        <f t="shared" si="0"/>
        <v>610845.80000000005</v>
      </c>
      <c r="V19" s="6">
        <f t="shared" si="0"/>
        <v>0</v>
      </c>
      <c r="W19" s="6">
        <f t="shared" si="0"/>
        <v>0</v>
      </c>
      <c r="X19" s="6">
        <f t="shared" si="0"/>
        <v>0</v>
      </c>
      <c r="Y19" s="6">
        <f t="shared" si="0"/>
        <v>0</v>
      </c>
      <c r="Z19" s="6">
        <f t="shared" si="0"/>
        <v>0</v>
      </c>
      <c r="AA19" s="6">
        <f t="shared" si="0"/>
        <v>0</v>
      </c>
      <c r="AB19" s="6">
        <f t="shared" si="0"/>
        <v>0</v>
      </c>
      <c r="AC19" s="6">
        <f t="shared" si="0"/>
        <v>0</v>
      </c>
      <c r="AD19" s="6">
        <f t="shared" si="0"/>
        <v>1000</v>
      </c>
      <c r="AE19" s="6">
        <f t="shared" si="0"/>
        <v>0</v>
      </c>
      <c r="AF19" s="6">
        <f t="shared" si="0"/>
        <v>0</v>
      </c>
      <c r="AG19" s="6">
        <f t="shared" si="0"/>
        <v>0</v>
      </c>
      <c r="AH19" s="6">
        <f t="shared" si="0"/>
        <v>0</v>
      </c>
      <c r="AI19" s="6">
        <f t="shared" si="0"/>
        <v>0</v>
      </c>
      <c r="AJ19" s="6">
        <f t="shared" si="0"/>
        <v>0</v>
      </c>
      <c r="AK19" s="6">
        <f t="shared" si="0"/>
        <v>223845.3</v>
      </c>
      <c r="AL19" s="6">
        <f t="shared" si="0"/>
        <v>0</v>
      </c>
      <c r="AM19" s="6">
        <f>((((((((((((((((((((((((((((((((((((B19)+(C19))+(D19))+(E19))+(F19))+(G19))+(H19))+(I19))+(J19))+(K19))+(L19))+(M19))+(N19))+(O19))+(P19))+(Q19))+(R19))+(S19))+(T19))+(U19))+(V19))+(W19))+(X19))+(Y19))+(Z19))+(AA19))+(AB19))+(AC19))+(AD19))+(AE19))+(AF19))+(AG19))+(AH19))+(AI19))+(AJ19))+(AK19))+(AL19)</f>
        <v>2783816.09</v>
      </c>
    </row>
    <row r="20" spans="1:39" x14ac:dyDescent="0.25">
      <c r="A20" s="3" t="s">
        <v>52</v>
      </c>
      <c r="B20" s="4"/>
      <c r="C20" s="4"/>
      <c r="D20" s="4"/>
      <c r="E20" s="4"/>
      <c r="F20" s="4"/>
      <c r="G20" s="5">
        <f>1639483.78</f>
        <v>1639483.78</v>
      </c>
      <c r="H20" s="4"/>
      <c r="I20" s="4"/>
      <c r="J20" s="4"/>
      <c r="K20" s="4"/>
      <c r="L20" s="4"/>
      <c r="M20" s="4"/>
      <c r="N20" s="5">
        <f>128963.8</f>
        <v>128963.8</v>
      </c>
      <c r="O20" s="4"/>
      <c r="P20" s="4"/>
      <c r="Q20" s="4"/>
      <c r="R20" s="4"/>
      <c r="S20" s="5">
        <f>70559.5</f>
        <v>70559.5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>
        <f>((((((((((((((((((((((((((((((((((((B20)+(C20))+(D20))+(E20))+(F20))+(G20))+(H20))+(I20))+(J20))+(K20))+(L20))+(M20))+(N20))+(O20))+(P20))+(Q20))+(R20))+(S20))+(T20))+(U20))+(V20))+(W20))+(X20))+(Y20))+(Z20))+(AA20))+(AB20))+(AC20))+(AD20))+(AE20))+(AF20))+(AG20))+(AH20))+(AI20))+(AJ20))+(AK20))+(AL20)</f>
        <v>1839007.08</v>
      </c>
    </row>
    <row r="21" spans="1:39" x14ac:dyDescent="0.25">
      <c r="A21" s="3" t="s">
        <v>53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>
        <f>((((((((((((((((((((((((((((((((((((B21)+(C21))+(D21))+(E21))+(F21))+(G21))+(H21))+(I21))+(J21))+(K21))+(L21))+(M21))+(N21))+(O21))+(P21))+(Q21))+(R21))+(S21))+(T21))+(U21))+(V21))+(W21))+(X21))+(Y21))+(Z21))+(AA21))+(AB21))+(AC21))+(AD21))+(AE21))+(AF21))+(AG21))+(AH21))+(AI21))+(AJ21))+(AK21))+(AL21)</f>
        <v>27093.14</v>
      </c>
    </row>
    <row r="22" spans="1:39" x14ac:dyDescent="0.25">
      <c r="A22" s="3" t="s">
        <v>54</v>
      </c>
      <c r="B22" s="6">
        <f t="shared" ref="B22:AL22" si="1">(B20)+(B21)</f>
        <v>0</v>
      </c>
      <c r="C22" s="6">
        <f t="shared" si="1"/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1666576.92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128963.8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70559.5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 t="shared" si="1"/>
        <v>0</v>
      </c>
      <c r="AI22" s="6">
        <f t="shared" si="1"/>
        <v>0</v>
      </c>
      <c r="AJ22" s="6">
        <f t="shared" si="1"/>
        <v>0</v>
      </c>
      <c r="AK22" s="6">
        <f t="shared" si="1"/>
        <v>0</v>
      </c>
      <c r="AL22" s="6">
        <f t="shared" si="1"/>
        <v>0</v>
      </c>
      <c r="AM22" s="6">
        <f>((((((((((((((((((((((((((((((((((((B22)+(C22))+(D22))+(E22))+(F22))+(G22))+(H22))+(I22))+(J22))+(K22))+(L22))+(M22))+(N22))+(O22))+(P22))+(Q22))+(R22))+(S22))+(T22))+(U22))+(V22))+(W22))+(X22))+(Y22))+(Z22))+(AA22))+(AB22))+(AC22))+(AD22))+(AE22))+(AF22))+(AG22))+(AH22))+(AI22))+(AJ22))+(AK22))+(AL22)</f>
        <v>1866100.22</v>
      </c>
    </row>
    <row r="23" spans="1:39" x14ac:dyDescent="0.25">
      <c r="A23" s="3" t="s">
        <v>55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>
        <f>((((((((((((((((((((((((((((((((((((B23)+(C23))+(D23))+(E23))+(F23))+(G23))+(H23))+(I23))+(J23))+(K23))+(L23))+(M23))+(N23))+(O23))+(P23))+(Q23))+(R23))+(S23))+(T23))+(U23))+(V23))+(W23))+(X23))+(Y23))+(Z23))+(AA23))+(AB23))+(AC23))+(AD23))+(AE23))+(AF23))+(AG23))+(AH23))+(AI23))+(AJ23))+(AK23))+(AL23)</f>
        <v>52920</v>
      </c>
    </row>
    <row r="24" spans="1:39" x14ac:dyDescent="0.25">
      <c r="A24" s="3" t="s">
        <v>56</v>
      </c>
      <c r="B24" s="5">
        <f>42681.82</f>
        <v>42681.82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>
        <f>((((((((((((((((((((((((((((((((((((B24)+(C24))+(D24))+(E24))+(F24))+(G24))+(H24))+(I24))+(J24))+(K24))+(L24))+(M24))+(N24))+(O24))+(P24))+(Q24))+(R24))+(S24))+(T24))+(U24))+(V24))+(W24))+(X24))+(Y24))+(Z24))+(AA24))+(AB24))+(AC24))+(AD24))+(AE24))+(AF24))+(AG24))+(AH24))+(AI24))+(AJ24))+(AK24))+(AL24)</f>
        <v>42681.82</v>
      </c>
    </row>
    <row r="25" spans="1:39" x14ac:dyDescent="0.25">
      <c r="A25" s="3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>
        <f>-133705</f>
        <v>-133705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>
        <f>((((((((((((((((((((((((((((((((((((B25)+(C25))+(D25))+(E25))+(F25))+(G25))+(H25))+(I25))+(J25))+(K25))+(L25))+(M25))+(N25))+(O25))+(P25))+(Q25))+(R25))+(S25))+(T25))+(U25))+(V25))+(W25))+(X25))+(Y25))+(Z25))+(AA25))+(AB25))+(AC25))+(AD25))+(AE25))+(AF25))+(AG25))+(AH25))+(AI25))+(AJ25))+(AK25))+(AL25)</f>
        <v>-133705</v>
      </c>
    </row>
    <row r="26" spans="1:39" x14ac:dyDescent="0.25">
      <c r="A26" s="3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>
        <f>1030657.78</f>
        <v>1030657.78</v>
      </c>
      <c r="U26" s="4"/>
      <c r="V26" s="4"/>
      <c r="W26" s="4"/>
      <c r="X26" s="5">
        <f>749474.69</f>
        <v>749474.69</v>
      </c>
      <c r="Y26" s="4"/>
      <c r="Z26" s="5">
        <f>87292.52</f>
        <v>87292.52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>
        <f>((((((((((((((((((((((((((((((((((((B26)+(C26))+(D26))+(E26))+(F26))+(G26))+(H26))+(I26))+(J26))+(K26))+(L26))+(M26))+(N26))+(O26))+(P26))+(Q26))+(R26))+(S26))+(T26))+(U26))+(V26))+(W26))+(X26))+(Y26))+(Z26))+(AA26))+(AB26))+(AC26))+(AD26))+(AE26))+(AF26))+(AG26))+(AH26))+(AI26))+(AJ26))+(AK26))+(AL26)</f>
        <v>1867424.99</v>
      </c>
    </row>
    <row r="27" spans="1:39" x14ac:dyDescent="0.25">
      <c r="A27" s="3" t="s">
        <v>59</v>
      </c>
      <c r="B27" s="4"/>
      <c r="C27" s="4"/>
      <c r="D27" s="4"/>
      <c r="E27" s="5">
        <f>568930.64</f>
        <v>568930.64</v>
      </c>
      <c r="F27" s="4"/>
      <c r="G27" s="4"/>
      <c r="H27" s="5">
        <f>5000</f>
        <v>5000</v>
      </c>
      <c r="I27" s="5">
        <f>7528.17</f>
        <v>7528.17</v>
      </c>
      <c r="J27" s="5">
        <f>130052.65</f>
        <v>130052.65</v>
      </c>
      <c r="K27" s="5">
        <f>50000</f>
        <v>50000</v>
      </c>
      <c r="L27" s="5">
        <f>54000</f>
        <v>54000</v>
      </c>
      <c r="M27" s="5">
        <f>234146.79</f>
        <v>234146.79</v>
      </c>
      <c r="N27" s="4"/>
      <c r="O27" s="4"/>
      <c r="P27" s="4"/>
      <c r="Q27" s="4"/>
      <c r="R27" s="4"/>
      <c r="S27" s="4"/>
      <c r="T27" s="4"/>
      <c r="U27" s="4"/>
      <c r="V27" s="5">
        <f>1163.97</f>
        <v>1163.97</v>
      </c>
      <c r="W27" s="5">
        <f>985751.62</f>
        <v>985751.62</v>
      </c>
      <c r="X27" s="4"/>
      <c r="Y27" s="5">
        <f>259978.96</f>
        <v>259978.96</v>
      </c>
      <c r="Z27" s="4"/>
      <c r="AA27" s="5">
        <f>14910.08</f>
        <v>14910.08</v>
      </c>
      <c r="AB27" s="5">
        <f>296862.41</f>
        <v>296862.40999999997</v>
      </c>
      <c r="AC27" s="5">
        <f>780135.03</f>
        <v>780135.03</v>
      </c>
      <c r="AD27" s="5">
        <f>304823.07</f>
        <v>304823.07</v>
      </c>
      <c r="AE27" s="5">
        <f>656877.84</f>
        <v>656877.84</v>
      </c>
      <c r="AF27" s="5">
        <f>6590</f>
        <v>6590</v>
      </c>
      <c r="AG27" s="5">
        <f>13950.55</f>
        <v>13950.55</v>
      </c>
      <c r="AH27" s="5">
        <f>86255.78</f>
        <v>86255.78</v>
      </c>
      <c r="AI27" s="5">
        <f>40821.5</f>
        <v>40821.5</v>
      </c>
      <c r="AJ27" s="5">
        <f>72830</f>
        <v>72830</v>
      </c>
      <c r="AK27" s="4"/>
      <c r="AL27" s="4"/>
      <c r="AM27" s="5">
        <f>((((((((((((((((((((((((((((((((((((B27)+(C27))+(D27))+(E27))+(F27))+(G27))+(H27))+(I27))+(J27))+(K27))+(L27))+(M27))+(N27))+(O27))+(P27))+(Q27))+(R27))+(S27))+(T27))+(U27))+(V27))+(W27))+(X27))+(Y27))+(Z27))+(AA27))+(AB27))+(AC27))+(AD27))+(AE27))+(AF27))+(AG27))+(AH27))+(AI27))+(AJ27))+(AK27))+(AL27)</f>
        <v>4570609.0600000005</v>
      </c>
    </row>
    <row r="28" spans="1:39" x14ac:dyDescent="0.25">
      <c r="A28" s="3" t="s">
        <v>60</v>
      </c>
      <c r="B28" s="6">
        <f t="shared" ref="B28:AL28" si="2">((B25)+(B26))+(B27)</f>
        <v>0</v>
      </c>
      <c r="C28" s="6">
        <f t="shared" si="2"/>
        <v>0</v>
      </c>
      <c r="D28" s="6">
        <f t="shared" si="2"/>
        <v>0</v>
      </c>
      <c r="E28" s="6">
        <f t="shared" si="2"/>
        <v>568930.64</v>
      </c>
      <c r="F28" s="6">
        <f t="shared" si="2"/>
        <v>0</v>
      </c>
      <c r="G28" s="6">
        <f t="shared" si="2"/>
        <v>0</v>
      </c>
      <c r="H28" s="6">
        <f t="shared" si="2"/>
        <v>5000</v>
      </c>
      <c r="I28" s="6">
        <f t="shared" si="2"/>
        <v>7528.17</v>
      </c>
      <c r="J28" s="6">
        <f t="shared" si="2"/>
        <v>130052.65</v>
      </c>
      <c r="K28" s="6">
        <f t="shared" si="2"/>
        <v>50000</v>
      </c>
      <c r="L28" s="6">
        <f t="shared" si="2"/>
        <v>54000</v>
      </c>
      <c r="M28" s="6">
        <f t="shared" si="2"/>
        <v>234146.79</v>
      </c>
      <c r="N28" s="6">
        <f t="shared" si="2"/>
        <v>0</v>
      </c>
      <c r="O28" s="6">
        <f t="shared" si="2"/>
        <v>0</v>
      </c>
      <c r="P28" s="6">
        <f t="shared" si="2"/>
        <v>0</v>
      </c>
      <c r="Q28" s="6">
        <f t="shared" si="2"/>
        <v>0</v>
      </c>
      <c r="R28" s="6">
        <f t="shared" si="2"/>
        <v>0</v>
      </c>
      <c r="S28" s="6">
        <f t="shared" si="2"/>
        <v>0</v>
      </c>
      <c r="T28" s="6">
        <f t="shared" si="2"/>
        <v>1030657.78</v>
      </c>
      <c r="U28" s="6">
        <f t="shared" si="2"/>
        <v>-133705</v>
      </c>
      <c r="V28" s="6">
        <f t="shared" si="2"/>
        <v>1163.97</v>
      </c>
      <c r="W28" s="6">
        <f t="shared" si="2"/>
        <v>985751.62</v>
      </c>
      <c r="X28" s="6">
        <f t="shared" si="2"/>
        <v>749474.69</v>
      </c>
      <c r="Y28" s="6">
        <f t="shared" si="2"/>
        <v>259978.96</v>
      </c>
      <c r="Z28" s="6">
        <f t="shared" si="2"/>
        <v>87292.52</v>
      </c>
      <c r="AA28" s="6">
        <f t="shared" si="2"/>
        <v>14910.08</v>
      </c>
      <c r="AB28" s="6">
        <f t="shared" si="2"/>
        <v>296862.40999999997</v>
      </c>
      <c r="AC28" s="6">
        <f t="shared" si="2"/>
        <v>780135.03</v>
      </c>
      <c r="AD28" s="6">
        <f t="shared" si="2"/>
        <v>304823.07</v>
      </c>
      <c r="AE28" s="6">
        <f t="shared" si="2"/>
        <v>656877.84</v>
      </c>
      <c r="AF28" s="6">
        <f t="shared" si="2"/>
        <v>6590</v>
      </c>
      <c r="AG28" s="6">
        <f t="shared" si="2"/>
        <v>13950.55</v>
      </c>
      <c r="AH28" s="6">
        <f t="shared" si="2"/>
        <v>86255.78</v>
      </c>
      <c r="AI28" s="6">
        <f t="shared" si="2"/>
        <v>40821.5</v>
      </c>
      <c r="AJ28" s="6">
        <f t="shared" si="2"/>
        <v>72830</v>
      </c>
      <c r="AK28" s="6">
        <f t="shared" si="2"/>
        <v>0</v>
      </c>
      <c r="AL28" s="6">
        <f t="shared" si="2"/>
        <v>0</v>
      </c>
      <c r="AM28" s="6">
        <f>((((((((((((((((((((((((((((((((((((B28)+(C28))+(D28))+(E28))+(F28))+(G28))+(H28))+(I28))+(J28))+(K28))+(L28))+(M28))+(N28))+(O28))+(P28))+(Q28))+(R28))+(S28))+(T28))+(U28))+(V28))+(W28))+(X28))+(Y28))+(Z28))+(AA28))+(AB28))+(AC28))+(AD28))+(AE28))+(AF28))+(AG28))+(AH28))+(AI28))+(AJ28))+(AK28))+(AL28)</f>
        <v>6304329.0500000007</v>
      </c>
    </row>
    <row r="29" spans="1:39" x14ac:dyDescent="0.25">
      <c r="A29" s="3" t="s">
        <v>61</v>
      </c>
      <c r="B29" s="6">
        <f t="shared" ref="B29:AL29" si="3">((((B19)+(B22))+(B23))+(B24))+(B28)</f>
        <v>1428746.57</v>
      </c>
      <c r="C29" s="6">
        <f t="shared" si="3"/>
        <v>285.92</v>
      </c>
      <c r="D29" s="6">
        <f t="shared" si="3"/>
        <v>4712</v>
      </c>
      <c r="E29" s="6">
        <f t="shared" si="3"/>
        <v>568930.64</v>
      </c>
      <c r="F29" s="6">
        <f t="shared" si="3"/>
        <v>52001.86</v>
      </c>
      <c r="G29" s="6">
        <f t="shared" si="3"/>
        <v>1871913.63</v>
      </c>
      <c r="H29" s="6">
        <f t="shared" si="3"/>
        <v>5000</v>
      </c>
      <c r="I29" s="6">
        <f t="shared" si="3"/>
        <v>7528.17</v>
      </c>
      <c r="J29" s="6">
        <f t="shared" si="3"/>
        <v>130052.65</v>
      </c>
      <c r="K29" s="6">
        <f t="shared" si="3"/>
        <v>50000</v>
      </c>
      <c r="L29" s="6">
        <f t="shared" si="3"/>
        <v>54000</v>
      </c>
      <c r="M29" s="6">
        <f t="shared" si="3"/>
        <v>234146.79</v>
      </c>
      <c r="N29" s="6">
        <f t="shared" si="3"/>
        <v>128963.8</v>
      </c>
      <c r="O29" s="6">
        <f t="shared" si="3"/>
        <v>114500.58</v>
      </c>
      <c r="P29" s="6">
        <f t="shared" si="3"/>
        <v>0</v>
      </c>
      <c r="Q29" s="6">
        <f t="shared" si="3"/>
        <v>129605.56</v>
      </c>
      <c r="R29" s="6">
        <f t="shared" si="3"/>
        <v>108537.61</v>
      </c>
      <c r="S29" s="6">
        <f t="shared" si="3"/>
        <v>70559.5</v>
      </c>
      <c r="T29" s="6">
        <f t="shared" si="3"/>
        <v>1030657.78</v>
      </c>
      <c r="U29" s="6">
        <f t="shared" si="3"/>
        <v>477140.80000000005</v>
      </c>
      <c r="V29" s="6">
        <f t="shared" si="3"/>
        <v>1163.97</v>
      </c>
      <c r="W29" s="6">
        <f t="shared" si="3"/>
        <v>985751.62</v>
      </c>
      <c r="X29" s="6">
        <f t="shared" si="3"/>
        <v>749474.69</v>
      </c>
      <c r="Y29" s="6">
        <f t="shared" si="3"/>
        <v>259978.96</v>
      </c>
      <c r="Z29" s="6">
        <f t="shared" si="3"/>
        <v>87292.52</v>
      </c>
      <c r="AA29" s="6">
        <f t="shared" si="3"/>
        <v>14910.08</v>
      </c>
      <c r="AB29" s="6">
        <f t="shared" si="3"/>
        <v>296862.40999999997</v>
      </c>
      <c r="AC29" s="6">
        <f t="shared" si="3"/>
        <v>780135.03</v>
      </c>
      <c r="AD29" s="6">
        <f t="shared" si="3"/>
        <v>305823.07</v>
      </c>
      <c r="AE29" s="6">
        <f t="shared" si="3"/>
        <v>656877.84</v>
      </c>
      <c r="AF29" s="6">
        <f t="shared" si="3"/>
        <v>6590</v>
      </c>
      <c r="AG29" s="6">
        <f t="shared" si="3"/>
        <v>13950.55</v>
      </c>
      <c r="AH29" s="6">
        <f t="shared" si="3"/>
        <v>86255.78</v>
      </c>
      <c r="AI29" s="6">
        <f t="shared" si="3"/>
        <v>40821.5</v>
      </c>
      <c r="AJ29" s="6">
        <f t="shared" si="3"/>
        <v>72830</v>
      </c>
      <c r="AK29" s="6">
        <f t="shared" si="3"/>
        <v>223845.3</v>
      </c>
      <c r="AL29" s="6">
        <f t="shared" si="3"/>
        <v>0</v>
      </c>
      <c r="AM29" s="6">
        <f>((((((((((((((((((((((((((((((((((((B29)+(C29))+(D29))+(E29))+(F29))+(G29))+(H29))+(I29))+(J29))+(K29))+(L29))+(M29))+(N29))+(O29))+(P29))+(Q29))+(R29))+(S29))+(T29))+(U29))+(V29))+(W29))+(X29))+(Y29))+(Z29))+(AA29))+(AB29))+(AC29))+(AD29))+(AE29))+(AF29))+(AG29))+(AH29))+(AI29))+(AJ29))+(AK29))+(AL29)</f>
        <v>11049847.18</v>
      </c>
    </row>
    <row r="30" spans="1:39" x14ac:dyDescent="0.25">
      <c r="A30" s="3" t="s">
        <v>62</v>
      </c>
      <c r="B30" s="6">
        <f t="shared" ref="B30:AL30" si="4">(B29)-(0)</f>
        <v>1428746.57</v>
      </c>
      <c r="C30" s="6">
        <f t="shared" si="4"/>
        <v>285.92</v>
      </c>
      <c r="D30" s="6">
        <f t="shared" si="4"/>
        <v>4712</v>
      </c>
      <c r="E30" s="6">
        <f t="shared" si="4"/>
        <v>568930.64</v>
      </c>
      <c r="F30" s="6">
        <f t="shared" si="4"/>
        <v>52001.86</v>
      </c>
      <c r="G30" s="6">
        <f t="shared" si="4"/>
        <v>1871913.63</v>
      </c>
      <c r="H30" s="6">
        <f t="shared" si="4"/>
        <v>5000</v>
      </c>
      <c r="I30" s="6">
        <f t="shared" si="4"/>
        <v>7528.17</v>
      </c>
      <c r="J30" s="6">
        <f t="shared" si="4"/>
        <v>130052.65</v>
      </c>
      <c r="K30" s="6">
        <f t="shared" si="4"/>
        <v>50000</v>
      </c>
      <c r="L30" s="6">
        <f t="shared" si="4"/>
        <v>54000</v>
      </c>
      <c r="M30" s="6">
        <f t="shared" si="4"/>
        <v>234146.79</v>
      </c>
      <c r="N30" s="6">
        <f t="shared" si="4"/>
        <v>128963.8</v>
      </c>
      <c r="O30" s="6">
        <f t="shared" si="4"/>
        <v>114500.58</v>
      </c>
      <c r="P30" s="6">
        <f t="shared" si="4"/>
        <v>0</v>
      </c>
      <c r="Q30" s="6">
        <f t="shared" si="4"/>
        <v>129605.56</v>
      </c>
      <c r="R30" s="6">
        <f t="shared" si="4"/>
        <v>108537.61</v>
      </c>
      <c r="S30" s="6">
        <f t="shared" si="4"/>
        <v>70559.5</v>
      </c>
      <c r="T30" s="6">
        <f t="shared" si="4"/>
        <v>1030657.78</v>
      </c>
      <c r="U30" s="6">
        <f t="shared" si="4"/>
        <v>477140.80000000005</v>
      </c>
      <c r="V30" s="6">
        <f t="shared" si="4"/>
        <v>1163.97</v>
      </c>
      <c r="W30" s="6">
        <f t="shared" si="4"/>
        <v>985751.62</v>
      </c>
      <c r="X30" s="6">
        <f t="shared" si="4"/>
        <v>749474.69</v>
      </c>
      <c r="Y30" s="6">
        <f t="shared" si="4"/>
        <v>259978.96</v>
      </c>
      <c r="Z30" s="6">
        <f t="shared" si="4"/>
        <v>87292.52</v>
      </c>
      <c r="AA30" s="6">
        <f t="shared" si="4"/>
        <v>14910.08</v>
      </c>
      <c r="AB30" s="6">
        <f t="shared" si="4"/>
        <v>296862.40999999997</v>
      </c>
      <c r="AC30" s="6">
        <f t="shared" si="4"/>
        <v>780135.03</v>
      </c>
      <c r="AD30" s="6">
        <f t="shared" si="4"/>
        <v>305823.07</v>
      </c>
      <c r="AE30" s="6">
        <f t="shared" si="4"/>
        <v>656877.84</v>
      </c>
      <c r="AF30" s="6">
        <f t="shared" si="4"/>
        <v>6590</v>
      </c>
      <c r="AG30" s="6">
        <f t="shared" si="4"/>
        <v>13950.55</v>
      </c>
      <c r="AH30" s="6">
        <f t="shared" si="4"/>
        <v>86255.78</v>
      </c>
      <c r="AI30" s="6">
        <f t="shared" si="4"/>
        <v>40821.5</v>
      </c>
      <c r="AJ30" s="6">
        <f t="shared" si="4"/>
        <v>72830</v>
      </c>
      <c r="AK30" s="6">
        <f t="shared" si="4"/>
        <v>223845.3</v>
      </c>
      <c r="AL30" s="6">
        <f t="shared" si="4"/>
        <v>0</v>
      </c>
      <c r="AM30" s="6">
        <f>((((((((((((((((((((((((((((((((((((B30)+(C30))+(D30))+(E30))+(F30))+(G30))+(H30))+(I30))+(J30))+(K30))+(L30))+(M30))+(N30))+(O30))+(P30))+(Q30))+(R30))+(S30))+(T30))+(U30))+(V30))+(W30))+(X30))+(Y30))+(Z30))+(AA30))+(AB30))+(AC30))+(AD30))+(AE30))+(AF30))+(AG30))+(AH30))+(AI30))+(AJ30))+(AK30))+(AL30)</f>
        <v>11049847.18</v>
      </c>
    </row>
    <row r="31" spans="1:39" x14ac:dyDescent="0.25">
      <c r="A31" s="3" t="s">
        <v>63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5">
      <c r="A32" s="3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5">
        <f>((((((((((((((((((((((((((((((((((((B32)+(C32))+(D32))+(E32))+(F32))+(G32))+(H32))+(I32))+(J32))+(K32))+(L32))+(M32))+(N32))+(O32))+(P32))+(Q32))+(R32))+(S32))+(T32))+(U32))+(V32))+(W32))+(X32))+(Y32))+(Z32))+(AA32))+(AB32))+(AC32))+(AD32))+(AE32))+(AF32))+(AG32))+(AH32))+(AI32))+(AJ32))+(AK32))+(AL32)</f>
        <v>0</v>
      </c>
    </row>
    <row r="33" spans="1:39" x14ac:dyDescent="0.25">
      <c r="A33" s="3" t="s">
        <v>65</v>
      </c>
      <c r="B33" s="5">
        <f>251199.19</f>
        <v>251199.19</v>
      </c>
      <c r="C33" s="4"/>
      <c r="D33" s="4"/>
      <c r="E33" s="5">
        <f>324147.35</f>
        <v>324147.34999999998</v>
      </c>
      <c r="F33" s="4"/>
      <c r="G33" s="5">
        <f>858759.67</f>
        <v>858759.67</v>
      </c>
      <c r="H33" s="4"/>
      <c r="I33" s="5">
        <f>5121.44</f>
        <v>5121.4399999999996</v>
      </c>
      <c r="J33" s="5">
        <f>80836.48</f>
        <v>80836.479999999996</v>
      </c>
      <c r="K33" s="4"/>
      <c r="L33" s="4"/>
      <c r="M33" s="5">
        <f>87076.72</f>
        <v>87076.72</v>
      </c>
      <c r="N33" s="5">
        <f>99781.58</f>
        <v>99781.58</v>
      </c>
      <c r="O33" s="4"/>
      <c r="P33" s="4"/>
      <c r="Q33" s="5">
        <f>1203.93</f>
        <v>1203.93</v>
      </c>
      <c r="R33" s="5">
        <f>-1457.39</f>
        <v>-1457.39</v>
      </c>
      <c r="S33" s="5">
        <f>53470.56</f>
        <v>53470.559999999998</v>
      </c>
      <c r="T33" s="5">
        <f>646511.45</f>
        <v>646511.44999999995</v>
      </c>
      <c r="U33" s="5">
        <f>113460</f>
        <v>113460</v>
      </c>
      <c r="V33" s="5">
        <f>1000</f>
        <v>1000</v>
      </c>
      <c r="W33" s="5">
        <f>165963.84</f>
        <v>165963.84</v>
      </c>
      <c r="X33" s="4"/>
      <c r="Y33" s="5">
        <f>63734.65</f>
        <v>63734.65</v>
      </c>
      <c r="Z33" s="4"/>
      <c r="AA33" s="5">
        <f>10432.8</f>
        <v>10432.799999999999</v>
      </c>
      <c r="AB33" s="5">
        <f>136876.84</f>
        <v>136876.84</v>
      </c>
      <c r="AC33" s="5">
        <f>413481.95</f>
        <v>413481.95</v>
      </c>
      <c r="AD33" s="5">
        <f>176783.96</f>
        <v>176783.96</v>
      </c>
      <c r="AE33" s="5">
        <f>279472.28</f>
        <v>279472.28000000003</v>
      </c>
      <c r="AF33" s="5">
        <f>2410.4</f>
        <v>2410.4</v>
      </c>
      <c r="AG33" s="5">
        <f>6923.3</f>
        <v>6923.3</v>
      </c>
      <c r="AH33" s="5">
        <f>60316.07</f>
        <v>60316.07</v>
      </c>
      <c r="AI33" s="5">
        <f>10000</f>
        <v>10000</v>
      </c>
      <c r="AJ33" s="5">
        <f>37064.97</f>
        <v>37064.97</v>
      </c>
      <c r="AK33" s="5">
        <f>25404.42</f>
        <v>25404.42</v>
      </c>
      <c r="AL33" s="4"/>
      <c r="AM33" s="5">
        <f>((((((((((((((((((((((((((((((((((((B33)+(C33))+(D33))+(E33))+(F33))+(G33))+(H33))+(I33))+(J33))+(K33))+(L33))+(M33))+(N33))+(O33))+(P33))+(Q33))+(R33))+(S33))+(T33))+(U33))+(V33))+(W33))+(X33))+(Y33))+(Z33))+(AA33))+(AB33))+(AC33))+(AD33))+(AE33))+(AF33))+(AG33))+(AH33))+(AI33))+(AJ33))+(AK33))+(AL33)</f>
        <v>3909976.4599999995</v>
      </c>
    </row>
    <row r="34" spans="1:39" x14ac:dyDescent="0.25">
      <c r="A34" s="3" t="s">
        <v>66</v>
      </c>
      <c r="B34" s="5">
        <f>258818.68</f>
        <v>258818.68</v>
      </c>
      <c r="C34" s="4"/>
      <c r="D34" s="4"/>
      <c r="E34" s="4"/>
      <c r="F34" s="5">
        <f>46125.12</f>
        <v>46125.120000000003</v>
      </c>
      <c r="G34" s="5">
        <f>224839.63</f>
        <v>224839.63</v>
      </c>
      <c r="H34" s="4"/>
      <c r="I34" s="4"/>
      <c r="J34" s="4"/>
      <c r="K34" s="4"/>
      <c r="L34" s="4"/>
      <c r="M34" s="4"/>
      <c r="N34" s="4"/>
      <c r="O34" s="5">
        <f>78862.84</f>
        <v>78862.84</v>
      </c>
      <c r="P34" s="4"/>
      <c r="Q34" s="4"/>
      <c r="R34" s="4"/>
      <c r="S34" s="4"/>
      <c r="T34" s="5">
        <f>38128.08</f>
        <v>38128.080000000002</v>
      </c>
      <c r="U34" s="4"/>
      <c r="V34" s="4"/>
      <c r="W34" s="5">
        <f>38450.02</f>
        <v>38450.019999999997</v>
      </c>
      <c r="X34" s="5">
        <f>496090.56</f>
        <v>496090.56</v>
      </c>
      <c r="Y34" s="4"/>
      <c r="Z34" s="5">
        <f>60000</f>
        <v>60000</v>
      </c>
      <c r="AA34" s="4"/>
      <c r="AB34" s="5">
        <f>14322.48</f>
        <v>14322.48</v>
      </c>
      <c r="AC34" s="5">
        <f>42987.82</f>
        <v>42987.82</v>
      </c>
      <c r="AD34" s="4"/>
      <c r="AE34" s="4"/>
      <c r="AF34" s="4"/>
      <c r="AG34" s="4"/>
      <c r="AH34" s="4"/>
      <c r="AI34" s="4"/>
      <c r="AJ34" s="4"/>
      <c r="AK34" s="4"/>
      <c r="AL34" s="4"/>
      <c r="AM34" s="5">
        <f>((((((((((((((((((((((((((((((((((((B34)+(C34))+(D34))+(E34))+(F34))+(G34))+(H34))+(I34))+(J34))+(K34))+(L34))+(M34))+(N34))+(O34))+(P34))+(Q34))+(R34))+(S34))+(T34))+(U34))+(V34))+(W34))+(X34))+(Y34))+(Z34))+(AA34))+(AB34))+(AC34))+(AD34))+(AE34))+(AF34))+(AG34))+(AH34))+(AI34))+(AJ34))+(AK34))+(AL34)</f>
        <v>1298625.23</v>
      </c>
    </row>
    <row r="35" spans="1:39" x14ac:dyDescent="0.25">
      <c r="A35" s="3" t="s">
        <v>67</v>
      </c>
      <c r="B35" s="6">
        <f t="shared" ref="B35:AL35" si="5">((B32)+(B33))+(B34)</f>
        <v>510017.87</v>
      </c>
      <c r="C35" s="6">
        <f t="shared" si="5"/>
        <v>0</v>
      </c>
      <c r="D35" s="6">
        <f t="shared" si="5"/>
        <v>0</v>
      </c>
      <c r="E35" s="6">
        <f t="shared" si="5"/>
        <v>324147.34999999998</v>
      </c>
      <c r="F35" s="6">
        <f t="shared" si="5"/>
        <v>46125.120000000003</v>
      </c>
      <c r="G35" s="6">
        <f t="shared" si="5"/>
        <v>1083599.3</v>
      </c>
      <c r="H35" s="6">
        <f t="shared" si="5"/>
        <v>0</v>
      </c>
      <c r="I35" s="6">
        <f t="shared" si="5"/>
        <v>5121.4399999999996</v>
      </c>
      <c r="J35" s="6">
        <f t="shared" si="5"/>
        <v>80836.479999999996</v>
      </c>
      <c r="K35" s="6">
        <f t="shared" si="5"/>
        <v>0</v>
      </c>
      <c r="L35" s="6">
        <f t="shared" si="5"/>
        <v>0</v>
      </c>
      <c r="M35" s="6">
        <f t="shared" si="5"/>
        <v>87076.72</v>
      </c>
      <c r="N35" s="6">
        <f t="shared" si="5"/>
        <v>99781.58</v>
      </c>
      <c r="O35" s="6">
        <f t="shared" si="5"/>
        <v>78862.84</v>
      </c>
      <c r="P35" s="6">
        <f t="shared" si="5"/>
        <v>0</v>
      </c>
      <c r="Q35" s="6">
        <f t="shared" si="5"/>
        <v>1203.93</v>
      </c>
      <c r="R35" s="6">
        <f t="shared" si="5"/>
        <v>-1457.39</v>
      </c>
      <c r="S35" s="6">
        <f t="shared" si="5"/>
        <v>53470.559999999998</v>
      </c>
      <c r="T35" s="6">
        <f t="shared" si="5"/>
        <v>684639.52999999991</v>
      </c>
      <c r="U35" s="6">
        <f t="shared" si="5"/>
        <v>113460</v>
      </c>
      <c r="V35" s="6">
        <f t="shared" si="5"/>
        <v>1000</v>
      </c>
      <c r="W35" s="6">
        <f t="shared" si="5"/>
        <v>204413.86</v>
      </c>
      <c r="X35" s="6">
        <f t="shared" si="5"/>
        <v>496090.56</v>
      </c>
      <c r="Y35" s="6">
        <f t="shared" si="5"/>
        <v>63734.65</v>
      </c>
      <c r="Z35" s="6">
        <f t="shared" si="5"/>
        <v>60000</v>
      </c>
      <c r="AA35" s="6">
        <f t="shared" si="5"/>
        <v>10432.799999999999</v>
      </c>
      <c r="AB35" s="6">
        <f t="shared" si="5"/>
        <v>151199.32</v>
      </c>
      <c r="AC35" s="6">
        <f t="shared" si="5"/>
        <v>456469.77</v>
      </c>
      <c r="AD35" s="6">
        <f t="shared" si="5"/>
        <v>176783.96</v>
      </c>
      <c r="AE35" s="6">
        <f t="shared" si="5"/>
        <v>279472.28000000003</v>
      </c>
      <c r="AF35" s="6">
        <f t="shared" si="5"/>
        <v>2410.4</v>
      </c>
      <c r="AG35" s="6">
        <f t="shared" si="5"/>
        <v>6923.3</v>
      </c>
      <c r="AH35" s="6">
        <f t="shared" si="5"/>
        <v>60316.07</v>
      </c>
      <c r="AI35" s="6">
        <f t="shared" si="5"/>
        <v>10000</v>
      </c>
      <c r="AJ35" s="6">
        <f t="shared" si="5"/>
        <v>37064.97</v>
      </c>
      <c r="AK35" s="6">
        <f t="shared" si="5"/>
        <v>25404.42</v>
      </c>
      <c r="AL35" s="6">
        <f t="shared" si="5"/>
        <v>0</v>
      </c>
      <c r="AM35" s="6">
        <f>((((((((((((((((((((((((((((((((((((B35)+(C35))+(D35))+(E35))+(F35))+(G35))+(H35))+(I35))+(J35))+(K35))+(L35))+(M35))+(N35))+(O35))+(P35))+(Q35))+(R35))+(S35))+(T35))+(U35))+(V35))+(W35))+(X35))+(Y35))+(Z35))+(AA35))+(AB35))+(AC35))+(AD35))+(AE35))+(AF35))+(AG35))+(AH35))+(AI35))+(AJ35))+(AK35))+(AL35)</f>
        <v>5208601.6899999995</v>
      </c>
    </row>
    <row r="36" spans="1:39" x14ac:dyDescent="0.25">
      <c r="A36" s="3" t="s">
        <v>68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>
        <f>0</f>
        <v>0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>
        <f>((((((((((((((((((((((((((((((((((((B36)+(C36))+(D36))+(E36))+(F36))+(G36))+(H36))+(I36))+(J36))+(K36))+(L36))+(M36))+(N36))+(O36))+(P36))+(Q36))+(R36))+(S36))+(T36))+(U36))+(V36))+(W36))+(X36))+(Y36))+(Z36))+(AA36))+(AB36))+(AC36))+(AD36))+(AE36))+(AF36))+(AG36))+(AH36))+(AI36))+(AJ36))+(AK36))+(AL36)</f>
        <v>0</v>
      </c>
    </row>
    <row r="37" spans="1:39" x14ac:dyDescent="0.25">
      <c r="A37" s="3" t="s">
        <v>69</v>
      </c>
      <c r="B37" s="4"/>
      <c r="C37" s="4"/>
      <c r="D37" s="4"/>
      <c r="E37" s="5">
        <f>183.58</f>
        <v>183.58</v>
      </c>
      <c r="F37" s="4"/>
      <c r="G37" s="4"/>
      <c r="H37" s="4"/>
      <c r="I37" s="5">
        <f>0.69</f>
        <v>0.69</v>
      </c>
      <c r="J37" s="5">
        <f>11.31</f>
        <v>11.31</v>
      </c>
      <c r="K37" s="4"/>
      <c r="L37" s="4"/>
      <c r="M37" s="5">
        <f>12.84</f>
        <v>12.84</v>
      </c>
      <c r="N37" s="4"/>
      <c r="O37" s="4"/>
      <c r="P37" s="4"/>
      <c r="Q37" s="5">
        <f>0.19</f>
        <v>0.19</v>
      </c>
      <c r="R37" s="5">
        <f>-134.5</f>
        <v>-134.5</v>
      </c>
      <c r="S37" s="4"/>
      <c r="T37" s="4"/>
      <c r="U37" s="4"/>
      <c r="V37" s="4"/>
      <c r="W37" s="5">
        <f>16.16</f>
        <v>16.16</v>
      </c>
      <c r="X37" s="4"/>
      <c r="Y37" s="5">
        <f>14</f>
        <v>14</v>
      </c>
      <c r="Z37" s="4"/>
      <c r="AA37" s="4"/>
      <c r="AB37" s="5">
        <f>19.71</f>
        <v>19.71</v>
      </c>
      <c r="AC37" s="5">
        <f>66.06</f>
        <v>66.06</v>
      </c>
      <c r="AD37" s="5">
        <f>20.88</f>
        <v>20.88</v>
      </c>
      <c r="AE37" s="5">
        <f>33.56</f>
        <v>33.56</v>
      </c>
      <c r="AF37" s="5">
        <f>1</f>
        <v>1</v>
      </c>
      <c r="AG37" s="5">
        <f>0.5</f>
        <v>0.5</v>
      </c>
      <c r="AH37" s="5">
        <f>2.8</f>
        <v>2.8</v>
      </c>
      <c r="AI37" s="4"/>
      <c r="AJ37" s="4"/>
      <c r="AK37" s="5">
        <f>3.72</f>
        <v>3.72</v>
      </c>
      <c r="AL37" s="4"/>
      <c r="AM37" s="5">
        <f>((((((((((((((((((((((((((((((((((((B37)+(C37))+(D37))+(E37))+(F37))+(G37))+(H37))+(I37))+(J37))+(K37))+(L37))+(M37))+(N37))+(O37))+(P37))+(Q37))+(R37))+(S37))+(T37))+(U37))+(V37))+(W37))+(X37))+(Y37))+(Z37))+(AA37))+(AB37))+(AC37))+(AD37))+(AE37))+(AF37))+(AG37))+(AH37))+(AI37))+(AJ37))+(AK37))+(AL37)</f>
        <v>252.50000000000003</v>
      </c>
    </row>
    <row r="38" spans="1:39" x14ac:dyDescent="0.25">
      <c r="A38" s="3" t="s">
        <v>70</v>
      </c>
      <c r="B38" s="5">
        <f>14585.28</f>
        <v>14585.28</v>
      </c>
      <c r="C38" s="4"/>
      <c r="D38" s="4"/>
      <c r="E38" s="4"/>
      <c r="F38" s="5">
        <f>2563.04</f>
        <v>2563.04</v>
      </c>
      <c r="G38" s="5">
        <f>12658.45</f>
        <v>12658.45</v>
      </c>
      <c r="H38" s="4"/>
      <c r="I38" s="4"/>
      <c r="J38" s="4"/>
      <c r="K38" s="4"/>
      <c r="L38" s="4"/>
      <c r="M38" s="4"/>
      <c r="N38" s="4"/>
      <c r="O38" s="5">
        <f>4623.57</f>
        <v>4623.57</v>
      </c>
      <c r="P38" s="4"/>
      <c r="Q38" s="4"/>
      <c r="R38" s="4"/>
      <c r="S38" s="4"/>
      <c r="T38" s="5">
        <f>2407.97</f>
        <v>2407.9699999999998</v>
      </c>
      <c r="U38" s="4"/>
      <c r="V38" s="4"/>
      <c r="W38" s="5">
        <f>2331.2</f>
        <v>2331.1999999999998</v>
      </c>
      <c r="X38" s="5">
        <f>29437.58</f>
        <v>29437.58</v>
      </c>
      <c r="Y38" s="4"/>
      <c r="Z38" s="5">
        <f>3614.95</f>
        <v>3614.95</v>
      </c>
      <c r="AA38" s="5">
        <f>0</f>
        <v>0</v>
      </c>
      <c r="AB38" s="5">
        <f>879.92</f>
        <v>879.92</v>
      </c>
      <c r="AC38" s="5">
        <f>2629.3</f>
        <v>2629.3</v>
      </c>
      <c r="AD38" s="4"/>
      <c r="AE38" s="4"/>
      <c r="AF38" s="4"/>
      <c r="AG38" s="4"/>
      <c r="AH38" s="4"/>
      <c r="AI38" s="4"/>
      <c r="AJ38" s="4"/>
      <c r="AK38" s="4"/>
      <c r="AL38" s="4"/>
      <c r="AM38" s="5">
        <f>((((((((((((((((((((((((((((((((((((B38)+(C38))+(D38))+(E38))+(F38))+(G38))+(H38))+(I38))+(J38))+(K38))+(L38))+(M38))+(N38))+(O38))+(P38))+(Q38))+(R38))+(S38))+(T38))+(U38))+(V38))+(W38))+(X38))+(Y38))+(Z38))+(AA38))+(AB38))+(AC38))+(AD38))+(AE38))+(AF38))+(AG38))+(AH38))+(AI38))+(AJ38))+(AK38))+(AL38)</f>
        <v>75731.259999999995</v>
      </c>
    </row>
    <row r="39" spans="1:39" x14ac:dyDescent="0.25">
      <c r="A39" s="3" t="s">
        <v>71</v>
      </c>
      <c r="B39" s="5">
        <f>6984.35</f>
        <v>6984.35</v>
      </c>
      <c r="C39" s="4"/>
      <c r="D39" s="4"/>
      <c r="E39" s="5">
        <f>4575.4</f>
        <v>4575.3999999999996</v>
      </c>
      <c r="F39" s="5">
        <f>599.42</f>
        <v>599.41999999999996</v>
      </c>
      <c r="G39" s="5">
        <f>14833.6</f>
        <v>14833.6</v>
      </c>
      <c r="H39" s="4"/>
      <c r="I39" s="5">
        <f>71.66</f>
        <v>71.66</v>
      </c>
      <c r="J39" s="5">
        <f>1214.09</f>
        <v>1214.0899999999999</v>
      </c>
      <c r="K39" s="4"/>
      <c r="L39" s="4"/>
      <c r="M39" s="5">
        <f>813.72</f>
        <v>813.72</v>
      </c>
      <c r="N39" s="5">
        <f>1291.88</f>
        <v>1291.8800000000001</v>
      </c>
      <c r="O39" s="5">
        <f>1081.35</f>
        <v>1081.3499999999999</v>
      </c>
      <c r="P39" s="4"/>
      <c r="Q39" s="5">
        <f>17.46</f>
        <v>17.46</v>
      </c>
      <c r="R39" s="5">
        <f>-21.09</f>
        <v>-21.09</v>
      </c>
      <c r="S39" s="5">
        <f>764.41</f>
        <v>764.41</v>
      </c>
      <c r="T39" s="5">
        <f>6297.63</f>
        <v>6297.63</v>
      </c>
      <c r="U39" s="5">
        <f>751.17</f>
        <v>751.17</v>
      </c>
      <c r="V39" s="5">
        <f>14.5</f>
        <v>14.5</v>
      </c>
      <c r="W39" s="5">
        <f>2726.87</f>
        <v>2726.87</v>
      </c>
      <c r="X39" s="5">
        <f>6884.71</f>
        <v>6884.71</v>
      </c>
      <c r="Y39" s="5">
        <f>901.59</f>
        <v>901.59</v>
      </c>
      <c r="Z39" s="5">
        <f>845.47</f>
        <v>845.47</v>
      </c>
      <c r="AA39" s="5">
        <f>151.27</f>
        <v>151.27000000000001</v>
      </c>
      <c r="AB39" s="5">
        <f>2109.15</f>
        <v>2109.15</v>
      </c>
      <c r="AC39" s="5">
        <f>6366.36</f>
        <v>6366.36</v>
      </c>
      <c r="AD39" s="5">
        <f>2298.51</f>
        <v>2298.5100000000002</v>
      </c>
      <c r="AE39" s="5">
        <f>3982.41</f>
        <v>3982.41</v>
      </c>
      <c r="AF39" s="5">
        <f>32.96</f>
        <v>32.96</v>
      </c>
      <c r="AG39" s="5">
        <f>91.57</f>
        <v>91.57</v>
      </c>
      <c r="AH39" s="5">
        <f>859.86</f>
        <v>859.86</v>
      </c>
      <c r="AI39" s="4"/>
      <c r="AJ39" s="5">
        <f>466.9</f>
        <v>466.9</v>
      </c>
      <c r="AK39" s="5">
        <f>343.86</f>
        <v>343.86</v>
      </c>
      <c r="AL39" s="4"/>
      <c r="AM39" s="5">
        <f>((((((((((((((((((((((((((((((((((((B39)+(C39))+(D39))+(E39))+(F39))+(G39))+(H39))+(I39))+(J39))+(K39))+(L39))+(M39))+(N39))+(O39))+(P39))+(Q39))+(R39))+(S39))+(T39))+(U39))+(V39))+(W39))+(X39))+(Y39))+(Z39))+(AA39))+(AB39))+(AC39))+(AD39))+(AE39))+(AF39))+(AG39))+(AH39))+(AI39))+(AJ39))+(AK39))+(AL39)</f>
        <v>67351.040000000008</v>
      </c>
    </row>
    <row r="40" spans="1:39" x14ac:dyDescent="0.25">
      <c r="A40" s="3" t="s">
        <v>72</v>
      </c>
      <c r="B40" s="5">
        <f>11327.72</f>
        <v>11327.72</v>
      </c>
      <c r="C40" s="4"/>
      <c r="D40" s="4"/>
      <c r="E40" s="5">
        <f>52663.29</f>
        <v>52663.29</v>
      </c>
      <c r="F40" s="4"/>
      <c r="G40" s="5">
        <f>25957.4</f>
        <v>25957.4</v>
      </c>
      <c r="H40" s="4"/>
      <c r="I40" s="5">
        <f>845.42</f>
        <v>845.42</v>
      </c>
      <c r="J40" s="5">
        <f>13857.7</f>
        <v>13857.7</v>
      </c>
      <c r="K40" s="4"/>
      <c r="L40" s="4"/>
      <c r="M40" s="5">
        <f>9271.68</f>
        <v>9271.68</v>
      </c>
      <c r="N40" s="5">
        <f>4112.24</f>
        <v>4112.24</v>
      </c>
      <c r="O40" s="4"/>
      <c r="P40" s="4"/>
      <c r="Q40" s="5">
        <f>193.89</f>
        <v>193.89</v>
      </c>
      <c r="R40" s="5">
        <f>-114.49</f>
        <v>-114.49</v>
      </c>
      <c r="S40" s="5">
        <f>1604.16</f>
        <v>1604.16</v>
      </c>
      <c r="T40" s="5">
        <f>22193.58</f>
        <v>22193.58</v>
      </c>
      <c r="U40" s="5">
        <f>1603.92</f>
        <v>1603.92</v>
      </c>
      <c r="V40" s="4"/>
      <c r="W40" s="5">
        <f>24013.27</f>
        <v>24013.27</v>
      </c>
      <c r="X40" s="4"/>
      <c r="Y40" s="5">
        <f>10533.49</f>
        <v>10533.49</v>
      </c>
      <c r="Z40" s="4"/>
      <c r="AA40" s="5">
        <f>1434.54</f>
        <v>1434.54</v>
      </c>
      <c r="AB40" s="5">
        <f>22159.36</f>
        <v>22159.360000000001</v>
      </c>
      <c r="AC40" s="5">
        <f>66937.31</f>
        <v>66937.31</v>
      </c>
      <c r="AD40" s="5">
        <f>23798.26</f>
        <v>23798.26</v>
      </c>
      <c r="AE40" s="5">
        <f>45760.14</f>
        <v>45760.14</v>
      </c>
      <c r="AF40" s="5">
        <f>119.4</f>
        <v>119.4</v>
      </c>
      <c r="AG40" s="5">
        <f>358.12</f>
        <v>358.12</v>
      </c>
      <c r="AH40" s="5">
        <f>8290.55</f>
        <v>8290.5499999999993</v>
      </c>
      <c r="AI40" s="4"/>
      <c r="AJ40" s="5">
        <f>5283.6</f>
        <v>5283.6</v>
      </c>
      <c r="AK40" s="5">
        <f>3657.48</f>
        <v>3657.48</v>
      </c>
      <c r="AL40" s="4"/>
      <c r="AM40" s="5">
        <f>((((((((((((((((((((((((((((((((((((B40)+(C40))+(D40))+(E40))+(F40))+(G40))+(H40))+(I40))+(J40))+(K40))+(L40))+(M40))+(N40))+(O40))+(P40))+(Q40))+(R40))+(S40))+(T40))+(U40))+(V40))+(W40))+(X40))+(Y40))+(Z40))+(AA40))+(AB40))+(AC40))+(AD40))+(AE40))+(AF40))+(AG40))+(AH40))+(AI40))+(AJ40))+(AK40))+(AL40)</f>
        <v>355862.02999999997</v>
      </c>
    </row>
    <row r="41" spans="1:39" x14ac:dyDescent="0.25">
      <c r="A41" s="3" t="s">
        <v>73</v>
      </c>
      <c r="B41" s="5">
        <f>68879.33</f>
        <v>68879.33</v>
      </c>
      <c r="C41" s="4"/>
      <c r="D41" s="4"/>
      <c r="E41" s="4"/>
      <c r="F41" s="4"/>
      <c r="G41" s="5">
        <f>58036.45</f>
        <v>58036.45</v>
      </c>
      <c r="H41" s="4"/>
      <c r="I41" s="4"/>
      <c r="J41" s="4"/>
      <c r="K41" s="4"/>
      <c r="L41" s="4"/>
      <c r="M41" s="4"/>
      <c r="N41" s="4"/>
      <c r="O41" s="5">
        <f>21127.31</f>
        <v>21127.31</v>
      </c>
      <c r="P41" s="4"/>
      <c r="Q41" s="4"/>
      <c r="R41" s="4"/>
      <c r="S41" s="4"/>
      <c r="T41" s="5">
        <f>10214.4</f>
        <v>10214.4</v>
      </c>
      <c r="U41" s="4"/>
      <c r="V41" s="4"/>
      <c r="W41" s="5">
        <f>8438.08</f>
        <v>8438.08</v>
      </c>
      <c r="X41" s="5">
        <f>125755.97</f>
        <v>125755.97</v>
      </c>
      <c r="Y41" s="4"/>
      <c r="Z41" s="5">
        <f>16074</f>
        <v>16074</v>
      </c>
      <c r="AA41" s="4"/>
      <c r="AB41" s="5">
        <f>2395.32</f>
        <v>2395.3200000000002</v>
      </c>
      <c r="AC41" s="5">
        <f>4073.78</f>
        <v>4073.78</v>
      </c>
      <c r="AD41" s="4"/>
      <c r="AE41" s="4"/>
      <c r="AF41" s="4"/>
      <c r="AG41" s="4"/>
      <c r="AH41" s="4"/>
      <c r="AI41" s="4"/>
      <c r="AJ41" s="4"/>
      <c r="AK41" s="4"/>
      <c r="AL41" s="4"/>
      <c r="AM41" s="5">
        <f>((((((((((((((((((((((((((((((((((((B41)+(C41))+(D41))+(E41))+(F41))+(G41))+(H41))+(I41))+(J41))+(K41))+(L41))+(M41))+(N41))+(O41))+(P41))+(Q41))+(R41))+(S41))+(T41))+(U41))+(V41))+(W41))+(X41))+(Y41))+(Z41))+(AA41))+(AB41))+(AC41))+(AD41))+(AE41))+(AF41))+(AG41))+(AH41))+(AI41))+(AJ41))+(AK41))+(AL41)</f>
        <v>314994.64</v>
      </c>
    </row>
    <row r="42" spans="1:39" x14ac:dyDescent="0.25">
      <c r="A42" s="3" t="s">
        <v>74</v>
      </c>
      <c r="B42" s="4"/>
      <c r="C42" s="4"/>
      <c r="D42" s="4"/>
      <c r="E42" s="5">
        <f>37918.21</f>
        <v>37918.21</v>
      </c>
      <c r="F42" s="4"/>
      <c r="G42" s="4"/>
      <c r="H42" s="4"/>
      <c r="I42" s="5">
        <f>845.43</f>
        <v>845.43</v>
      </c>
      <c r="J42" s="5">
        <f>13857.69</f>
        <v>13857.69</v>
      </c>
      <c r="K42" s="4"/>
      <c r="L42" s="4"/>
      <c r="M42" s="5">
        <f>2755.08</f>
        <v>2755.08</v>
      </c>
      <c r="N42" s="4"/>
      <c r="O42" s="4"/>
      <c r="P42" s="4"/>
      <c r="Q42" s="5">
        <f>212.78</f>
        <v>212.78</v>
      </c>
      <c r="R42" s="5">
        <f>-245.65</f>
        <v>-245.65</v>
      </c>
      <c r="S42" s="4"/>
      <c r="T42" s="4"/>
      <c r="U42" s="4"/>
      <c r="V42" s="4"/>
      <c r="W42" s="5">
        <f>15559.51</f>
        <v>15559.51</v>
      </c>
      <c r="X42" s="5">
        <f>7967.52</f>
        <v>7967.52</v>
      </c>
      <c r="Y42" s="5">
        <f>9659.02</f>
        <v>9659.02</v>
      </c>
      <c r="Z42" s="4"/>
      <c r="AA42" s="4"/>
      <c r="AB42" s="5">
        <f>13996.75</f>
        <v>13996.75</v>
      </c>
      <c r="AC42" s="5">
        <f>48333.36</f>
        <v>48333.36</v>
      </c>
      <c r="AD42" s="5">
        <f>14447.88</f>
        <v>14447.88</v>
      </c>
      <c r="AE42" s="5">
        <f>22368.06</f>
        <v>22368.06</v>
      </c>
      <c r="AF42" s="5">
        <f>1225.02</f>
        <v>1225.02</v>
      </c>
      <c r="AG42" s="5">
        <f>689.16</f>
        <v>689.16</v>
      </c>
      <c r="AH42" s="5">
        <f>490</f>
        <v>490</v>
      </c>
      <c r="AI42" s="4"/>
      <c r="AJ42" s="4"/>
      <c r="AK42" s="5">
        <f>3943.71</f>
        <v>3943.71</v>
      </c>
      <c r="AL42" s="4"/>
      <c r="AM42" s="5">
        <f>((((((((((((((((((((((((((((((((((((B42)+(C42))+(D42))+(E42))+(F42))+(G42))+(H42))+(I42))+(J42))+(K42))+(L42))+(M42))+(N42))+(O42))+(P42))+(Q42))+(R42))+(S42))+(T42))+(U42))+(V42))+(W42))+(X42))+(Y42))+(Z42))+(AA42))+(AB42))+(AC42))+(AD42))+(AE42))+(AF42))+(AG42))+(AH42))+(AI42))+(AJ42))+(AK42))+(AL42)</f>
        <v>194023.53</v>
      </c>
    </row>
    <row r="43" spans="1:39" x14ac:dyDescent="0.25">
      <c r="A43" s="3" t="s">
        <v>75</v>
      </c>
      <c r="B43" s="5">
        <f>1157.07</f>
        <v>1157.07</v>
      </c>
      <c r="C43" s="4"/>
      <c r="D43" s="4"/>
      <c r="E43" s="5">
        <f>240</f>
        <v>240</v>
      </c>
      <c r="F43" s="5">
        <f>60</f>
        <v>60</v>
      </c>
      <c r="G43" s="5">
        <f>1846.78</f>
        <v>1846.78</v>
      </c>
      <c r="H43" s="4"/>
      <c r="I43" s="4"/>
      <c r="J43" s="5">
        <f>120</f>
        <v>120</v>
      </c>
      <c r="K43" s="4"/>
      <c r="L43" s="4"/>
      <c r="M43" s="5">
        <f>60</f>
        <v>60</v>
      </c>
      <c r="N43" s="5">
        <f>180</f>
        <v>180</v>
      </c>
      <c r="O43" s="5">
        <f>60</f>
        <v>60</v>
      </c>
      <c r="P43" s="4"/>
      <c r="Q43" s="4"/>
      <c r="R43" s="4"/>
      <c r="S43" s="5">
        <f>120</f>
        <v>120</v>
      </c>
      <c r="T43" s="5">
        <f>805.99</f>
        <v>805.99</v>
      </c>
      <c r="U43" s="5">
        <f>60</f>
        <v>60</v>
      </c>
      <c r="V43" s="4"/>
      <c r="W43" s="5">
        <f>225</f>
        <v>225</v>
      </c>
      <c r="X43" s="5">
        <f>738.67</f>
        <v>738.67</v>
      </c>
      <c r="Y43" s="4"/>
      <c r="Z43" s="5">
        <f>60</f>
        <v>60</v>
      </c>
      <c r="AA43" s="4"/>
      <c r="AB43" s="4"/>
      <c r="AC43" s="5">
        <f>603.87</f>
        <v>603.87</v>
      </c>
      <c r="AD43" s="5">
        <f>300</f>
        <v>300</v>
      </c>
      <c r="AE43" s="5">
        <f>240</f>
        <v>240</v>
      </c>
      <c r="AF43" s="4"/>
      <c r="AG43" s="4"/>
      <c r="AH43" s="4"/>
      <c r="AI43" s="4"/>
      <c r="AJ43" s="4"/>
      <c r="AK43" s="4"/>
      <c r="AL43" s="4"/>
      <c r="AM43" s="5">
        <f>((((((((((((((((((((((((((((((((((((B43)+(C43))+(D43))+(E43))+(F43))+(G43))+(H43))+(I43))+(J43))+(K43))+(L43))+(M43))+(N43))+(O43))+(P43))+(Q43))+(R43))+(S43))+(T43))+(U43))+(V43))+(W43))+(X43))+(Y43))+(Z43))+(AA43))+(AB43))+(AC43))+(AD43))+(AE43))+(AF43))+(AG43))+(AH43))+(AI43))+(AJ43))+(AK43))+(AL43)</f>
        <v>6877.38</v>
      </c>
    </row>
    <row r="44" spans="1:39" x14ac:dyDescent="0.25">
      <c r="A44" s="3" t="s">
        <v>76</v>
      </c>
      <c r="B44" s="5">
        <f>-12092</f>
        <v>-12092</v>
      </c>
      <c r="C44" s="4"/>
      <c r="D44" s="4"/>
      <c r="E44" s="5">
        <f>1346</f>
        <v>1346</v>
      </c>
      <c r="F44" s="5">
        <f>178</f>
        <v>178</v>
      </c>
      <c r="G44" s="5">
        <f>3665</f>
        <v>3665</v>
      </c>
      <c r="H44" s="4"/>
      <c r="I44" s="4"/>
      <c r="J44" s="5">
        <f>292</f>
        <v>292</v>
      </c>
      <c r="K44" s="4"/>
      <c r="L44" s="4"/>
      <c r="M44" s="5">
        <f>394</f>
        <v>394</v>
      </c>
      <c r="N44" s="5">
        <f>385</f>
        <v>385</v>
      </c>
      <c r="O44" s="5">
        <f>264</f>
        <v>264</v>
      </c>
      <c r="P44" s="4"/>
      <c r="Q44" s="4"/>
      <c r="R44" s="4"/>
      <c r="S44" s="5">
        <f>206</f>
        <v>206</v>
      </c>
      <c r="T44" s="5">
        <f>2364</f>
        <v>2364</v>
      </c>
      <c r="U44" s="5">
        <f>438</f>
        <v>438</v>
      </c>
      <c r="V44" s="4"/>
      <c r="W44" s="5">
        <f>713.25</f>
        <v>713.25</v>
      </c>
      <c r="X44" s="5">
        <f>1900</f>
        <v>1900</v>
      </c>
      <c r="Y44" s="5">
        <f>436</f>
        <v>436</v>
      </c>
      <c r="Z44" s="5">
        <f>232</f>
        <v>232</v>
      </c>
      <c r="AA44" s="4"/>
      <c r="AB44" s="4"/>
      <c r="AC44" s="5">
        <f>2239</f>
        <v>2239</v>
      </c>
      <c r="AD44" s="5">
        <f>721</f>
        <v>721</v>
      </c>
      <c r="AE44" s="5">
        <f>1058</f>
        <v>1058</v>
      </c>
      <c r="AF44" s="4"/>
      <c r="AG44" s="5">
        <f>36</f>
        <v>36</v>
      </c>
      <c r="AH44" s="5">
        <f>66</f>
        <v>66</v>
      </c>
      <c r="AI44" s="4"/>
      <c r="AJ44" s="4"/>
      <c r="AK44" s="4"/>
      <c r="AL44" s="4"/>
      <c r="AM44" s="5">
        <f>((((((((((((((((((((((((((((((((((((B44)+(C44))+(D44))+(E44))+(F44))+(G44))+(H44))+(I44))+(J44))+(K44))+(L44))+(M44))+(N44))+(O44))+(P44))+(Q44))+(R44))+(S44))+(T44))+(U44))+(V44))+(W44))+(X44))+(Y44))+(Z44))+(AA44))+(AB44))+(AC44))+(AD44))+(AE44))+(AF44))+(AG44))+(AH44))+(AI44))+(AJ44))+(AK44))+(AL44)</f>
        <v>4841.25</v>
      </c>
    </row>
    <row r="45" spans="1:39" x14ac:dyDescent="0.25">
      <c r="A45" s="3" t="s">
        <v>77</v>
      </c>
      <c r="B45" s="5">
        <f>110448</f>
        <v>110448</v>
      </c>
      <c r="C45" s="4"/>
      <c r="D45" s="4"/>
      <c r="E45" s="5">
        <f>6479.16</f>
        <v>6479.16</v>
      </c>
      <c r="F45" s="4"/>
      <c r="G45" s="5">
        <f>5000</f>
        <v>5000</v>
      </c>
      <c r="H45" s="4"/>
      <c r="I45" s="4"/>
      <c r="J45" s="5">
        <f>1616.69</f>
        <v>1616.69</v>
      </c>
      <c r="K45" s="4"/>
      <c r="L45" s="4"/>
      <c r="M45" s="4"/>
      <c r="N45" s="4"/>
      <c r="O45" s="4"/>
      <c r="P45" s="4"/>
      <c r="Q45" s="4"/>
      <c r="R45" s="4"/>
      <c r="S45" s="5">
        <f>534.72</f>
        <v>534.72</v>
      </c>
      <c r="T45" s="5">
        <f>13431.43</f>
        <v>13431.43</v>
      </c>
      <c r="U45" s="5">
        <f>1069.2</f>
        <v>1069.2</v>
      </c>
      <c r="V45" s="4"/>
      <c r="W45" s="5">
        <f>2195.94</f>
        <v>2195.94</v>
      </c>
      <c r="X45" s="4"/>
      <c r="Y45" s="5">
        <f>1283.31</f>
        <v>1283.31</v>
      </c>
      <c r="Z45" s="4"/>
      <c r="AA45" s="4"/>
      <c r="AB45" s="4"/>
      <c r="AC45" s="4"/>
      <c r="AD45" s="5">
        <f>3534.26</f>
        <v>3534.26</v>
      </c>
      <c r="AE45" s="5">
        <f>5389.49</f>
        <v>5389.49</v>
      </c>
      <c r="AF45" s="4"/>
      <c r="AG45" s="4"/>
      <c r="AH45" s="5">
        <f>1206.32</f>
        <v>1206.32</v>
      </c>
      <c r="AI45" s="5">
        <f>200</f>
        <v>200</v>
      </c>
      <c r="AJ45" s="5">
        <f>741.3</f>
        <v>741.3</v>
      </c>
      <c r="AK45" s="4"/>
      <c r="AL45" s="4"/>
      <c r="AM45" s="5">
        <f>((((((((((((((((((((((((((((((((((((B45)+(C45))+(D45))+(E45))+(F45))+(G45))+(H45))+(I45))+(J45))+(K45))+(L45))+(M45))+(N45))+(O45))+(P45))+(Q45))+(R45))+(S45))+(T45))+(U45))+(V45))+(W45))+(X45))+(Y45))+(Z45))+(AA45))+(AB45))+(AC45))+(AD45))+(AE45))+(AF45))+(AG45))+(AH45))+(AI45))+(AJ45))+(AK45))+(AL45)</f>
        <v>153129.82</v>
      </c>
    </row>
    <row r="46" spans="1:39" x14ac:dyDescent="0.25">
      <c r="A46" s="3" t="s">
        <v>78</v>
      </c>
      <c r="B46" s="4"/>
      <c r="C46" s="4"/>
      <c r="D46" s="4"/>
      <c r="E46" s="5">
        <f>393.64</f>
        <v>393.64</v>
      </c>
      <c r="F46" s="4"/>
      <c r="G46" s="4"/>
      <c r="H46" s="4"/>
      <c r="I46" s="5">
        <f>5.52</f>
        <v>5.52</v>
      </c>
      <c r="J46" s="5">
        <f>90.48</f>
        <v>90.48</v>
      </c>
      <c r="K46" s="4"/>
      <c r="L46" s="4"/>
      <c r="M46" s="5">
        <f>102.72</f>
        <v>102.72</v>
      </c>
      <c r="N46" s="4"/>
      <c r="O46" s="4"/>
      <c r="P46" s="4"/>
      <c r="Q46" s="5">
        <f>1.52</f>
        <v>1.52</v>
      </c>
      <c r="R46" s="5">
        <f>-1</f>
        <v>-1</v>
      </c>
      <c r="S46" s="4"/>
      <c r="T46" s="4"/>
      <c r="U46" s="4"/>
      <c r="V46" s="4"/>
      <c r="W46" s="5">
        <f>129.28</f>
        <v>129.28</v>
      </c>
      <c r="X46" s="4"/>
      <c r="Y46" s="5">
        <f>112</f>
        <v>112</v>
      </c>
      <c r="Z46" s="4"/>
      <c r="AA46" s="4"/>
      <c r="AB46" s="5">
        <f>157.68</f>
        <v>157.68</v>
      </c>
      <c r="AC46" s="5">
        <f>528.48</f>
        <v>528.48</v>
      </c>
      <c r="AD46" s="5">
        <f>167.04</f>
        <v>167.04</v>
      </c>
      <c r="AE46" s="5">
        <f>268.48</f>
        <v>268.48</v>
      </c>
      <c r="AF46" s="5">
        <f>8</f>
        <v>8</v>
      </c>
      <c r="AG46" s="5">
        <f>4</f>
        <v>4</v>
      </c>
      <c r="AH46" s="5">
        <f>22.4</f>
        <v>22.4</v>
      </c>
      <c r="AI46" s="4"/>
      <c r="AJ46" s="4"/>
      <c r="AK46" s="5">
        <f>29.76</f>
        <v>29.76</v>
      </c>
      <c r="AL46" s="4"/>
      <c r="AM46" s="5">
        <f>((((((((((((((((((((((((((((((((((((B46)+(C46))+(D46))+(E46))+(F46))+(G46))+(H46))+(I46))+(J46))+(K46))+(L46))+(M46))+(N46))+(O46))+(P46))+(Q46))+(R46))+(S46))+(T46))+(U46))+(V46))+(W46))+(X46))+(Y46))+(Z46))+(AA46))+(AB46))+(AC46))+(AD46))+(AE46))+(AF46))+(AG46))+(AH46))+(AI46))+(AJ46))+(AK46))+(AL46)</f>
        <v>2020</v>
      </c>
    </row>
    <row r="47" spans="1:39" x14ac:dyDescent="0.25">
      <c r="A47" s="3" t="s">
        <v>79</v>
      </c>
      <c r="B47" s="6">
        <f t="shared" ref="B47:AL47" si="6">((((((((((B36)+(B37))+(B38))+(B39))+(B40))+(B41))+(B42))+(B43))+(B44))+(B45))+(B46)</f>
        <v>201289.75</v>
      </c>
      <c r="C47" s="6">
        <f t="shared" si="6"/>
        <v>0</v>
      </c>
      <c r="D47" s="6">
        <f t="shared" si="6"/>
        <v>0</v>
      </c>
      <c r="E47" s="6">
        <f t="shared" si="6"/>
        <v>103799.28000000001</v>
      </c>
      <c r="F47" s="6">
        <f t="shared" si="6"/>
        <v>3400.46</v>
      </c>
      <c r="G47" s="6">
        <f t="shared" si="6"/>
        <v>121997.68</v>
      </c>
      <c r="H47" s="6">
        <f t="shared" si="6"/>
        <v>0</v>
      </c>
      <c r="I47" s="6">
        <f t="shared" si="6"/>
        <v>1768.7199999999998</v>
      </c>
      <c r="J47" s="6">
        <f t="shared" si="6"/>
        <v>31059.96</v>
      </c>
      <c r="K47" s="6">
        <f t="shared" si="6"/>
        <v>0</v>
      </c>
      <c r="L47" s="6">
        <f t="shared" si="6"/>
        <v>0</v>
      </c>
      <c r="M47" s="6">
        <f t="shared" si="6"/>
        <v>13410.039999999999</v>
      </c>
      <c r="N47" s="6">
        <f t="shared" si="6"/>
        <v>5969.12</v>
      </c>
      <c r="O47" s="6">
        <f t="shared" si="6"/>
        <v>27156.230000000003</v>
      </c>
      <c r="P47" s="6">
        <f t="shared" si="6"/>
        <v>0</v>
      </c>
      <c r="Q47" s="6">
        <f t="shared" si="6"/>
        <v>425.84</v>
      </c>
      <c r="R47" s="6">
        <f t="shared" si="6"/>
        <v>-516.73</v>
      </c>
      <c r="S47" s="6">
        <f t="shared" si="6"/>
        <v>3229.29</v>
      </c>
      <c r="T47" s="6">
        <f t="shared" si="6"/>
        <v>57715</v>
      </c>
      <c r="U47" s="6">
        <f t="shared" si="6"/>
        <v>3922.29</v>
      </c>
      <c r="V47" s="6">
        <f t="shared" si="6"/>
        <v>14.5</v>
      </c>
      <c r="W47" s="6">
        <f t="shared" si="6"/>
        <v>56348.560000000005</v>
      </c>
      <c r="X47" s="6">
        <f t="shared" si="6"/>
        <v>172684.45</v>
      </c>
      <c r="Y47" s="6">
        <f t="shared" si="6"/>
        <v>22939.41</v>
      </c>
      <c r="Z47" s="6">
        <f t="shared" si="6"/>
        <v>20826.419999999998</v>
      </c>
      <c r="AA47" s="6">
        <f t="shared" si="6"/>
        <v>1585.81</v>
      </c>
      <c r="AB47" s="6">
        <f t="shared" si="6"/>
        <v>41717.89</v>
      </c>
      <c r="AC47" s="6">
        <f t="shared" si="6"/>
        <v>131777.51999999999</v>
      </c>
      <c r="AD47" s="6">
        <f t="shared" si="6"/>
        <v>45287.83</v>
      </c>
      <c r="AE47" s="6">
        <f t="shared" si="6"/>
        <v>79100.14</v>
      </c>
      <c r="AF47" s="6">
        <f t="shared" si="6"/>
        <v>1386.38</v>
      </c>
      <c r="AG47" s="6">
        <f t="shared" si="6"/>
        <v>1179.3499999999999</v>
      </c>
      <c r="AH47" s="6">
        <f t="shared" si="6"/>
        <v>10937.929999999998</v>
      </c>
      <c r="AI47" s="6">
        <f t="shared" si="6"/>
        <v>200</v>
      </c>
      <c r="AJ47" s="6">
        <f t="shared" si="6"/>
        <v>6491.8</v>
      </c>
      <c r="AK47" s="6">
        <f t="shared" si="6"/>
        <v>7978.5300000000007</v>
      </c>
      <c r="AL47" s="6">
        <f t="shared" si="6"/>
        <v>0</v>
      </c>
      <c r="AM47" s="6">
        <f>((((((((((((((((((((((((((((((((((((B47)+(C47))+(D47))+(E47))+(F47))+(G47))+(H47))+(I47))+(J47))+(K47))+(L47))+(M47))+(N47))+(O47))+(P47))+(Q47))+(R47))+(S47))+(T47))+(U47))+(V47))+(W47))+(X47))+(Y47))+(Z47))+(AA47))+(AB47))+(AC47))+(AD47))+(AE47))+(AF47))+(AG47))+(AH47))+(AI47))+(AJ47))+(AK47))+(AL47)</f>
        <v>1175083.4500000002</v>
      </c>
    </row>
    <row r="48" spans="1:39" x14ac:dyDescent="0.25">
      <c r="A48" s="3" t="s">
        <v>80</v>
      </c>
      <c r="B48" s="5">
        <f>0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>
        <f>1294</f>
        <v>1294</v>
      </c>
      <c r="AE48" s="5">
        <f>11275</f>
        <v>11275</v>
      </c>
      <c r="AF48" s="4"/>
      <c r="AG48" s="4"/>
      <c r="AH48" s="4"/>
      <c r="AI48" s="4"/>
      <c r="AJ48" s="4"/>
      <c r="AK48" s="4"/>
      <c r="AL48" s="4"/>
      <c r="AM48" s="5">
        <f>((((((((((((((((((((((((((((((((((((B48)+(C48))+(D48))+(E48))+(F48))+(G48))+(H48))+(I48))+(J48))+(K48))+(L48))+(M48))+(N48))+(O48))+(P48))+(Q48))+(R48))+(S48))+(T48))+(U48))+(V48))+(W48))+(X48))+(Y48))+(Z48))+(AA48))+(AB48))+(AC48))+(AD48))+(AE48))+(AF48))+(AG48))+(AH48))+(AI48))+(AJ48))+(AK48))+(AL48)</f>
        <v>12569</v>
      </c>
    </row>
    <row r="49" spans="1:39" x14ac:dyDescent="0.25">
      <c r="A49" s="3" t="s">
        <v>81</v>
      </c>
      <c r="B49" s="5">
        <f>23334.05</f>
        <v>23334.05</v>
      </c>
      <c r="C49" s="4"/>
      <c r="D49" s="4"/>
      <c r="E49" s="5">
        <f>926.75</f>
        <v>926.75</v>
      </c>
      <c r="F49" s="4"/>
      <c r="G49" s="5">
        <f>118824.87</f>
        <v>118824.87</v>
      </c>
      <c r="H49" s="5">
        <f>3000</f>
        <v>3000</v>
      </c>
      <c r="I49" s="4"/>
      <c r="J49" s="5">
        <f>0</f>
        <v>0</v>
      </c>
      <c r="K49" s="5">
        <f>50000</f>
        <v>50000</v>
      </c>
      <c r="L49" s="4"/>
      <c r="M49" s="4"/>
      <c r="N49" s="5">
        <f>207.76</f>
        <v>207.76</v>
      </c>
      <c r="O49" s="4"/>
      <c r="P49" s="4"/>
      <c r="Q49" s="5">
        <f>800</f>
        <v>800</v>
      </c>
      <c r="R49" s="5">
        <f>58330</f>
        <v>58330</v>
      </c>
      <c r="S49" s="5">
        <f>10</f>
        <v>10</v>
      </c>
      <c r="T49" s="5">
        <f>175.75</f>
        <v>175.75</v>
      </c>
      <c r="U49" s="5">
        <f>15</f>
        <v>15</v>
      </c>
      <c r="V49" s="5">
        <f>63.25</f>
        <v>63.25</v>
      </c>
      <c r="W49" s="5">
        <f>170.05</f>
        <v>170.05</v>
      </c>
      <c r="X49" s="5">
        <f>357.5</f>
        <v>357.5</v>
      </c>
      <c r="Y49" s="4"/>
      <c r="Z49" s="4"/>
      <c r="AA49" s="4"/>
      <c r="AB49" s="5">
        <f>10279.28</f>
        <v>10279.280000000001</v>
      </c>
      <c r="AC49" s="5">
        <f>21751.06</f>
        <v>21751.06</v>
      </c>
      <c r="AD49" s="5">
        <f>-51.25</f>
        <v>-51.25</v>
      </c>
      <c r="AE49" s="5">
        <f>10071.25</f>
        <v>10071.25</v>
      </c>
      <c r="AF49" s="4"/>
      <c r="AG49" s="4"/>
      <c r="AH49" s="5">
        <f>1695.63</f>
        <v>1695.63</v>
      </c>
      <c r="AI49" s="4"/>
      <c r="AJ49" s="5">
        <f>189.75</f>
        <v>189.75</v>
      </c>
      <c r="AK49" s="4"/>
      <c r="AL49" s="5">
        <f>0</f>
        <v>0</v>
      </c>
      <c r="AM49" s="5">
        <f>((((((((((((((((((((((((((((((((((((B49)+(C49))+(D49))+(E49))+(F49))+(G49))+(H49))+(I49))+(J49))+(K49))+(L49))+(M49))+(N49))+(O49))+(P49))+(Q49))+(R49))+(S49))+(T49))+(U49))+(V49))+(W49))+(X49))+(Y49))+(Z49))+(AA49))+(AB49))+(AC49))+(AD49))+(AE49))+(AF49))+(AG49))+(AH49))+(AI49))+(AJ49))+(AK49))+(AL49)</f>
        <v>300150.7</v>
      </c>
    </row>
    <row r="50" spans="1:39" x14ac:dyDescent="0.25">
      <c r="A50" s="3" t="s">
        <v>82</v>
      </c>
      <c r="B50" s="5">
        <f>21000</f>
        <v>21000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5">
        <f>0</f>
        <v>0</v>
      </c>
      <c r="AM50" s="5">
        <f>((((((((((((((((((((((((((((((((((((B50)+(C50))+(D50))+(E50))+(F50))+(G50))+(H50))+(I50))+(J50))+(K50))+(L50))+(M50))+(N50))+(O50))+(P50))+(Q50))+(R50))+(S50))+(T50))+(U50))+(V50))+(W50))+(X50))+(Y50))+(Z50))+(AA50))+(AB50))+(AC50))+(AD50))+(AE50))+(AF50))+(AG50))+(AH50))+(AI50))+(AJ50))+(AK50))+(AL50)</f>
        <v>21000</v>
      </c>
    </row>
    <row r="51" spans="1:39" x14ac:dyDescent="0.25">
      <c r="A51" s="3" t="s">
        <v>83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>
        <f>3117.55</f>
        <v>3117.55</v>
      </c>
      <c r="AD51" s="4"/>
      <c r="AE51" s="4"/>
      <c r="AF51" s="4"/>
      <c r="AG51" s="4"/>
      <c r="AH51" s="4"/>
      <c r="AI51" s="4"/>
      <c r="AJ51" s="4"/>
      <c r="AK51" s="4"/>
      <c r="AL51" s="4"/>
      <c r="AM51" s="5">
        <f>((((((((((((((((((((((((((((((((((((B51)+(C51))+(D51))+(E51))+(F51))+(G51))+(H51))+(I51))+(J51))+(K51))+(L51))+(M51))+(N51))+(O51))+(P51))+(Q51))+(R51))+(S51))+(T51))+(U51))+(V51))+(W51))+(X51))+(Y51))+(Z51))+(AA51))+(AB51))+(AC51))+(AD51))+(AE51))+(AF51))+(AG51))+(AH51))+(AI51))+(AJ51))+(AK51))+(AL51)</f>
        <v>3117.55</v>
      </c>
    </row>
    <row r="52" spans="1:39" x14ac:dyDescent="0.25">
      <c r="A52" s="3" t="s">
        <v>84</v>
      </c>
      <c r="B52" s="5">
        <f>9631.82</f>
        <v>9631.82</v>
      </c>
      <c r="C52" s="4"/>
      <c r="D52" s="4"/>
      <c r="E52" s="4"/>
      <c r="F52" s="4"/>
      <c r="G52" s="5">
        <f>7630.67</f>
        <v>7630.67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>
        <f>41.33</f>
        <v>41.33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5">
        <f>((((((((((((((((((((((((((((((((((((B52)+(C52))+(D52))+(E52))+(F52))+(G52))+(H52))+(I52))+(J52))+(K52))+(L52))+(M52))+(N52))+(O52))+(P52))+(Q52))+(R52))+(S52))+(T52))+(U52))+(V52))+(W52))+(X52))+(Y52))+(Z52))+(AA52))+(AB52))+(AC52))+(AD52))+(AE52))+(AF52))+(AG52))+(AH52))+(AI52))+(AJ52))+(AK52))+(AL52)</f>
        <v>17303.82</v>
      </c>
    </row>
    <row r="53" spans="1:39" x14ac:dyDescent="0.25">
      <c r="A53" s="3" t="s">
        <v>85</v>
      </c>
      <c r="B53" s="5">
        <f>12244.76</f>
        <v>12244.76</v>
      </c>
      <c r="C53" s="4"/>
      <c r="D53" s="4"/>
      <c r="E53" s="5">
        <f>1455.84</f>
        <v>1455.84</v>
      </c>
      <c r="F53" s="4"/>
      <c r="G53" s="5">
        <f>14395.2</f>
        <v>14395.2</v>
      </c>
      <c r="H53" s="4"/>
      <c r="I53" s="4"/>
      <c r="J53" s="5">
        <f>242.64</f>
        <v>242.64</v>
      </c>
      <c r="K53" s="4"/>
      <c r="L53" s="4"/>
      <c r="M53" s="5">
        <f>242.64</f>
        <v>242.64</v>
      </c>
      <c r="N53" s="5">
        <f>485.28</f>
        <v>485.28</v>
      </c>
      <c r="O53" s="4"/>
      <c r="P53" s="4"/>
      <c r="Q53" s="4"/>
      <c r="R53" s="4"/>
      <c r="S53" s="5">
        <f>242.64</f>
        <v>242.64</v>
      </c>
      <c r="T53" s="4"/>
      <c r="U53" s="4"/>
      <c r="V53" s="4"/>
      <c r="W53" s="5">
        <f>721.98</f>
        <v>721.98</v>
      </c>
      <c r="X53" s="4"/>
      <c r="Y53" s="4"/>
      <c r="Z53" s="4"/>
      <c r="AA53" s="4"/>
      <c r="AB53" s="5">
        <f>727.92</f>
        <v>727.92</v>
      </c>
      <c r="AC53" s="5">
        <f>1707.84</f>
        <v>1707.84</v>
      </c>
      <c r="AD53" s="5">
        <f>485.28</f>
        <v>485.28</v>
      </c>
      <c r="AE53" s="5">
        <f>727.92</f>
        <v>727.92</v>
      </c>
      <c r="AF53" s="4"/>
      <c r="AG53" s="4"/>
      <c r="AH53" s="4"/>
      <c r="AI53" s="4"/>
      <c r="AJ53" s="4"/>
      <c r="AK53" s="5">
        <f>60.66</f>
        <v>60.66</v>
      </c>
      <c r="AL53" s="4"/>
      <c r="AM53" s="5">
        <f>((((((((((((((((((((((((((((((((((((B53)+(C53))+(D53))+(E53))+(F53))+(G53))+(H53))+(I53))+(J53))+(K53))+(L53))+(M53))+(N53))+(O53))+(P53))+(Q53))+(R53))+(S53))+(T53))+(U53))+(V53))+(W53))+(X53))+(Y53))+(Z53))+(AA53))+(AB53))+(AC53))+(AD53))+(AE53))+(AF53))+(AG53))+(AH53))+(AI53))+(AJ53))+(AK53))+(AL53)</f>
        <v>33740.6</v>
      </c>
    </row>
    <row r="54" spans="1:39" x14ac:dyDescent="0.25">
      <c r="A54" s="3" t="s">
        <v>86</v>
      </c>
      <c r="B54" s="6">
        <f t="shared" ref="B54:AL54" si="7">(((((B48)+(B49))+(B50))+(B51))+(B52))+(B53)</f>
        <v>66210.63</v>
      </c>
      <c r="C54" s="6">
        <f t="shared" si="7"/>
        <v>0</v>
      </c>
      <c r="D54" s="6">
        <f t="shared" si="7"/>
        <v>0</v>
      </c>
      <c r="E54" s="6">
        <f t="shared" si="7"/>
        <v>2382.59</v>
      </c>
      <c r="F54" s="6">
        <f t="shared" si="7"/>
        <v>0</v>
      </c>
      <c r="G54" s="6">
        <f t="shared" si="7"/>
        <v>140850.74</v>
      </c>
      <c r="H54" s="6">
        <f t="shared" si="7"/>
        <v>3000</v>
      </c>
      <c r="I54" s="6">
        <f t="shared" si="7"/>
        <v>0</v>
      </c>
      <c r="J54" s="6">
        <f t="shared" si="7"/>
        <v>242.64</v>
      </c>
      <c r="K54" s="6">
        <f t="shared" si="7"/>
        <v>50000</v>
      </c>
      <c r="L54" s="6">
        <f t="shared" si="7"/>
        <v>0</v>
      </c>
      <c r="M54" s="6">
        <f t="shared" si="7"/>
        <v>242.64</v>
      </c>
      <c r="N54" s="6">
        <f t="shared" si="7"/>
        <v>693.04</v>
      </c>
      <c r="O54" s="6">
        <f t="shared" si="7"/>
        <v>0</v>
      </c>
      <c r="P54" s="6">
        <f t="shared" si="7"/>
        <v>0</v>
      </c>
      <c r="Q54" s="6">
        <f t="shared" si="7"/>
        <v>800</v>
      </c>
      <c r="R54" s="6">
        <f t="shared" si="7"/>
        <v>58330</v>
      </c>
      <c r="S54" s="6">
        <f t="shared" si="7"/>
        <v>252.64</v>
      </c>
      <c r="T54" s="6">
        <f t="shared" si="7"/>
        <v>175.75</v>
      </c>
      <c r="U54" s="6">
        <f t="shared" si="7"/>
        <v>15</v>
      </c>
      <c r="V54" s="6">
        <f t="shared" si="7"/>
        <v>63.25</v>
      </c>
      <c r="W54" s="6">
        <f t="shared" si="7"/>
        <v>892.03</v>
      </c>
      <c r="X54" s="6">
        <f t="shared" si="7"/>
        <v>398.83</v>
      </c>
      <c r="Y54" s="6">
        <f t="shared" si="7"/>
        <v>0</v>
      </c>
      <c r="Z54" s="6">
        <f t="shared" si="7"/>
        <v>0</v>
      </c>
      <c r="AA54" s="6">
        <f t="shared" si="7"/>
        <v>0</v>
      </c>
      <c r="AB54" s="6">
        <f t="shared" si="7"/>
        <v>11007.2</v>
      </c>
      <c r="AC54" s="6">
        <f t="shared" si="7"/>
        <v>26576.45</v>
      </c>
      <c r="AD54" s="6">
        <f t="shared" si="7"/>
        <v>1728.03</v>
      </c>
      <c r="AE54" s="6">
        <f t="shared" si="7"/>
        <v>22074.17</v>
      </c>
      <c r="AF54" s="6">
        <f t="shared" si="7"/>
        <v>0</v>
      </c>
      <c r="AG54" s="6">
        <f t="shared" si="7"/>
        <v>0</v>
      </c>
      <c r="AH54" s="6">
        <f t="shared" si="7"/>
        <v>1695.63</v>
      </c>
      <c r="AI54" s="6">
        <f t="shared" si="7"/>
        <v>0</v>
      </c>
      <c r="AJ54" s="6">
        <f t="shared" si="7"/>
        <v>189.75</v>
      </c>
      <c r="AK54" s="6">
        <f t="shared" si="7"/>
        <v>60.66</v>
      </c>
      <c r="AL54" s="6">
        <f t="shared" si="7"/>
        <v>0</v>
      </c>
      <c r="AM54" s="6">
        <f>((((((((((((((((((((((((((((((((((((B54)+(C54))+(D54))+(E54))+(F54))+(G54))+(H54))+(I54))+(J54))+(K54))+(L54))+(M54))+(N54))+(O54))+(P54))+(Q54))+(R54))+(S54))+(T54))+(U54))+(V54))+(W54))+(X54))+(Y54))+(Z54))+(AA54))+(AB54))+(AC54))+(AD54))+(AE54))+(AF54))+(AG54))+(AH54))+(AI54))+(AJ54))+(AK54))+(AL54)</f>
        <v>387881.67000000004</v>
      </c>
    </row>
    <row r="55" spans="1:39" x14ac:dyDescent="0.25">
      <c r="A55" s="3" t="s">
        <v>87</v>
      </c>
      <c r="B55" s="5">
        <f>66258.11</f>
        <v>66258.11</v>
      </c>
      <c r="C55" s="4"/>
      <c r="D55" s="4"/>
      <c r="E55" s="5">
        <f>500</f>
        <v>500</v>
      </c>
      <c r="F55" s="4"/>
      <c r="G55" s="5">
        <f>6062.44</f>
        <v>6062.44</v>
      </c>
      <c r="H55" s="4"/>
      <c r="I55" s="4"/>
      <c r="J55" s="5">
        <f>80</f>
        <v>80</v>
      </c>
      <c r="K55" s="4"/>
      <c r="L55" s="5">
        <f>50000</f>
        <v>50000</v>
      </c>
      <c r="M55" s="5">
        <f>50941.1</f>
        <v>50941.1</v>
      </c>
      <c r="N55" s="5">
        <f>1715.55</f>
        <v>1715.55</v>
      </c>
      <c r="O55" s="4"/>
      <c r="P55" s="4"/>
      <c r="Q55" s="4"/>
      <c r="R55" s="4"/>
      <c r="S55" s="4"/>
      <c r="T55" s="4"/>
      <c r="U55" s="4"/>
      <c r="V55" s="4"/>
      <c r="W55" s="5">
        <f>112598</f>
        <v>112598</v>
      </c>
      <c r="X55" s="4"/>
      <c r="Y55" s="4"/>
      <c r="Z55" s="4"/>
      <c r="AA55" s="5">
        <f>1795</f>
        <v>1795</v>
      </c>
      <c r="AB55" s="4"/>
      <c r="AC55" s="4"/>
      <c r="AD55" s="5">
        <f>80</f>
        <v>80</v>
      </c>
      <c r="AE55" s="5">
        <f>79573.83</f>
        <v>79573.83</v>
      </c>
      <c r="AF55" s="4"/>
      <c r="AG55" s="4"/>
      <c r="AH55" s="5">
        <f>170</f>
        <v>170</v>
      </c>
      <c r="AI55" s="4"/>
      <c r="AJ55" s="5">
        <f>170</f>
        <v>170</v>
      </c>
      <c r="AK55" s="5">
        <f>7583</f>
        <v>7583</v>
      </c>
      <c r="AL55" s="5">
        <f>0</f>
        <v>0</v>
      </c>
      <c r="AM55" s="5">
        <f>((((((((((((((((((((((((((((((((((((B55)+(C55))+(D55))+(E55))+(F55))+(G55))+(H55))+(I55))+(J55))+(K55))+(L55))+(M55))+(N55))+(O55))+(P55))+(Q55))+(R55))+(S55))+(T55))+(U55))+(V55))+(W55))+(X55))+(Y55))+(Z55))+(AA55))+(AB55))+(AC55))+(AD55))+(AE55))+(AF55))+(AG55))+(AH55))+(AI55))+(AJ55))+(AK55))+(AL55)</f>
        <v>377527.02999999997</v>
      </c>
    </row>
    <row r="56" spans="1:39" x14ac:dyDescent="0.25">
      <c r="A56" s="3" t="s">
        <v>88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">
        <f>((((((((((((((((((((((((((((((((((((B56)+(C56))+(D56))+(E56))+(F56))+(G56))+(H56))+(I56))+(J56))+(K56))+(L56))+(M56))+(N56))+(O56))+(P56))+(Q56))+(R56))+(S56))+(T56))+(U56))+(V56))+(W56))+(X56))+(Y56))+(Z56))+(AA56))+(AB56))+(AC56))+(AD56))+(AE56))+(AF56))+(AG56))+(AH56))+(AI56))+(AJ56))+(AK56))+(AL56)</f>
        <v>0</v>
      </c>
    </row>
    <row r="57" spans="1:39" x14ac:dyDescent="0.25">
      <c r="A57" s="3" t="s">
        <v>89</v>
      </c>
      <c r="B57" s="5">
        <f>1019.22</f>
        <v>1019.22</v>
      </c>
      <c r="C57" s="4"/>
      <c r="D57" s="4"/>
      <c r="E57" s="4"/>
      <c r="F57" s="4"/>
      <c r="G57" s="5">
        <f>2827.38</f>
        <v>2827.38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>
        <f>((((((((((((((((((((((((((((((((((((B57)+(C57))+(D57))+(E57))+(F57))+(G57))+(H57))+(I57))+(J57))+(K57))+(L57))+(M57))+(N57))+(O57))+(P57))+(Q57))+(R57))+(S57))+(T57))+(U57))+(V57))+(W57))+(X57))+(Y57))+(Z57))+(AA57))+(AB57))+(AC57))+(AD57))+(AE57))+(AF57))+(AG57))+(AH57))+(AI57))+(AJ57))+(AK57))+(AL57)</f>
        <v>3846.6000000000004</v>
      </c>
    </row>
    <row r="58" spans="1:39" x14ac:dyDescent="0.25">
      <c r="A58" s="3" t="s">
        <v>90</v>
      </c>
      <c r="B58" s="5">
        <f>3047.55</f>
        <v>3047.55</v>
      </c>
      <c r="C58" s="4"/>
      <c r="D58" s="4"/>
      <c r="E58" s="4"/>
      <c r="F58" s="4"/>
      <c r="G58" s="5">
        <f>6187.45</f>
        <v>6187.45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>
        <f>((((((((((((((((((((((((((((((((((((B58)+(C58))+(D58))+(E58))+(F58))+(G58))+(H58))+(I58))+(J58))+(K58))+(L58))+(M58))+(N58))+(O58))+(P58))+(Q58))+(R58))+(S58))+(T58))+(U58))+(V58))+(W58))+(X58))+(Y58))+(Z58))+(AA58))+(AB58))+(AC58))+(AD58))+(AE58))+(AF58))+(AG58))+(AH58))+(AI58))+(AJ58))+(AK58))+(AL58)</f>
        <v>9235</v>
      </c>
    </row>
    <row r="59" spans="1:39" x14ac:dyDescent="0.25">
      <c r="A59" s="3" t="s">
        <v>91</v>
      </c>
      <c r="B59" s="5">
        <f>3154.09</f>
        <v>3154.09</v>
      </c>
      <c r="C59" s="4"/>
      <c r="D59" s="4"/>
      <c r="E59" s="4"/>
      <c r="F59" s="4"/>
      <c r="G59" s="5">
        <f>6231.18</f>
        <v>6231.18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5">
        <f>((((((((((((((((((((((((((((((((((((B59)+(C59))+(D59))+(E59))+(F59))+(G59))+(H59))+(I59))+(J59))+(K59))+(L59))+(M59))+(N59))+(O59))+(P59))+(Q59))+(R59))+(S59))+(T59))+(U59))+(V59))+(W59))+(X59))+(Y59))+(Z59))+(AA59))+(AB59))+(AC59))+(AD59))+(AE59))+(AF59))+(AG59))+(AH59))+(AI59))+(AJ59))+(AK59))+(AL59)</f>
        <v>9385.27</v>
      </c>
    </row>
    <row r="60" spans="1:39" x14ac:dyDescent="0.25">
      <c r="A60" s="3" t="s">
        <v>92</v>
      </c>
      <c r="B60" s="5">
        <f>23230.14</f>
        <v>23230.14</v>
      </c>
      <c r="C60" s="4"/>
      <c r="D60" s="4"/>
      <c r="E60" s="4"/>
      <c r="F60" s="4"/>
      <c r="G60" s="5">
        <f>68717.04</f>
        <v>68717.039999999994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5">
        <f>7990</f>
        <v>7990</v>
      </c>
      <c r="AJ60" s="4"/>
      <c r="AK60" s="4"/>
      <c r="AL60" s="4"/>
      <c r="AM60" s="5">
        <f>((((((((((((((((((((((((((((((((((((B60)+(C60))+(D60))+(E60))+(F60))+(G60))+(H60))+(I60))+(J60))+(K60))+(L60))+(M60))+(N60))+(O60))+(P60))+(Q60))+(R60))+(S60))+(T60))+(U60))+(V60))+(W60))+(X60))+(Y60))+(Z60))+(AA60))+(AB60))+(AC60))+(AD60))+(AE60))+(AF60))+(AG60))+(AH60))+(AI60))+(AJ60))+(AK60))+(AL60)</f>
        <v>99937.18</v>
      </c>
    </row>
    <row r="61" spans="1:39" x14ac:dyDescent="0.25">
      <c r="A61" s="3" t="s">
        <v>93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5">
        <f>3500</f>
        <v>3500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5">
        <f>700</f>
        <v>700</v>
      </c>
      <c r="V61" s="4"/>
      <c r="W61" s="4"/>
      <c r="X61" s="4"/>
      <c r="Y61" s="4"/>
      <c r="Z61" s="4"/>
      <c r="AA61" s="4"/>
      <c r="AB61" s="5">
        <f>40000</f>
        <v>40000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5">
        <f>((((((((((((((((((((((((((((((((((((B61)+(C61))+(D61))+(E61))+(F61))+(G61))+(H61))+(I61))+(J61))+(K61))+(L61))+(M61))+(N61))+(O61))+(P61))+(Q61))+(R61))+(S61))+(T61))+(U61))+(V61))+(W61))+(X61))+(Y61))+(Z61))+(AA61))+(AB61))+(AC61))+(AD61))+(AE61))+(AF61))+(AG61))+(AH61))+(AI61))+(AJ61))+(AK61))+(AL61)</f>
        <v>58200</v>
      </c>
    </row>
    <row r="62" spans="1:39" x14ac:dyDescent="0.25">
      <c r="A62" s="3" t="s">
        <v>94</v>
      </c>
      <c r="B62" s="5">
        <f>19507.35</f>
        <v>19507.349999999999</v>
      </c>
      <c r="C62" s="4"/>
      <c r="D62" s="4"/>
      <c r="E62" s="4"/>
      <c r="F62" s="4"/>
      <c r="G62" s="5">
        <f>37672.62</f>
        <v>37672.620000000003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5">
        <f>((((((((((((((((((((((((((((((((((((B62)+(C62))+(D62))+(E62))+(F62))+(G62))+(H62))+(I62))+(J62))+(K62))+(L62))+(M62))+(N62))+(O62))+(P62))+(Q62))+(R62))+(S62))+(T62))+(U62))+(V62))+(W62))+(X62))+(Y62))+(Z62))+(AA62))+(AB62))+(AC62))+(AD62))+(AE62))+(AF62))+(AG62))+(AH62))+(AI62))+(AJ62))+(AK62))+(AL62)</f>
        <v>57179.97</v>
      </c>
    </row>
    <row r="63" spans="1:39" x14ac:dyDescent="0.25">
      <c r="A63" s="3" t="s">
        <v>95</v>
      </c>
      <c r="B63" s="5">
        <f>8132.95</f>
        <v>8132.95</v>
      </c>
      <c r="C63" s="4"/>
      <c r="D63" s="4"/>
      <c r="E63" s="5">
        <f>516.14</f>
        <v>516.14</v>
      </c>
      <c r="F63" s="4"/>
      <c r="G63" s="5">
        <f>7330.59</f>
        <v>7330.59</v>
      </c>
      <c r="H63" s="4"/>
      <c r="I63" s="4"/>
      <c r="J63" s="5">
        <f>42</f>
        <v>42</v>
      </c>
      <c r="K63" s="4"/>
      <c r="L63" s="4"/>
      <c r="M63" s="4"/>
      <c r="N63" s="5">
        <f>5836.32</f>
        <v>5836.32</v>
      </c>
      <c r="O63" s="4"/>
      <c r="P63" s="4"/>
      <c r="Q63" s="4"/>
      <c r="R63" s="5">
        <f>84</f>
        <v>84</v>
      </c>
      <c r="S63" s="4"/>
      <c r="T63" s="4"/>
      <c r="U63" s="5">
        <f>1715.27</f>
        <v>1715.27</v>
      </c>
      <c r="V63" s="4"/>
      <c r="W63" s="5">
        <f>191.31</f>
        <v>191.31</v>
      </c>
      <c r="X63" s="4"/>
      <c r="Y63" s="4"/>
      <c r="Z63" s="4"/>
      <c r="AA63" s="4"/>
      <c r="AB63" s="5">
        <f>150</f>
        <v>150</v>
      </c>
      <c r="AC63" s="5">
        <f>1723.35</f>
        <v>1723.35</v>
      </c>
      <c r="AD63" s="5">
        <f>26.34</f>
        <v>26.34</v>
      </c>
      <c r="AE63" s="5">
        <f>299.39</f>
        <v>299.39</v>
      </c>
      <c r="AF63" s="5">
        <f>1999.96</f>
        <v>1999.96</v>
      </c>
      <c r="AG63" s="5">
        <f>3202.27</f>
        <v>3202.27</v>
      </c>
      <c r="AH63" s="4"/>
      <c r="AI63" s="4"/>
      <c r="AJ63" s="5">
        <f>216.33</f>
        <v>216.33</v>
      </c>
      <c r="AK63" s="4"/>
      <c r="AL63" s="4"/>
      <c r="AM63" s="5">
        <f>((((((((((((((((((((((((((((((((((((B63)+(C63))+(D63))+(E63))+(F63))+(G63))+(H63))+(I63))+(J63))+(K63))+(L63))+(M63))+(N63))+(O63))+(P63))+(Q63))+(R63))+(S63))+(T63))+(U63))+(V63))+(W63))+(X63))+(Y63))+(Z63))+(AA63))+(AB63))+(AC63))+(AD63))+(AE63))+(AF63))+(AG63))+(AH63))+(AI63))+(AJ63))+(AK63))+(AL63)</f>
        <v>31466.22</v>
      </c>
    </row>
    <row r="64" spans="1:39" x14ac:dyDescent="0.25">
      <c r="A64" s="3" t="s">
        <v>96</v>
      </c>
      <c r="B64" s="5">
        <f>5050.25</f>
        <v>5050.25</v>
      </c>
      <c r="C64" s="4"/>
      <c r="D64" s="4"/>
      <c r="E64" s="5">
        <f>219.99</f>
        <v>219.99</v>
      </c>
      <c r="F64" s="4"/>
      <c r="G64" s="5">
        <f>9899.63</f>
        <v>9899.6299999999992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>
        <f>979.98</f>
        <v>979.98</v>
      </c>
      <c r="V64" s="4"/>
      <c r="W64" s="4"/>
      <c r="X64" s="4"/>
      <c r="Y64" s="4"/>
      <c r="Z64" s="4"/>
      <c r="AA64" s="4"/>
      <c r="AB64" s="4"/>
      <c r="AC64" s="4"/>
      <c r="AD64" s="4"/>
      <c r="AE64" s="5">
        <f>4426.13</f>
        <v>4426.13</v>
      </c>
      <c r="AF64" s="4"/>
      <c r="AG64" s="4"/>
      <c r="AH64" s="4"/>
      <c r="AI64" s="4"/>
      <c r="AJ64" s="4"/>
      <c r="AK64" s="4"/>
      <c r="AL64" s="4"/>
      <c r="AM64" s="5">
        <f>((((((((((((((((((((((((((((((((((((B64)+(C64))+(D64))+(E64))+(F64))+(G64))+(H64))+(I64))+(J64))+(K64))+(L64))+(M64))+(N64))+(O64))+(P64))+(Q64))+(R64))+(S64))+(T64))+(U64))+(V64))+(W64))+(X64))+(Y64))+(Z64))+(AA64))+(AB64))+(AC64))+(AD64))+(AE64))+(AF64))+(AG64))+(AH64))+(AI64))+(AJ64))+(AK64))+(AL64)</f>
        <v>20575.98</v>
      </c>
    </row>
    <row r="65" spans="1:39" x14ac:dyDescent="0.25">
      <c r="A65" s="3" t="s">
        <v>97</v>
      </c>
      <c r="B65" s="5">
        <f>2727.79</f>
        <v>2727.79</v>
      </c>
      <c r="C65" s="4"/>
      <c r="D65" s="4"/>
      <c r="E65" s="4"/>
      <c r="F65" s="4"/>
      <c r="G65" s="5">
        <f>36742</f>
        <v>36742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>
        <f>1242.74</f>
        <v>1242.74</v>
      </c>
      <c r="V65" s="4"/>
      <c r="W65" s="5">
        <f>1752.16</f>
        <v>1752.16</v>
      </c>
      <c r="X65" s="4"/>
      <c r="Y65" s="4"/>
      <c r="Z65" s="4"/>
      <c r="AA65" s="4"/>
      <c r="AB65" s="4"/>
      <c r="AC65" s="5">
        <f>95.21</f>
        <v>95.21</v>
      </c>
      <c r="AD65" s="4"/>
      <c r="AE65" s="5">
        <f>1077.27</f>
        <v>1077.27</v>
      </c>
      <c r="AF65" s="4"/>
      <c r="AG65" s="4"/>
      <c r="AH65" s="4"/>
      <c r="AI65" s="4"/>
      <c r="AJ65" s="5">
        <f>4881.71</f>
        <v>4881.71</v>
      </c>
      <c r="AK65" s="4"/>
      <c r="AL65" s="4"/>
      <c r="AM65" s="5">
        <f>((((((((((((((((((((((((((((((((((((B65)+(C65))+(D65))+(E65))+(F65))+(G65))+(H65))+(I65))+(J65))+(K65))+(L65))+(M65))+(N65))+(O65))+(P65))+(Q65))+(R65))+(S65))+(T65))+(U65))+(V65))+(W65))+(X65))+(Y65))+(Z65))+(AA65))+(AB65))+(AC65))+(AD65))+(AE65))+(AF65))+(AG65))+(AH65))+(AI65))+(AJ65))+(AK65))+(AL65)</f>
        <v>48518.879999999997</v>
      </c>
    </row>
    <row r="66" spans="1:39" x14ac:dyDescent="0.25">
      <c r="A66" s="3" t="s">
        <v>98</v>
      </c>
      <c r="B66" s="4"/>
      <c r="C66" s="4"/>
      <c r="D66" s="4"/>
      <c r="E66" s="4"/>
      <c r="F66" s="4"/>
      <c r="G66" s="5">
        <f>0</f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>
        <f>((((((((((((((((((((((((((((((((((((B66)+(C66))+(D66))+(E66))+(F66))+(G66))+(H66))+(I66))+(J66))+(K66))+(L66))+(M66))+(N66))+(O66))+(P66))+(Q66))+(R66))+(S66))+(T66))+(U66))+(V66))+(W66))+(X66))+(Y66))+(Z66))+(AA66))+(AB66))+(AC66))+(AD66))+(AE66))+(AF66))+(AG66))+(AH66))+(AI66))+(AJ66))+(AK66))+(AL66)</f>
        <v>0</v>
      </c>
    </row>
    <row r="67" spans="1:39" x14ac:dyDescent="0.25">
      <c r="A67" s="3" t="s">
        <v>99</v>
      </c>
      <c r="B67" s="6">
        <f t="shared" ref="B67:AL67" si="8">((((((((((B56)+(B57))+(B58))+(B59))+(B60))+(B61))+(B62))+(B63))+(B64))+(B65))+(B66)</f>
        <v>65869.34</v>
      </c>
      <c r="C67" s="6">
        <f t="shared" si="8"/>
        <v>0</v>
      </c>
      <c r="D67" s="6">
        <f t="shared" si="8"/>
        <v>0</v>
      </c>
      <c r="E67" s="6">
        <f t="shared" si="8"/>
        <v>14736.13</v>
      </c>
      <c r="F67" s="6">
        <f t="shared" si="8"/>
        <v>0</v>
      </c>
      <c r="G67" s="6">
        <f t="shared" si="8"/>
        <v>175607.88999999998</v>
      </c>
      <c r="H67" s="6">
        <f t="shared" si="8"/>
        <v>0</v>
      </c>
      <c r="I67" s="6">
        <f t="shared" si="8"/>
        <v>0</v>
      </c>
      <c r="J67" s="6">
        <f t="shared" si="8"/>
        <v>3542</v>
      </c>
      <c r="K67" s="6">
        <f t="shared" si="8"/>
        <v>0</v>
      </c>
      <c r="L67" s="6">
        <f t="shared" si="8"/>
        <v>0</v>
      </c>
      <c r="M67" s="6">
        <f t="shared" si="8"/>
        <v>0</v>
      </c>
      <c r="N67" s="6">
        <f t="shared" si="8"/>
        <v>5836.32</v>
      </c>
      <c r="O67" s="6">
        <f t="shared" si="8"/>
        <v>0</v>
      </c>
      <c r="P67" s="6">
        <f t="shared" si="8"/>
        <v>0</v>
      </c>
      <c r="Q67" s="6">
        <f t="shared" si="8"/>
        <v>0</v>
      </c>
      <c r="R67" s="6">
        <f t="shared" si="8"/>
        <v>84</v>
      </c>
      <c r="S67" s="6">
        <f t="shared" si="8"/>
        <v>0</v>
      </c>
      <c r="T67" s="6">
        <f t="shared" si="8"/>
        <v>0</v>
      </c>
      <c r="U67" s="6">
        <f t="shared" si="8"/>
        <v>4637.99</v>
      </c>
      <c r="V67" s="6">
        <f t="shared" si="8"/>
        <v>0</v>
      </c>
      <c r="W67" s="6">
        <f t="shared" si="8"/>
        <v>1943.47</v>
      </c>
      <c r="X67" s="6">
        <f t="shared" si="8"/>
        <v>0</v>
      </c>
      <c r="Y67" s="6">
        <f t="shared" si="8"/>
        <v>0</v>
      </c>
      <c r="Z67" s="6">
        <f t="shared" si="8"/>
        <v>0</v>
      </c>
      <c r="AA67" s="6">
        <f t="shared" si="8"/>
        <v>0</v>
      </c>
      <c r="AB67" s="6">
        <f t="shared" si="8"/>
        <v>40150</v>
      </c>
      <c r="AC67" s="6">
        <f t="shared" si="8"/>
        <v>1818.56</v>
      </c>
      <c r="AD67" s="6">
        <f t="shared" si="8"/>
        <v>26.34</v>
      </c>
      <c r="AE67" s="6">
        <f t="shared" si="8"/>
        <v>5802.7900000000009</v>
      </c>
      <c r="AF67" s="6">
        <f t="shared" si="8"/>
        <v>1999.96</v>
      </c>
      <c r="AG67" s="6">
        <f t="shared" si="8"/>
        <v>3202.27</v>
      </c>
      <c r="AH67" s="6">
        <f t="shared" si="8"/>
        <v>0</v>
      </c>
      <c r="AI67" s="6">
        <f t="shared" si="8"/>
        <v>7990</v>
      </c>
      <c r="AJ67" s="6">
        <f t="shared" si="8"/>
        <v>5098.04</v>
      </c>
      <c r="AK67" s="6">
        <f t="shared" si="8"/>
        <v>0</v>
      </c>
      <c r="AL67" s="6">
        <f t="shared" si="8"/>
        <v>0</v>
      </c>
      <c r="AM67" s="6">
        <f>((((((((((((((((((((((((((((((((((((B67)+(C67))+(D67))+(E67))+(F67))+(G67))+(H67))+(I67))+(J67))+(K67))+(L67))+(M67))+(N67))+(O67))+(P67))+(Q67))+(R67))+(S67))+(T67))+(U67))+(V67))+(W67))+(X67))+(Y67))+(Z67))+(AA67))+(AB67))+(AC67))+(AD67))+(AE67))+(AF67))+(AG67))+(AH67))+(AI67))+(AJ67))+(AK67))+(AL67)</f>
        <v>338345.1</v>
      </c>
    </row>
    <row r="68" spans="1:39" x14ac:dyDescent="0.25">
      <c r="A68" s="3" t="s">
        <v>100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5">
        <f>((((((((((((((((((((((((((((((((((((B68)+(C68))+(D68))+(E68))+(F68))+(G68))+(H68))+(I68))+(J68))+(K68))+(L68))+(M68))+(N68))+(O68))+(P68))+(Q68))+(R68))+(S68))+(T68))+(U68))+(V68))+(W68))+(X68))+(Y68))+(Z68))+(AA68))+(AB68))+(AC68))+(AD68))+(AE68))+(AF68))+(AG68))+(AH68))+(AI68))+(AJ68))+(AK68))+(AL68)</f>
        <v>0</v>
      </c>
    </row>
    <row r="69" spans="1:39" x14ac:dyDescent="0.25">
      <c r="A69" s="3" t="s">
        <v>101</v>
      </c>
      <c r="B69" s="5">
        <f>12135.28</f>
        <v>12135.28</v>
      </c>
      <c r="C69" s="4"/>
      <c r="D69" s="4"/>
      <c r="E69" s="4"/>
      <c r="F69" s="4"/>
      <c r="G69" s="5">
        <f>16393.22</f>
        <v>16393.22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5">
        <f>((((((((((((((((((((((((((((((((((((B69)+(C69))+(D69))+(E69))+(F69))+(G69))+(H69))+(I69))+(J69))+(K69))+(L69))+(M69))+(N69))+(O69))+(P69))+(Q69))+(R69))+(S69))+(T69))+(U69))+(V69))+(W69))+(X69))+(Y69))+(Z69))+(AA69))+(AB69))+(AC69))+(AD69))+(AE69))+(AF69))+(AG69))+(AH69))+(AI69))+(AJ69))+(AK69))+(AL69)</f>
        <v>28528.5</v>
      </c>
    </row>
    <row r="70" spans="1:39" x14ac:dyDescent="0.25">
      <c r="A70" s="3" t="s">
        <v>102</v>
      </c>
      <c r="B70" s="5">
        <f>9186.71</f>
        <v>9186.7099999999991</v>
      </c>
      <c r="C70" s="4"/>
      <c r="D70" s="4"/>
      <c r="E70" s="4"/>
      <c r="F70" s="4"/>
      <c r="G70" s="5">
        <f>18651.79</f>
        <v>18651.79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>
        <f>52</f>
        <v>52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5">
        <f>((((((((((((((((((((((((((((((((((((B70)+(C70))+(D70))+(E70))+(F70))+(G70))+(H70))+(I70))+(J70))+(K70))+(L70))+(M70))+(N70))+(O70))+(P70))+(Q70))+(R70))+(S70))+(T70))+(U70))+(V70))+(W70))+(X70))+(Y70))+(Z70))+(AA70))+(AB70))+(AC70))+(AD70))+(AE70))+(AF70))+(AG70))+(AH70))+(AI70))+(AJ70))+(AK70))+(AL70)</f>
        <v>27890.5</v>
      </c>
    </row>
    <row r="71" spans="1:39" x14ac:dyDescent="0.25">
      <c r="A71" s="3" t="s">
        <v>103</v>
      </c>
      <c r="B71" s="5">
        <f>0</f>
        <v>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5">
        <f>((((((((((((((((((((((((((((((((((((B71)+(C71))+(D71))+(E71))+(F71))+(G71))+(H71))+(I71))+(J71))+(K71))+(L71))+(M71))+(N71))+(O71))+(P71))+(Q71))+(R71))+(S71))+(T71))+(U71))+(V71))+(W71))+(X71))+(Y71))+(Z71))+(AA71))+(AB71))+(AC71))+(AD71))+(AE71))+(AF71))+(AG71))+(AH71))+(AI71))+(AJ71))+(AK71))+(AL71)</f>
        <v>0</v>
      </c>
    </row>
    <row r="72" spans="1:39" x14ac:dyDescent="0.25">
      <c r="A72" s="3" t="s">
        <v>104</v>
      </c>
      <c r="B72" s="6">
        <f t="shared" ref="B72:AL72" si="9">(((B68)+(B69))+(B70))+(B71)</f>
        <v>21321.989999999998</v>
      </c>
      <c r="C72" s="6">
        <f t="shared" si="9"/>
        <v>0</v>
      </c>
      <c r="D72" s="6">
        <f t="shared" si="9"/>
        <v>0</v>
      </c>
      <c r="E72" s="6">
        <f t="shared" si="9"/>
        <v>0</v>
      </c>
      <c r="F72" s="6">
        <f t="shared" si="9"/>
        <v>0</v>
      </c>
      <c r="G72" s="6">
        <f t="shared" si="9"/>
        <v>35045.01</v>
      </c>
      <c r="H72" s="6">
        <f t="shared" si="9"/>
        <v>0</v>
      </c>
      <c r="I72" s="6">
        <f t="shared" si="9"/>
        <v>0</v>
      </c>
      <c r="J72" s="6">
        <f t="shared" si="9"/>
        <v>0</v>
      </c>
      <c r="K72" s="6">
        <f t="shared" si="9"/>
        <v>0</v>
      </c>
      <c r="L72" s="6">
        <f t="shared" si="9"/>
        <v>0</v>
      </c>
      <c r="M72" s="6">
        <f t="shared" si="9"/>
        <v>0</v>
      </c>
      <c r="N72" s="6">
        <f t="shared" si="9"/>
        <v>0</v>
      </c>
      <c r="O72" s="6">
        <f t="shared" si="9"/>
        <v>0</v>
      </c>
      <c r="P72" s="6">
        <f t="shared" si="9"/>
        <v>0</v>
      </c>
      <c r="Q72" s="6">
        <f t="shared" si="9"/>
        <v>0</v>
      </c>
      <c r="R72" s="6">
        <f t="shared" si="9"/>
        <v>0</v>
      </c>
      <c r="S72" s="6">
        <f t="shared" si="9"/>
        <v>0</v>
      </c>
      <c r="T72" s="6">
        <f t="shared" si="9"/>
        <v>0</v>
      </c>
      <c r="U72" s="6">
        <f t="shared" si="9"/>
        <v>0</v>
      </c>
      <c r="V72" s="6">
        <f t="shared" si="9"/>
        <v>0</v>
      </c>
      <c r="W72" s="6">
        <f t="shared" si="9"/>
        <v>52</v>
      </c>
      <c r="X72" s="6">
        <f t="shared" si="9"/>
        <v>0</v>
      </c>
      <c r="Y72" s="6">
        <f t="shared" si="9"/>
        <v>0</v>
      </c>
      <c r="Z72" s="6">
        <f t="shared" si="9"/>
        <v>0</v>
      </c>
      <c r="AA72" s="6">
        <f t="shared" si="9"/>
        <v>0</v>
      </c>
      <c r="AB72" s="6">
        <f t="shared" si="9"/>
        <v>0</v>
      </c>
      <c r="AC72" s="6">
        <f t="shared" si="9"/>
        <v>0</v>
      </c>
      <c r="AD72" s="6">
        <f t="shared" si="9"/>
        <v>0</v>
      </c>
      <c r="AE72" s="6">
        <f t="shared" si="9"/>
        <v>0</v>
      </c>
      <c r="AF72" s="6">
        <f t="shared" si="9"/>
        <v>0</v>
      </c>
      <c r="AG72" s="6">
        <f t="shared" si="9"/>
        <v>0</v>
      </c>
      <c r="AH72" s="6">
        <f t="shared" si="9"/>
        <v>0</v>
      </c>
      <c r="AI72" s="6">
        <f t="shared" si="9"/>
        <v>0</v>
      </c>
      <c r="AJ72" s="6">
        <f t="shared" si="9"/>
        <v>0</v>
      </c>
      <c r="AK72" s="6">
        <f t="shared" si="9"/>
        <v>0</v>
      </c>
      <c r="AL72" s="6">
        <f t="shared" si="9"/>
        <v>0</v>
      </c>
      <c r="AM72" s="6">
        <f>((((((((((((((((((((((((((((((((((((B72)+(C72))+(D72))+(E72))+(F72))+(G72))+(H72))+(I72))+(J72))+(K72))+(L72))+(M72))+(N72))+(O72))+(P72))+(Q72))+(R72))+(S72))+(T72))+(U72))+(V72))+(W72))+(X72))+(Y72))+(Z72))+(AA72))+(AB72))+(AC72))+(AD72))+(AE72))+(AF72))+(AG72))+(AH72))+(AI72))+(AJ72))+(AK72))+(AL72)</f>
        <v>56419</v>
      </c>
    </row>
    <row r="73" spans="1:39" x14ac:dyDescent="0.25">
      <c r="A73" s="3" t="s">
        <v>105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5">
        <f>((((((((((((((((((((((((((((((((((((B73)+(C73))+(D73))+(E73))+(F73))+(G73))+(H73))+(I73))+(J73))+(K73))+(L73))+(M73))+(N73))+(O73))+(P73))+(Q73))+(R73))+(S73))+(T73))+(U73))+(V73))+(W73))+(X73))+(Y73))+(Z73))+(AA73))+(AB73))+(AC73))+(AD73))+(AE73))+(AF73))+(AG73))+(AH73))+(AI73))+(AJ73))+(AK73))+(AL73)</f>
        <v>0</v>
      </c>
    </row>
    <row r="74" spans="1:39" x14ac:dyDescent="0.25">
      <c r="A74" s="3" t="s">
        <v>106</v>
      </c>
      <c r="B74" s="5">
        <f>828.09</f>
        <v>828.09</v>
      </c>
      <c r="C74" s="4"/>
      <c r="D74" s="4"/>
      <c r="E74" s="4"/>
      <c r="F74" s="4"/>
      <c r="G74" s="5">
        <f>448.68</f>
        <v>448.68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5">
        <f>72.27</f>
        <v>72.27</v>
      </c>
      <c r="AC74" s="5">
        <f>226.85</f>
        <v>226.85</v>
      </c>
      <c r="AD74" s="4"/>
      <c r="AE74" s="4"/>
      <c r="AF74" s="4"/>
      <c r="AG74" s="4"/>
      <c r="AH74" s="4"/>
      <c r="AI74" s="4"/>
      <c r="AJ74" s="4"/>
      <c r="AK74" s="4"/>
      <c r="AL74" s="4"/>
      <c r="AM74" s="5">
        <f>((((((((((((((((((((((((((((((((((((B74)+(C74))+(D74))+(E74))+(F74))+(G74))+(H74))+(I74))+(J74))+(K74))+(L74))+(M74))+(N74))+(O74))+(P74))+(Q74))+(R74))+(S74))+(T74))+(U74))+(V74))+(W74))+(X74))+(Y74))+(Z74))+(AA74))+(AB74))+(AC74))+(AD74))+(AE74))+(AF74))+(AG74))+(AH74))+(AI74))+(AJ74))+(AK74))+(AL74)</f>
        <v>1575.8899999999999</v>
      </c>
    </row>
    <row r="75" spans="1:39" x14ac:dyDescent="0.25">
      <c r="A75" s="3" t="s">
        <v>107</v>
      </c>
      <c r="B75" s="5">
        <f>1023.79</f>
        <v>1023.79</v>
      </c>
      <c r="C75" s="4"/>
      <c r="D75" s="4"/>
      <c r="E75" s="4"/>
      <c r="F75" s="4"/>
      <c r="G75" s="5">
        <f>350.6</f>
        <v>350.6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5">
        <f>53.73</f>
        <v>53.73</v>
      </c>
      <c r="AC75" s="5">
        <f>180</f>
        <v>180</v>
      </c>
      <c r="AD75" s="4"/>
      <c r="AE75" s="4"/>
      <c r="AF75" s="4"/>
      <c r="AG75" s="4"/>
      <c r="AH75" s="4"/>
      <c r="AI75" s="4"/>
      <c r="AJ75" s="4"/>
      <c r="AK75" s="4"/>
      <c r="AL75" s="4"/>
      <c r="AM75" s="5">
        <f>((((((((((((((((((((((((((((((((((((B75)+(C75))+(D75))+(E75))+(F75))+(G75))+(H75))+(I75))+(J75))+(K75))+(L75))+(M75))+(N75))+(O75))+(P75))+(Q75))+(R75))+(S75))+(T75))+(U75))+(V75))+(W75))+(X75))+(Y75))+(Z75))+(AA75))+(AB75))+(AC75))+(AD75))+(AE75))+(AF75))+(AG75))+(AH75))+(AI75))+(AJ75))+(AK75))+(AL75)</f>
        <v>1608.12</v>
      </c>
    </row>
    <row r="76" spans="1:39" x14ac:dyDescent="0.25">
      <c r="A76" s="3" t="s">
        <v>108</v>
      </c>
      <c r="B76" s="5">
        <f>10685.81</f>
        <v>10685.81</v>
      </c>
      <c r="C76" s="4"/>
      <c r="D76" s="4"/>
      <c r="E76" s="5">
        <f>4509.59</f>
        <v>4509.59</v>
      </c>
      <c r="F76" s="4"/>
      <c r="G76" s="5">
        <f>11622.58</f>
        <v>11622.58</v>
      </c>
      <c r="H76" s="4"/>
      <c r="I76" s="4"/>
      <c r="J76" s="5">
        <f>143.44</f>
        <v>143.44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5">
        <f>138.28</f>
        <v>138.28</v>
      </c>
      <c r="V76" s="4"/>
      <c r="W76" s="5">
        <f>698.91</f>
        <v>698.91</v>
      </c>
      <c r="X76" s="4"/>
      <c r="Y76" s="4"/>
      <c r="Z76" s="4"/>
      <c r="AA76" s="4"/>
      <c r="AB76" s="5">
        <f>1300.15</f>
        <v>1300.1500000000001</v>
      </c>
      <c r="AC76" s="5">
        <f>5169.91</f>
        <v>5169.91</v>
      </c>
      <c r="AD76" s="5">
        <f>1212.98</f>
        <v>1212.98</v>
      </c>
      <c r="AE76" s="5">
        <f>2141.27</f>
        <v>2141.27</v>
      </c>
      <c r="AF76" s="4"/>
      <c r="AG76" s="4"/>
      <c r="AH76" s="4"/>
      <c r="AI76" s="4"/>
      <c r="AJ76" s="4"/>
      <c r="AK76" s="5">
        <f>51.61</f>
        <v>51.61</v>
      </c>
      <c r="AL76" s="4"/>
      <c r="AM76" s="5">
        <f>((((((((((((((((((((((((((((((((((((B76)+(C76))+(D76))+(E76))+(F76))+(G76))+(H76))+(I76))+(J76))+(K76))+(L76))+(M76))+(N76))+(O76))+(P76))+(Q76))+(R76))+(S76))+(T76))+(U76))+(V76))+(W76))+(X76))+(Y76))+(Z76))+(AA76))+(AB76))+(AC76))+(AD76))+(AE76))+(AF76))+(AG76))+(AH76))+(AI76))+(AJ76))+(AK76))+(AL76)</f>
        <v>37674.53</v>
      </c>
    </row>
    <row r="77" spans="1:39" x14ac:dyDescent="0.25">
      <c r="A77" s="3" t="s">
        <v>109</v>
      </c>
      <c r="B77" s="5">
        <f>2700.01</f>
        <v>2700.01</v>
      </c>
      <c r="C77" s="4"/>
      <c r="D77" s="4"/>
      <c r="E77" s="4"/>
      <c r="F77" s="4"/>
      <c r="G77" s="5">
        <f>3920.87</f>
        <v>3920.87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5">
        <f>860.69</f>
        <v>860.69</v>
      </c>
      <c r="AC77" s="5">
        <f>2705.73</f>
        <v>2705.73</v>
      </c>
      <c r="AD77" s="4"/>
      <c r="AE77" s="4"/>
      <c r="AF77" s="4"/>
      <c r="AG77" s="4"/>
      <c r="AH77" s="4"/>
      <c r="AI77" s="4"/>
      <c r="AJ77" s="4"/>
      <c r="AK77" s="4"/>
      <c r="AL77" s="4"/>
      <c r="AM77" s="5">
        <f>((((((((((((((((((((((((((((((((((((B77)+(C77))+(D77))+(E77))+(F77))+(G77))+(H77))+(I77))+(J77))+(K77))+(L77))+(M77))+(N77))+(O77))+(P77))+(Q77))+(R77))+(S77))+(T77))+(U77))+(V77))+(W77))+(X77))+(Y77))+(Z77))+(AA77))+(AB77))+(AC77))+(AD77))+(AE77))+(AF77))+(AG77))+(AH77))+(AI77))+(AJ77))+(AK77))+(AL77)</f>
        <v>10187.299999999999</v>
      </c>
    </row>
    <row r="78" spans="1:39" x14ac:dyDescent="0.25">
      <c r="A78" s="3" t="s">
        <v>110</v>
      </c>
      <c r="B78" s="5">
        <f>15608.98</f>
        <v>15608.98</v>
      </c>
      <c r="C78" s="4"/>
      <c r="D78" s="4"/>
      <c r="E78" s="5">
        <f>18819.15</f>
        <v>18819.150000000001</v>
      </c>
      <c r="F78" s="4"/>
      <c r="G78" s="5">
        <f>1413.45</f>
        <v>1413.45</v>
      </c>
      <c r="H78" s="4"/>
      <c r="I78" s="4"/>
      <c r="J78" s="5">
        <f>66.64</f>
        <v>66.64</v>
      </c>
      <c r="K78" s="4"/>
      <c r="L78" s="4"/>
      <c r="M78" s="4"/>
      <c r="N78" s="5">
        <f>237.56</f>
        <v>237.56</v>
      </c>
      <c r="O78" s="4"/>
      <c r="P78" s="4"/>
      <c r="Q78" s="5">
        <f>441.89</f>
        <v>441.89</v>
      </c>
      <c r="R78" s="5">
        <f>2891.12</f>
        <v>2891.12</v>
      </c>
      <c r="S78" s="4"/>
      <c r="T78" s="4"/>
      <c r="U78" s="5">
        <f>3088.19</f>
        <v>3088.19</v>
      </c>
      <c r="V78" s="4"/>
      <c r="W78" s="5">
        <f>57.23</f>
        <v>57.23</v>
      </c>
      <c r="X78" s="4"/>
      <c r="Y78" s="4"/>
      <c r="Z78" s="4"/>
      <c r="AA78" s="4"/>
      <c r="AB78" s="4"/>
      <c r="AC78" s="4"/>
      <c r="AD78" s="5">
        <f>780.06</f>
        <v>780.06</v>
      </c>
      <c r="AE78" s="5">
        <f>0</f>
        <v>0</v>
      </c>
      <c r="AF78" s="4"/>
      <c r="AG78" s="4"/>
      <c r="AH78" s="4"/>
      <c r="AI78" s="5">
        <f>1800.33</f>
        <v>1800.33</v>
      </c>
      <c r="AJ78" s="5">
        <f>176.59</f>
        <v>176.59</v>
      </c>
      <c r="AK78" s="4"/>
      <c r="AL78" s="4"/>
      <c r="AM78" s="5">
        <f>((((((((((((((((((((((((((((((((((((B78)+(C78))+(D78))+(E78))+(F78))+(G78))+(H78))+(I78))+(J78))+(K78))+(L78))+(M78))+(N78))+(O78))+(P78))+(Q78))+(R78))+(S78))+(T78))+(U78))+(V78))+(W78))+(X78))+(Y78))+(Z78))+(AA78))+(AB78))+(AC78))+(AD78))+(AE78))+(AF78))+(AG78))+(AH78))+(AI78))+(AJ78))+(AK78))+(AL78)</f>
        <v>45381.19</v>
      </c>
    </row>
    <row r="79" spans="1:39" x14ac:dyDescent="0.25">
      <c r="A79" s="3" t="s">
        <v>111</v>
      </c>
      <c r="B79" s="5">
        <f>93368.89</f>
        <v>93368.89</v>
      </c>
      <c r="C79" s="5">
        <f>215</f>
        <v>215</v>
      </c>
      <c r="D79" s="5">
        <f>4712</f>
        <v>4712</v>
      </c>
      <c r="E79" s="5">
        <f>21459.83</f>
        <v>21459.83</v>
      </c>
      <c r="F79" s="4"/>
      <c r="G79" s="5">
        <f>18630.57</f>
        <v>18630.57</v>
      </c>
      <c r="H79" s="5">
        <f>1545</f>
        <v>1545</v>
      </c>
      <c r="I79" s="5">
        <f>81</f>
        <v>81</v>
      </c>
      <c r="J79" s="5">
        <f>396.91</f>
        <v>396.91</v>
      </c>
      <c r="K79" s="4"/>
      <c r="L79" s="4"/>
      <c r="M79" s="5">
        <f>61841.77</f>
        <v>61841.77</v>
      </c>
      <c r="N79" s="5">
        <f>742.58</f>
        <v>742.58</v>
      </c>
      <c r="O79" s="4"/>
      <c r="P79" s="5">
        <f>999.85</f>
        <v>999.85</v>
      </c>
      <c r="Q79" s="5">
        <f>201.5</f>
        <v>201.5</v>
      </c>
      <c r="R79" s="5">
        <f>6737.93</f>
        <v>6737.93</v>
      </c>
      <c r="S79" s="5">
        <f>81</f>
        <v>81</v>
      </c>
      <c r="T79" s="4"/>
      <c r="U79" s="5">
        <f>4275.9</f>
        <v>4275.8999999999996</v>
      </c>
      <c r="V79" s="4"/>
      <c r="W79" s="5">
        <f>439452.85</f>
        <v>439452.85</v>
      </c>
      <c r="X79" s="4"/>
      <c r="Y79" s="4"/>
      <c r="Z79" s="4"/>
      <c r="AA79" s="4"/>
      <c r="AB79" s="5">
        <f>6916.59</f>
        <v>6916.59</v>
      </c>
      <c r="AC79" s="5">
        <f>18694.55</f>
        <v>18694.55</v>
      </c>
      <c r="AD79" s="5">
        <f>18883.12</f>
        <v>18883.12</v>
      </c>
      <c r="AE79" s="5">
        <f>35402.46</f>
        <v>35402.46</v>
      </c>
      <c r="AF79" s="4"/>
      <c r="AG79" s="5">
        <f>22.99</f>
        <v>22.99</v>
      </c>
      <c r="AH79" s="5">
        <f>1655.7</f>
        <v>1655.7</v>
      </c>
      <c r="AI79" s="5">
        <f>8760.76</f>
        <v>8760.76</v>
      </c>
      <c r="AJ79" s="5">
        <f>8152.4</f>
        <v>8152.4</v>
      </c>
      <c r="AK79" s="5">
        <f>66108.34</f>
        <v>66108.34</v>
      </c>
      <c r="AL79" s="5">
        <f>0</f>
        <v>0</v>
      </c>
      <c r="AM79" s="5">
        <f>((((((((((((((((((((((((((((((((((((B79)+(C79))+(D79))+(E79))+(F79))+(G79))+(H79))+(I79))+(J79))+(K79))+(L79))+(M79))+(N79))+(O79))+(P79))+(Q79))+(R79))+(S79))+(T79))+(U79))+(V79))+(W79))+(X79))+(Y79))+(Z79))+(AA79))+(AB79))+(AC79))+(AD79))+(AE79))+(AF79))+(AG79))+(AH79))+(AI79))+(AJ79))+(AK79))+(AL79)</f>
        <v>819339.48999999987</v>
      </c>
    </row>
    <row r="80" spans="1:39" x14ac:dyDescent="0.25">
      <c r="A80" s="3" t="s">
        <v>112</v>
      </c>
      <c r="B80" s="5">
        <f>2537.38</f>
        <v>2537.38</v>
      </c>
      <c r="C80" s="4"/>
      <c r="D80" s="4"/>
      <c r="E80" s="4"/>
      <c r="F80" s="4"/>
      <c r="G80" s="5">
        <f>2828.65</f>
        <v>2828.65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>
        <f>69.15</f>
        <v>69.150000000000006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5">
        <f>((((((((((((((((((((((((((((((((((((B80)+(C80))+(D80))+(E80))+(F80))+(G80))+(H80))+(I80))+(J80))+(K80))+(L80))+(M80))+(N80))+(O80))+(P80))+(Q80))+(R80))+(S80))+(T80))+(U80))+(V80))+(W80))+(X80))+(Y80))+(Z80))+(AA80))+(AB80))+(AC80))+(AD80))+(AE80))+(AF80))+(AG80))+(AH80))+(AI80))+(AJ80))+(AK80))+(AL80)</f>
        <v>5435.18</v>
      </c>
    </row>
    <row r="81" spans="1:39" x14ac:dyDescent="0.25">
      <c r="A81" s="3" t="s">
        <v>113</v>
      </c>
      <c r="B81" s="6">
        <f t="shared" ref="B81:AL81" si="10">(((((((B73)+(B74))+(B75))+(B76))+(B77))+(B78))+(B79))+(B80)</f>
        <v>126752.95000000001</v>
      </c>
      <c r="C81" s="6">
        <f t="shared" si="10"/>
        <v>215</v>
      </c>
      <c r="D81" s="6">
        <f t="shared" si="10"/>
        <v>4712</v>
      </c>
      <c r="E81" s="6">
        <f t="shared" si="10"/>
        <v>44788.570000000007</v>
      </c>
      <c r="F81" s="6">
        <f t="shared" si="10"/>
        <v>0</v>
      </c>
      <c r="G81" s="6">
        <f t="shared" si="10"/>
        <v>39215.4</v>
      </c>
      <c r="H81" s="6">
        <f t="shared" si="10"/>
        <v>1545</v>
      </c>
      <c r="I81" s="6">
        <f t="shared" si="10"/>
        <v>81</v>
      </c>
      <c r="J81" s="6">
        <f t="shared" si="10"/>
        <v>606.99</v>
      </c>
      <c r="K81" s="6">
        <f t="shared" si="10"/>
        <v>0</v>
      </c>
      <c r="L81" s="6">
        <f t="shared" si="10"/>
        <v>0</v>
      </c>
      <c r="M81" s="6">
        <f t="shared" si="10"/>
        <v>61841.77</v>
      </c>
      <c r="N81" s="6">
        <f t="shared" si="10"/>
        <v>980.1400000000001</v>
      </c>
      <c r="O81" s="6">
        <f t="shared" si="10"/>
        <v>0</v>
      </c>
      <c r="P81" s="6">
        <f t="shared" si="10"/>
        <v>999.85</v>
      </c>
      <c r="Q81" s="6">
        <f t="shared" si="10"/>
        <v>643.39</v>
      </c>
      <c r="R81" s="6">
        <f t="shared" si="10"/>
        <v>9629.0499999999993</v>
      </c>
      <c r="S81" s="6">
        <f t="shared" si="10"/>
        <v>81</v>
      </c>
      <c r="T81" s="6">
        <f t="shared" si="10"/>
        <v>0</v>
      </c>
      <c r="U81" s="6">
        <f t="shared" si="10"/>
        <v>7502.37</v>
      </c>
      <c r="V81" s="6">
        <f t="shared" si="10"/>
        <v>0</v>
      </c>
      <c r="W81" s="6">
        <f t="shared" si="10"/>
        <v>440278.14</v>
      </c>
      <c r="X81" s="6">
        <f t="shared" si="10"/>
        <v>0</v>
      </c>
      <c r="Y81" s="6">
        <f t="shared" si="10"/>
        <v>0</v>
      </c>
      <c r="Z81" s="6">
        <f t="shared" si="10"/>
        <v>0</v>
      </c>
      <c r="AA81" s="6">
        <f t="shared" si="10"/>
        <v>0</v>
      </c>
      <c r="AB81" s="6">
        <f t="shared" si="10"/>
        <v>9203.43</v>
      </c>
      <c r="AC81" s="6">
        <f t="shared" si="10"/>
        <v>26977.040000000001</v>
      </c>
      <c r="AD81" s="6">
        <f t="shared" si="10"/>
        <v>20876.16</v>
      </c>
      <c r="AE81" s="6">
        <f t="shared" si="10"/>
        <v>37543.729999999996</v>
      </c>
      <c r="AF81" s="6">
        <f t="shared" si="10"/>
        <v>0</v>
      </c>
      <c r="AG81" s="6">
        <f t="shared" si="10"/>
        <v>22.99</v>
      </c>
      <c r="AH81" s="6">
        <f t="shared" si="10"/>
        <v>1655.7</v>
      </c>
      <c r="AI81" s="6">
        <f t="shared" si="10"/>
        <v>10561.09</v>
      </c>
      <c r="AJ81" s="6">
        <f t="shared" si="10"/>
        <v>8328.99</v>
      </c>
      <c r="AK81" s="6">
        <f t="shared" si="10"/>
        <v>66159.95</v>
      </c>
      <c r="AL81" s="6">
        <f t="shared" si="10"/>
        <v>0</v>
      </c>
      <c r="AM81" s="6">
        <f>((((((((((((((((((((((((((((((((((((B81)+(C81))+(D81))+(E81))+(F81))+(G81))+(H81))+(I81))+(J81))+(K81))+(L81))+(M81))+(N81))+(O81))+(P81))+(Q81))+(R81))+(S81))+(T81))+(U81))+(V81))+(W81))+(X81))+(Y81))+(Z81))+(AA81))+(AB81))+(AC81))+(AD81))+(AE81))+(AF81))+(AG81))+(AH81))+(AI81))+(AJ81))+(AK81))+(AL81)</f>
        <v>921201.7</v>
      </c>
    </row>
    <row r="82" spans="1:39" x14ac:dyDescent="0.25">
      <c r="A82" s="3" t="s">
        <v>114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5">
        <f>((((((((((((((((((((((((((((((((((((B82)+(C82))+(D82))+(E82))+(F82))+(G82))+(H82))+(I82))+(J82))+(K82))+(L82))+(M82))+(N82))+(O82))+(P82))+(Q82))+(R82))+(S82))+(T82))+(U82))+(V82))+(W82))+(X82))+(Y82))+(Z82))+(AA82))+(AB82))+(AC82))+(AD82))+(AE82))+(AF82))+(AG82))+(AH82))+(AI82))+(AJ82))+(AK82))+(AL82)</f>
        <v>0</v>
      </c>
    </row>
    <row r="83" spans="1:39" x14ac:dyDescent="0.25">
      <c r="A83" s="3" t="s">
        <v>115</v>
      </c>
      <c r="B83" s="5">
        <f>816.67</f>
        <v>816.67</v>
      </c>
      <c r="C83" s="4"/>
      <c r="D83" s="4"/>
      <c r="E83" s="5">
        <f>23675.48</f>
        <v>23675.48</v>
      </c>
      <c r="F83" s="4"/>
      <c r="G83" s="5">
        <f>1593</f>
        <v>1593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>
        <f>191701.33</f>
        <v>191701.33</v>
      </c>
      <c r="U83" s="5">
        <f>8900</f>
        <v>8900</v>
      </c>
      <c r="V83" s="4"/>
      <c r="W83" s="5">
        <f>1237.5</f>
        <v>1237.5</v>
      </c>
      <c r="X83" s="4"/>
      <c r="Y83" s="4"/>
      <c r="Z83" s="4"/>
      <c r="AA83" s="4"/>
      <c r="AB83" s="5">
        <f>6874.85</f>
        <v>6874.85</v>
      </c>
      <c r="AC83" s="5">
        <f>11741.08</f>
        <v>11741.08</v>
      </c>
      <c r="AD83" s="4"/>
      <c r="AE83" s="5">
        <f>38125</f>
        <v>38125</v>
      </c>
      <c r="AF83" s="4"/>
      <c r="AG83" s="4"/>
      <c r="AH83" s="5">
        <f>455.71</f>
        <v>455.71</v>
      </c>
      <c r="AI83" s="4"/>
      <c r="AJ83" s="5">
        <f>3023.45</f>
        <v>3023.45</v>
      </c>
      <c r="AK83" s="5">
        <f>52506.35</f>
        <v>52506.35</v>
      </c>
      <c r="AL83" s="5">
        <f>0</f>
        <v>0</v>
      </c>
      <c r="AM83" s="5">
        <f>((((((((((((((((((((((((((((((((((((B83)+(C83))+(D83))+(E83))+(F83))+(G83))+(H83))+(I83))+(J83))+(K83))+(L83))+(M83))+(N83))+(O83))+(P83))+(Q83))+(R83))+(S83))+(T83))+(U83))+(V83))+(W83))+(X83))+(Y83))+(Z83))+(AA83))+(AB83))+(AC83))+(AD83))+(AE83))+(AF83))+(AG83))+(AH83))+(AI83))+(AJ83))+(AK83))+(AL83)</f>
        <v>340650.42</v>
      </c>
    </row>
    <row r="84" spans="1:39" x14ac:dyDescent="0.25">
      <c r="A84" s="3" t="s">
        <v>116</v>
      </c>
      <c r="B84" s="5">
        <f>2161</f>
        <v>2161</v>
      </c>
      <c r="C84" s="4"/>
      <c r="D84" s="4"/>
      <c r="E84" s="5">
        <f>3617.23</f>
        <v>3617.23</v>
      </c>
      <c r="F84" s="4"/>
      <c r="G84" s="5">
        <f>2664</f>
        <v>2664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>
        <f>5309</f>
        <v>5309</v>
      </c>
      <c r="V84" s="4"/>
      <c r="W84" s="5">
        <f>25534.4</f>
        <v>25534.400000000001</v>
      </c>
      <c r="X84" s="4"/>
      <c r="Y84" s="4"/>
      <c r="Z84" s="4"/>
      <c r="AA84" s="4"/>
      <c r="AB84" s="5">
        <f>1120</f>
        <v>1120</v>
      </c>
      <c r="AC84" s="5">
        <f>19428.26</f>
        <v>19428.259999999998</v>
      </c>
      <c r="AD84" s="5">
        <f>7281.56</f>
        <v>7281.56</v>
      </c>
      <c r="AE84" s="5">
        <f>12277</f>
        <v>12277</v>
      </c>
      <c r="AF84" s="4"/>
      <c r="AG84" s="5">
        <f>530</f>
        <v>530</v>
      </c>
      <c r="AH84" s="4"/>
      <c r="AI84" s="4"/>
      <c r="AJ84" s="5">
        <f>1633</f>
        <v>1633</v>
      </c>
      <c r="AK84" s="5">
        <f>44904.89</f>
        <v>44904.89</v>
      </c>
      <c r="AL84" s="4"/>
      <c r="AM84" s="5">
        <f>((((((((((((((((((((((((((((((((((((B84)+(C84))+(D84))+(E84))+(F84))+(G84))+(H84))+(I84))+(J84))+(K84))+(L84))+(M84))+(N84))+(O84))+(P84))+(Q84))+(R84))+(S84))+(T84))+(U84))+(V84))+(W84))+(X84))+(Y84))+(Z84))+(AA84))+(AB84))+(AC84))+(AD84))+(AE84))+(AF84))+(AG84))+(AH84))+(AI84))+(AJ84))+(AK84))+(AL84)</f>
        <v>126460.34</v>
      </c>
    </row>
    <row r="85" spans="1:39" x14ac:dyDescent="0.25">
      <c r="A85" s="3" t="s">
        <v>117</v>
      </c>
      <c r="B85" s="5">
        <f>26696.88</f>
        <v>26696.880000000001</v>
      </c>
      <c r="C85" s="4"/>
      <c r="D85" s="4"/>
      <c r="E85" s="5">
        <f>10161.1</f>
        <v>10161.1</v>
      </c>
      <c r="F85" s="4"/>
      <c r="G85" s="5">
        <f>2532.66</f>
        <v>2532.66</v>
      </c>
      <c r="H85" s="4"/>
      <c r="I85" s="4"/>
      <c r="J85" s="5">
        <f>865.93</f>
        <v>865.93</v>
      </c>
      <c r="K85" s="4"/>
      <c r="L85" s="4"/>
      <c r="M85" s="4"/>
      <c r="N85" s="5">
        <f>1302.19</f>
        <v>1302.19</v>
      </c>
      <c r="O85" s="4"/>
      <c r="P85" s="4"/>
      <c r="Q85" s="5">
        <f>174.48</f>
        <v>174.48</v>
      </c>
      <c r="R85" s="5">
        <f>35</f>
        <v>35</v>
      </c>
      <c r="S85" s="4"/>
      <c r="T85" s="5">
        <f>2730</f>
        <v>2730</v>
      </c>
      <c r="U85" s="5">
        <f>42896.13</f>
        <v>42896.13</v>
      </c>
      <c r="V85" s="4"/>
      <c r="W85" s="5">
        <f>27857.51</f>
        <v>27857.51</v>
      </c>
      <c r="X85" s="4"/>
      <c r="Y85" s="5">
        <f>161733.4</f>
        <v>161733.4</v>
      </c>
      <c r="Z85" s="4"/>
      <c r="AA85" s="4"/>
      <c r="AB85" s="5">
        <f>4260.57</f>
        <v>4260.57</v>
      </c>
      <c r="AC85" s="5">
        <f>28295.95</f>
        <v>28295.95</v>
      </c>
      <c r="AD85" s="5">
        <f>14516.49</f>
        <v>14516.49</v>
      </c>
      <c r="AE85" s="5">
        <f>29557</f>
        <v>29557</v>
      </c>
      <c r="AF85" s="4"/>
      <c r="AG85" s="4"/>
      <c r="AH85" s="4"/>
      <c r="AI85" s="4"/>
      <c r="AJ85" s="5">
        <f>494</f>
        <v>494</v>
      </c>
      <c r="AK85" s="5">
        <f>679</f>
        <v>679</v>
      </c>
      <c r="AL85" s="5">
        <f>0</f>
        <v>0</v>
      </c>
      <c r="AM85" s="5">
        <f>((((((((((((((((((((((((((((((((((((B85)+(C85))+(D85))+(E85))+(F85))+(G85))+(H85))+(I85))+(J85))+(K85))+(L85))+(M85))+(N85))+(O85))+(P85))+(Q85))+(R85))+(S85))+(T85))+(U85))+(V85))+(W85))+(X85))+(Y85))+(Z85))+(AA85))+(AB85))+(AC85))+(AD85))+(AE85))+(AF85))+(AG85))+(AH85))+(AI85))+(AJ85))+(AK85))+(AL85)</f>
        <v>354788.29</v>
      </c>
    </row>
    <row r="86" spans="1:39" x14ac:dyDescent="0.25">
      <c r="A86" s="3" t="s">
        <v>118</v>
      </c>
      <c r="B86" s="5">
        <f>1535.25</f>
        <v>1535.25</v>
      </c>
      <c r="C86" s="4"/>
      <c r="D86" s="4"/>
      <c r="E86" s="5">
        <f>273.04</f>
        <v>273.04000000000002</v>
      </c>
      <c r="F86" s="4"/>
      <c r="G86" s="5">
        <f>4499</f>
        <v>4499</v>
      </c>
      <c r="H86" s="4"/>
      <c r="I86" s="4"/>
      <c r="J86" s="4"/>
      <c r="K86" s="4"/>
      <c r="L86" s="4"/>
      <c r="M86" s="4"/>
      <c r="N86" s="5">
        <f>55.43</f>
        <v>55.43</v>
      </c>
      <c r="O86" s="4"/>
      <c r="P86" s="4"/>
      <c r="Q86" s="5">
        <f>2756.34</f>
        <v>2756.34</v>
      </c>
      <c r="R86" s="5">
        <f>1601.7</f>
        <v>1601.7</v>
      </c>
      <c r="S86" s="4"/>
      <c r="T86" s="4"/>
      <c r="U86" s="4"/>
      <c r="V86" s="4"/>
      <c r="W86" s="5">
        <f>629.7</f>
        <v>629.70000000000005</v>
      </c>
      <c r="X86" s="4"/>
      <c r="Y86" s="4"/>
      <c r="Z86" s="4"/>
      <c r="AA86" s="4"/>
      <c r="AB86" s="5">
        <f>8664.97</f>
        <v>8664.9699999999993</v>
      </c>
      <c r="AC86" s="5">
        <f>14488</f>
        <v>14488</v>
      </c>
      <c r="AD86" s="5">
        <f>1116.29</f>
        <v>1116.29</v>
      </c>
      <c r="AE86" s="5">
        <f>12168.48</f>
        <v>12168.48</v>
      </c>
      <c r="AF86" s="5">
        <f>663.29</f>
        <v>663.29</v>
      </c>
      <c r="AG86" s="5">
        <f>1609.1</f>
        <v>1609.1</v>
      </c>
      <c r="AH86" s="4"/>
      <c r="AI86" s="5">
        <f>6216.48</f>
        <v>6216.48</v>
      </c>
      <c r="AJ86" s="5">
        <f>1287.13</f>
        <v>1287.1300000000001</v>
      </c>
      <c r="AK86" s="4"/>
      <c r="AL86" s="4"/>
      <c r="AM86" s="5">
        <f>((((((((((((((((((((((((((((((((((((B86)+(C86))+(D86))+(E86))+(F86))+(G86))+(H86))+(I86))+(J86))+(K86))+(L86))+(M86))+(N86))+(O86))+(P86))+(Q86))+(R86))+(S86))+(T86))+(U86))+(V86))+(W86))+(X86))+(Y86))+(Z86))+(AA86))+(AB86))+(AC86))+(AD86))+(AE86))+(AF86))+(AG86))+(AH86))+(AI86))+(AJ86))+(AK86))+(AL86)</f>
        <v>57564.19999999999</v>
      </c>
    </row>
    <row r="87" spans="1:39" x14ac:dyDescent="0.25">
      <c r="A87" s="3" t="s">
        <v>119</v>
      </c>
      <c r="B87" s="5">
        <f>11891.4</f>
        <v>11891.4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">
        <f>((((((((((((((((((((((((((((((((((((B87)+(C87))+(D87))+(E87))+(F87))+(G87))+(H87))+(I87))+(J87))+(K87))+(L87))+(M87))+(N87))+(O87))+(P87))+(Q87))+(R87))+(S87))+(T87))+(U87))+(V87))+(W87))+(X87))+(Y87))+(Z87))+(AA87))+(AB87))+(AC87))+(AD87))+(AE87))+(AF87))+(AG87))+(AH87))+(AI87))+(AJ87))+(AK87))+(AL87)</f>
        <v>11891.4</v>
      </c>
    </row>
    <row r="88" spans="1:39" x14ac:dyDescent="0.25">
      <c r="A88" s="3" t="s">
        <v>120</v>
      </c>
      <c r="B88" s="6">
        <f t="shared" ref="B88:AL88" si="11">(((((B82)+(B83))+(B84))+(B85))+(B86))+(B87)</f>
        <v>43101.200000000004</v>
      </c>
      <c r="C88" s="6">
        <f t="shared" si="11"/>
        <v>0</v>
      </c>
      <c r="D88" s="6">
        <f t="shared" si="11"/>
        <v>0</v>
      </c>
      <c r="E88" s="6">
        <f t="shared" si="11"/>
        <v>37726.85</v>
      </c>
      <c r="F88" s="6">
        <f t="shared" si="11"/>
        <v>0</v>
      </c>
      <c r="G88" s="6">
        <f t="shared" si="11"/>
        <v>11288.66</v>
      </c>
      <c r="H88" s="6">
        <f t="shared" si="11"/>
        <v>0</v>
      </c>
      <c r="I88" s="6">
        <f t="shared" si="11"/>
        <v>0</v>
      </c>
      <c r="J88" s="6">
        <f t="shared" si="11"/>
        <v>865.93</v>
      </c>
      <c r="K88" s="6">
        <f t="shared" si="11"/>
        <v>0</v>
      </c>
      <c r="L88" s="6">
        <f t="shared" si="11"/>
        <v>0</v>
      </c>
      <c r="M88" s="6">
        <f t="shared" si="11"/>
        <v>0</v>
      </c>
      <c r="N88" s="6">
        <f t="shared" si="11"/>
        <v>1357.6200000000001</v>
      </c>
      <c r="O88" s="6">
        <f t="shared" si="11"/>
        <v>0</v>
      </c>
      <c r="P88" s="6">
        <f t="shared" si="11"/>
        <v>0</v>
      </c>
      <c r="Q88" s="6">
        <f t="shared" si="11"/>
        <v>2930.82</v>
      </c>
      <c r="R88" s="6">
        <f t="shared" si="11"/>
        <v>1636.7</v>
      </c>
      <c r="S88" s="6">
        <f t="shared" si="11"/>
        <v>0</v>
      </c>
      <c r="T88" s="6">
        <f t="shared" si="11"/>
        <v>194431.33</v>
      </c>
      <c r="U88" s="6">
        <f t="shared" si="11"/>
        <v>57105.13</v>
      </c>
      <c r="V88" s="6">
        <f t="shared" si="11"/>
        <v>0</v>
      </c>
      <c r="W88" s="6">
        <f t="shared" si="11"/>
        <v>55259.11</v>
      </c>
      <c r="X88" s="6">
        <f t="shared" si="11"/>
        <v>0</v>
      </c>
      <c r="Y88" s="6">
        <f t="shared" si="11"/>
        <v>161733.4</v>
      </c>
      <c r="Z88" s="6">
        <f t="shared" si="11"/>
        <v>0</v>
      </c>
      <c r="AA88" s="6">
        <f t="shared" si="11"/>
        <v>0</v>
      </c>
      <c r="AB88" s="6">
        <f t="shared" si="11"/>
        <v>20920.39</v>
      </c>
      <c r="AC88" s="6">
        <f t="shared" si="11"/>
        <v>73953.289999999994</v>
      </c>
      <c r="AD88" s="6">
        <f t="shared" si="11"/>
        <v>22914.34</v>
      </c>
      <c r="AE88" s="6">
        <f t="shared" si="11"/>
        <v>92127.48</v>
      </c>
      <c r="AF88" s="6">
        <f t="shared" si="11"/>
        <v>663.29</v>
      </c>
      <c r="AG88" s="6">
        <f t="shared" si="11"/>
        <v>2139.1</v>
      </c>
      <c r="AH88" s="6">
        <f t="shared" si="11"/>
        <v>455.71</v>
      </c>
      <c r="AI88" s="6">
        <f t="shared" si="11"/>
        <v>6216.48</v>
      </c>
      <c r="AJ88" s="6">
        <f t="shared" si="11"/>
        <v>6437.58</v>
      </c>
      <c r="AK88" s="6">
        <f t="shared" si="11"/>
        <v>98090.239999999991</v>
      </c>
      <c r="AL88" s="6">
        <f t="shared" si="11"/>
        <v>0</v>
      </c>
      <c r="AM88" s="6">
        <f>((((((((((((((((((((((((((((((((((((B88)+(C88))+(D88))+(E88))+(F88))+(G88))+(H88))+(I88))+(J88))+(K88))+(L88))+(M88))+(N88))+(O88))+(P88))+(Q88))+(R88))+(S88))+(T88))+(U88))+(V88))+(W88))+(X88))+(Y88))+(Z88))+(AA88))+(AB88))+(AC88))+(AD88))+(AE88))+(AF88))+(AG88))+(AH88))+(AI88))+(AJ88))+(AK88))+(AL88)</f>
        <v>891354.64999999991</v>
      </c>
    </row>
    <row r="89" spans="1:39" x14ac:dyDescent="0.25">
      <c r="A89" s="3" t="s">
        <v>121</v>
      </c>
      <c r="B89" s="5">
        <f>89218.31</f>
        <v>89218.31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">
        <f>((((((((((((((((((((((((((((((((((((B89)+(C89))+(D89))+(E89))+(F89))+(G89))+(H89))+(I89))+(J89))+(K89))+(L89))+(M89))+(N89))+(O89))+(P89))+(Q89))+(R89))+(S89))+(T89))+(U89))+(V89))+(W89))+(X89))+(Y89))+(Z89))+(AA89))+(AB89))+(AC89))+(AD89))+(AE89))+(AF89))+(AG89))+(AH89))+(AI89))+(AJ89))+(AK89))+(AL89)</f>
        <v>89218.31</v>
      </c>
    </row>
    <row r="90" spans="1:39" x14ac:dyDescent="0.25">
      <c r="A90" s="3" t="s">
        <v>122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">
        <f>((((((((((((((((((((((((((((((((((((B90)+(C90))+(D90))+(E90))+(F90))+(G90))+(H90))+(I90))+(J90))+(K90))+(L90))+(M90))+(N90))+(O90))+(P90))+(Q90))+(R90))+(S90))+(T90))+(U90))+(V90))+(W90))+(X90))+(Y90))+(Z90))+(AA90))+(AB90))+(AC90))+(AD90))+(AE90))+(AF90))+(AG90))+(AH90))+(AI90))+(AJ90))+(AK90))+(AL90)</f>
        <v>0</v>
      </c>
    </row>
    <row r="91" spans="1:39" x14ac:dyDescent="0.25">
      <c r="A91" s="3" t="s">
        <v>123</v>
      </c>
      <c r="B91" s="5">
        <f>6880.7</f>
        <v>6880.7</v>
      </c>
      <c r="C91" s="4"/>
      <c r="D91" s="4"/>
      <c r="E91" s="4"/>
      <c r="F91" s="4"/>
      <c r="G91" s="5">
        <f>388.77</f>
        <v>388.77</v>
      </c>
      <c r="H91" s="4"/>
      <c r="I91" s="4"/>
      <c r="J91" s="5">
        <f>1072</f>
        <v>1072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5">
        <f>134</f>
        <v>134</v>
      </c>
      <c r="V91" s="4"/>
      <c r="W91" s="5">
        <f>268</f>
        <v>268</v>
      </c>
      <c r="X91" s="4"/>
      <c r="Y91" s="4"/>
      <c r="Z91" s="4"/>
      <c r="AA91" s="4"/>
      <c r="AB91" s="5">
        <f>422.9</f>
        <v>422.9</v>
      </c>
      <c r="AC91" s="5">
        <f>4363.96</f>
        <v>4363.96</v>
      </c>
      <c r="AD91" s="5">
        <f>268</f>
        <v>268</v>
      </c>
      <c r="AE91" s="5">
        <f>536.22</f>
        <v>536.22</v>
      </c>
      <c r="AF91" s="4"/>
      <c r="AG91" s="5">
        <f>210</f>
        <v>210</v>
      </c>
      <c r="AH91" s="5">
        <f>717</f>
        <v>717</v>
      </c>
      <c r="AI91" s="4"/>
      <c r="AJ91" s="5">
        <f>860.89</f>
        <v>860.89</v>
      </c>
      <c r="AK91" s="4"/>
      <c r="AL91" s="4"/>
      <c r="AM91" s="5">
        <f>((((((((((((((((((((((((((((((((((((B91)+(C91))+(D91))+(E91))+(F91))+(G91))+(H91))+(I91))+(J91))+(K91))+(L91))+(M91))+(N91))+(O91))+(P91))+(Q91))+(R91))+(S91))+(T91))+(U91))+(V91))+(W91))+(X91))+(Y91))+(Z91))+(AA91))+(AB91))+(AC91))+(AD91))+(AE91))+(AF91))+(AG91))+(AH91))+(AI91))+(AJ91))+(AK91))+(AL91)</f>
        <v>16122.439999999997</v>
      </c>
    </row>
    <row r="92" spans="1:39" x14ac:dyDescent="0.25">
      <c r="A92" s="3" t="s">
        <v>124</v>
      </c>
      <c r="B92" s="4"/>
      <c r="C92" s="4"/>
      <c r="D92" s="4"/>
      <c r="E92" s="4"/>
      <c r="F92" s="4"/>
      <c r="G92" s="5">
        <f>22500</f>
        <v>22500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5">
        <f>((((((((((((((((((((((((((((((((((((B92)+(C92))+(D92))+(E92))+(F92))+(G92))+(H92))+(I92))+(J92))+(K92))+(L92))+(M92))+(N92))+(O92))+(P92))+(Q92))+(R92))+(S92))+(T92))+(U92))+(V92))+(W92))+(X92))+(Y92))+(Z92))+(AA92))+(AB92))+(AC92))+(AD92))+(AE92))+(AF92))+(AG92))+(AH92))+(AI92))+(AJ92))+(AK92))+(AL92)</f>
        <v>22500</v>
      </c>
    </row>
    <row r="93" spans="1:39" x14ac:dyDescent="0.25">
      <c r="A93" s="3" t="s">
        <v>125</v>
      </c>
      <c r="B93" s="5">
        <f>1500</f>
        <v>1500</v>
      </c>
      <c r="C93" s="4"/>
      <c r="D93" s="4"/>
      <c r="E93" s="4"/>
      <c r="F93" s="4"/>
      <c r="G93" s="5">
        <f>1375</f>
        <v>1375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">
        <f>463.22</f>
        <v>463.22</v>
      </c>
      <c r="AD93" s="4"/>
      <c r="AE93" s="4"/>
      <c r="AF93" s="4"/>
      <c r="AG93" s="4"/>
      <c r="AH93" s="4"/>
      <c r="AI93" s="4"/>
      <c r="AJ93" s="4"/>
      <c r="AK93" s="4"/>
      <c r="AL93" s="4"/>
      <c r="AM93" s="5">
        <f>((((((((((((((((((((((((((((((((((((B93)+(C93))+(D93))+(E93))+(F93))+(G93))+(H93))+(I93))+(J93))+(K93))+(L93))+(M93))+(N93))+(O93))+(P93))+(Q93))+(R93))+(S93))+(T93))+(U93))+(V93))+(W93))+(X93))+(Y93))+(Z93))+(AA93))+(AB93))+(AC93))+(AD93))+(AE93))+(AF93))+(AG93))+(AH93))+(AI93))+(AJ93))+(AK93))+(AL93)</f>
        <v>3338.2200000000003</v>
      </c>
    </row>
    <row r="94" spans="1:39" x14ac:dyDescent="0.25">
      <c r="A94" s="3" t="s">
        <v>126</v>
      </c>
      <c r="B94" s="4"/>
      <c r="C94" s="4"/>
      <c r="D94" s="4"/>
      <c r="E94" s="5">
        <f>40849.87</f>
        <v>40849.870000000003</v>
      </c>
      <c r="F94" s="5">
        <f>2476.28</f>
        <v>2476.2800000000002</v>
      </c>
      <c r="G94" s="5">
        <f>177268.77</f>
        <v>177268.77</v>
      </c>
      <c r="H94" s="5">
        <f>455</f>
        <v>455</v>
      </c>
      <c r="I94" s="5">
        <f>557.01</f>
        <v>557.01</v>
      </c>
      <c r="J94" s="5">
        <f>11746.65</f>
        <v>11746.65</v>
      </c>
      <c r="K94" s="5">
        <f>0</f>
        <v>0</v>
      </c>
      <c r="L94" s="5">
        <f>4000</f>
        <v>4000</v>
      </c>
      <c r="M94" s="5">
        <f>21294.52</f>
        <v>21294.52</v>
      </c>
      <c r="N94" s="5">
        <f>11633.33</f>
        <v>11633.33</v>
      </c>
      <c r="O94" s="5">
        <f>8481.51</f>
        <v>8481.51</v>
      </c>
      <c r="P94" s="4"/>
      <c r="Q94" s="4"/>
      <c r="R94" s="5">
        <f>6631.17</f>
        <v>6631.17</v>
      </c>
      <c r="S94" s="5">
        <f>5703.36</f>
        <v>5703.36</v>
      </c>
      <c r="T94" s="5">
        <f>93696.17</f>
        <v>93696.17</v>
      </c>
      <c r="U94" s="5">
        <f>18633.61</f>
        <v>18633.61</v>
      </c>
      <c r="V94" s="5">
        <f>86.22</f>
        <v>86.22</v>
      </c>
      <c r="W94" s="5">
        <f>113698.45</f>
        <v>113698.45</v>
      </c>
      <c r="X94" s="5">
        <f>80300.86</f>
        <v>80300.86</v>
      </c>
      <c r="Y94" s="5">
        <f>11571.5</f>
        <v>11571.5</v>
      </c>
      <c r="Z94" s="5">
        <f>6466.1</f>
        <v>6466.1</v>
      </c>
      <c r="AA94" s="5">
        <f>1096.47</f>
        <v>1096.47</v>
      </c>
      <c r="AB94" s="5">
        <f>22241.28</f>
        <v>22241.279999999999</v>
      </c>
      <c r="AC94" s="5">
        <f>57735.22</f>
        <v>57735.22</v>
      </c>
      <c r="AD94" s="5">
        <f>37359.18</f>
        <v>37359.18</v>
      </c>
      <c r="AE94" s="5">
        <f>60647.2</f>
        <v>60647.199999999997</v>
      </c>
      <c r="AF94" s="5">
        <f>129.97</f>
        <v>129.97</v>
      </c>
      <c r="AG94" s="5">
        <f>273.54</f>
        <v>273.54000000000002</v>
      </c>
      <c r="AH94" s="5">
        <f>10307.74</f>
        <v>10307.74</v>
      </c>
      <c r="AI94" s="5">
        <f>3724.03</f>
        <v>3724.03</v>
      </c>
      <c r="AJ94" s="5">
        <f>8187.98</f>
        <v>8187.98</v>
      </c>
      <c r="AK94" s="5">
        <f>13475.11</f>
        <v>13475.11</v>
      </c>
      <c r="AL94" s="4"/>
      <c r="AM94" s="5">
        <f>((((((((((((((((((((((((((((((((((((B94)+(C94))+(D94))+(E94))+(F94))+(G94))+(H94))+(I94))+(J94))+(K94))+(L94))+(M94))+(N94))+(O94))+(P94))+(Q94))+(R94))+(S94))+(T94))+(U94))+(V94))+(W94))+(X94))+(Y94))+(Z94))+(AA94))+(AB94))+(AC94))+(AD94))+(AE94))+(AF94))+(AG94))+(AH94))+(AI94))+(AJ94))+(AK94))+(AL94)</f>
        <v>830728.09999999986</v>
      </c>
    </row>
    <row r="95" spans="1:39" x14ac:dyDescent="0.25">
      <c r="A95" s="3" t="s">
        <v>127</v>
      </c>
      <c r="B95" s="6">
        <f t="shared" ref="B95:AL95" si="12">((((B90)+(B91))+(B92))+(B93))+(B94)</f>
        <v>8380.7000000000007</v>
      </c>
      <c r="C95" s="6">
        <f t="shared" si="12"/>
        <v>0</v>
      </c>
      <c r="D95" s="6">
        <f t="shared" si="12"/>
        <v>0</v>
      </c>
      <c r="E95" s="6">
        <f t="shared" si="12"/>
        <v>40849.870000000003</v>
      </c>
      <c r="F95" s="6">
        <f t="shared" si="12"/>
        <v>2476.2800000000002</v>
      </c>
      <c r="G95" s="6">
        <f t="shared" si="12"/>
        <v>201532.53999999998</v>
      </c>
      <c r="H95" s="6">
        <f t="shared" si="12"/>
        <v>455</v>
      </c>
      <c r="I95" s="6">
        <f t="shared" si="12"/>
        <v>557.01</v>
      </c>
      <c r="J95" s="6">
        <f t="shared" si="12"/>
        <v>12818.65</v>
      </c>
      <c r="K95" s="6">
        <f t="shared" si="12"/>
        <v>0</v>
      </c>
      <c r="L95" s="6">
        <f t="shared" si="12"/>
        <v>4000</v>
      </c>
      <c r="M95" s="6">
        <f t="shared" si="12"/>
        <v>21294.52</v>
      </c>
      <c r="N95" s="6">
        <f t="shared" si="12"/>
        <v>11633.33</v>
      </c>
      <c r="O95" s="6">
        <f t="shared" si="12"/>
        <v>8481.51</v>
      </c>
      <c r="P95" s="6">
        <f t="shared" si="12"/>
        <v>0</v>
      </c>
      <c r="Q95" s="6">
        <f t="shared" si="12"/>
        <v>0</v>
      </c>
      <c r="R95" s="6">
        <f t="shared" si="12"/>
        <v>6631.17</v>
      </c>
      <c r="S95" s="6">
        <f t="shared" si="12"/>
        <v>5703.36</v>
      </c>
      <c r="T95" s="6">
        <f t="shared" si="12"/>
        <v>93696.17</v>
      </c>
      <c r="U95" s="6">
        <f t="shared" si="12"/>
        <v>18767.61</v>
      </c>
      <c r="V95" s="6">
        <f t="shared" si="12"/>
        <v>86.22</v>
      </c>
      <c r="W95" s="6">
        <f t="shared" si="12"/>
        <v>113966.45</v>
      </c>
      <c r="X95" s="6">
        <f t="shared" si="12"/>
        <v>80300.86</v>
      </c>
      <c r="Y95" s="6">
        <f t="shared" si="12"/>
        <v>11571.5</v>
      </c>
      <c r="Z95" s="6">
        <f t="shared" si="12"/>
        <v>6466.1</v>
      </c>
      <c r="AA95" s="6">
        <f t="shared" si="12"/>
        <v>1096.47</v>
      </c>
      <c r="AB95" s="6">
        <f t="shared" si="12"/>
        <v>22664.18</v>
      </c>
      <c r="AC95" s="6">
        <f t="shared" si="12"/>
        <v>62562.400000000001</v>
      </c>
      <c r="AD95" s="6">
        <f t="shared" si="12"/>
        <v>37627.18</v>
      </c>
      <c r="AE95" s="6">
        <f t="shared" si="12"/>
        <v>61183.42</v>
      </c>
      <c r="AF95" s="6">
        <f t="shared" si="12"/>
        <v>129.97</v>
      </c>
      <c r="AG95" s="6">
        <f t="shared" si="12"/>
        <v>483.54</v>
      </c>
      <c r="AH95" s="6">
        <f t="shared" si="12"/>
        <v>11024.74</v>
      </c>
      <c r="AI95" s="6">
        <f t="shared" si="12"/>
        <v>3724.03</v>
      </c>
      <c r="AJ95" s="6">
        <f t="shared" si="12"/>
        <v>9048.869999999999</v>
      </c>
      <c r="AK95" s="6">
        <f t="shared" si="12"/>
        <v>13475.11</v>
      </c>
      <c r="AL95" s="6">
        <f t="shared" si="12"/>
        <v>0</v>
      </c>
      <c r="AM95" s="6">
        <f>((((((((((((((((((((((((((((((((((((B95)+(C95))+(D95))+(E95))+(F95))+(G95))+(H95))+(I95))+(J95))+(K95))+(L95))+(M95))+(N95))+(O95))+(P95))+(Q95))+(R95))+(S95))+(T95))+(U95))+(V95))+(W95))+(X95))+(Y95))+(Z95))+(AA95))+(AB95))+(AC95))+(AD95))+(AE95))+(AF95))+(AG95))+(AH95))+(AI95))+(AJ95))+(AK95))+(AL95)</f>
        <v>872688.76</v>
      </c>
    </row>
    <row r="96" spans="1:39" x14ac:dyDescent="0.25">
      <c r="A96" s="3" t="s">
        <v>128</v>
      </c>
      <c r="B96" s="6">
        <f t="shared" ref="B96:AL96" si="13">(((((((((B35)+(B47))+(B54))+(B55))+(B67))+(B72))+(B81))+(B88))+(B89))+(B95)</f>
        <v>1198420.8499999999</v>
      </c>
      <c r="C96" s="6">
        <f t="shared" si="13"/>
        <v>215</v>
      </c>
      <c r="D96" s="6">
        <f t="shared" si="13"/>
        <v>4712</v>
      </c>
      <c r="E96" s="6">
        <f t="shared" si="13"/>
        <v>568930.64</v>
      </c>
      <c r="F96" s="6">
        <f t="shared" si="13"/>
        <v>52001.86</v>
      </c>
      <c r="G96" s="6">
        <f t="shared" si="13"/>
        <v>1815199.6599999997</v>
      </c>
      <c r="H96" s="6">
        <f t="shared" si="13"/>
        <v>5000</v>
      </c>
      <c r="I96" s="6">
        <f t="shared" si="13"/>
        <v>7528.17</v>
      </c>
      <c r="J96" s="6">
        <f t="shared" si="13"/>
        <v>130052.65</v>
      </c>
      <c r="K96" s="6">
        <f t="shared" si="13"/>
        <v>50000</v>
      </c>
      <c r="L96" s="6">
        <f t="shared" si="13"/>
        <v>54000</v>
      </c>
      <c r="M96" s="6">
        <f t="shared" si="13"/>
        <v>234806.78999999998</v>
      </c>
      <c r="N96" s="6">
        <f t="shared" si="13"/>
        <v>127966.69999999998</v>
      </c>
      <c r="O96" s="6">
        <f t="shared" si="13"/>
        <v>114500.58</v>
      </c>
      <c r="P96" s="6">
        <f t="shared" si="13"/>
        <v>999.85</v>
      </c>
      <c r="Q96" s="6">
        <f t="shared" si="13"/>
        <v>6003.98</v>
      </c>
      <c r="R96" s="6">
        <f t="shared" si="13"/>
        <v>74336.799999999988</v>
      </c>
      <c r="S96" s="6">
        <f t="shared" si="13"/>
        <v>62736.85</v>
      </c>
      <c r="T96" s="6">
        <f t="shared" si="13"/>
        <v>1030657.7799999999</v>
      </c>
      <c r="U96" s="6">
        <f t="shared" si="13"/>
        <v>205410.39</v>
      </c>
      <c r="V96" s="6">
        <f t="shared" si="13"/>
        <v>1163.97</v>
      </c>
      <c r="W96" s="6">
        <f t="shared" si="13"/>
        <v>985751.61999999988</v>
      </c>
      <c r="X96" s="6">
        <f t="shared" si="13"/>
        <v>749474.7</v>
      </c>
      <c r="Y96" s="6">
        <f t="shared" si="13"/>
        <v>259978.96</v>
      </c>
      <c r="Z96" s="6">
        <f t="shared" si="13"/>
        <v>87292.52</v>
      </c>
      <c r="AA96" s="6">
        <f t="shared" si="13"/>
        <v>14910.079999999998</v>
      </c>
      <c r="AB96" s="6">
        <f t="shared" si="13"/>
        <v>296862.41000000003</v>
      </c>
      <c r="AC96" s="6">
        <f t="shared" si="13"/>
        <v>780135.03000000014</v>
      </c>
      <c r="AD96" s="6">
        <f t="shared" si="13"/>
        <v>305323.83999999997</v>
      </c>
      <c r="AE96" s="6">
        <f t="shared" si="13"/>
        <v>656877.84000000008</v>
      </c>
      <c r="AF96" s="6">
        <f t="shared" si="13"/>
        <v>6590</v>
      </c>
      <c r="AG96" s="6">
        <f t="shared" si="13"/>
        <v>13950.550000000001</v>
      </c>
      <c r="AH96" s="6">
        <f t="shared" si="13"/>
        <v>86255.780000000013</v>
      </c>
      <c r="AI96" s="6">
        <f t="shared" si="13"/>
        <v>38691.599999999999</v>
      </c>
      <c r="AJ96" s="6">
        <f t="shared" si="13"/>
        <v>72830</v>
      </c>
      <c r="AK96" s="6">
        <f t="shared" si="13"/>
        <v>218751.90999999997</v>
      </c>
      <c r="AL96" s="6">
        <f t="shared" si="13"/>
        <v>0</v>
      </c>
      <c r="AM96" s="6">
        <f>((((((((((((((((((((((((((((((((((((B96)+(C96))+(D96))+(E96))+(F96))+(G96))+(H96))+(I96))+(J96))+(K96))+(L96))+(M96))+(N96))+(O96))+(P96))+(Q96))+(R96))+(S96))+(T96))+(U96))+(V96))+(W96))+(X96))+(Y96))+(Z96))+(AA96))+(AB96))+(AC96))+(AD96))+(AE96))+(AF96))+(AG96))+(AH96))+(AI96))+(AJ96))+(AK96))+(AL96)</f>
        <v>10318321.359999998</v>
      </c>
    </row>
    <row r="97" spans="1:39" x14ac:dyDescent="0.25">
      <c r="A97" s="3" t="s">
        <v>129</v>
      </c>
      <c r="B97" s="6">
        <f t="shared" ref="B97:AL97" si="14">(B30)-(B96)</f>
        <v>230325.7200000002</v>
      </c>
      <c r="C97" s="6">
        <f t="shared" si="14"/>
        <v>70.920000000000016</v>
      </c>
      <c r="D97" s="6">
        <f t="shared" si="14"/>
        <v>0</v>
      </c>
      <c r="E97" s="6">
        <f t="shared" si="14"/>
        <v>0</v>
      </c>
      <c r="F97" s="6">
        <f t="shared" si="14"/>
        <v>0</v>
      </c>
      <c r="G97" s="6">
        <f t="shared" si="14"/>
        <v>56713.970000000205</v>
      </c>
      <c r="H97" s="6">
        <f t="shared" si="14"/>
        <v>0</v>
      </c>
      <c r="I97" s="6">
        <f t="shared" si="14"/>
        <v>0</v>
      </c>
      <c r="J97" s="6">
        <f t="shared" si="14"/>
        <v>0</v>
      </c>
      <c r="K97" s="6">
        <f t="shared" si="14"/>
        <v>0</v>
      </c>
      <c r="L97" s="6">
        <f t="shared" si="14"/>
        <v>0</v>
      </c>
      <c r="M97" s="6">
        <f t="shared" si="14"/>
        <v>-659.9999999999709</v>
      </c>
      <c r="N97" s="6">
        <f t="shared" si="14"/>
        <v>997.10000000002037</v>
      </c>
      <c r="O97" s="6">
        <f t="shared" si="14"/>
        <v>0</v>
      </c>
      <c r="P97" s="6">
        <f t="shared" si="14"/>
        <v>-999.85</v>
      </c>
      <c r="Q97" s="6">
        <f t="shared" si="14"/>
        <v>123601.58</v>
      </c>
      <c r="R97" s="6">
        <f t="shared" si="14"/>
        <v>34200.810000000012</v>
      </c>
      <c r="S97" s="6">
        <f t="shared" si="14"/>
        <v>7822.6500000000015</v>
      </c>
      <c r="T97" s="6">
        <f t="shared" si="14"/>
        <v>0</v>
      </c>
      <c r="U97" s="6">
        <f t="shared" si="14"/>
        <v>271730.41000000003</v>
      </c>
      <c r="V97" s="6">
        <f t="shared" si="14"/>
        <v>0</v>
      </c>
      <c r="W97" s="6">
        <f t="shared" si="14"/>
        <v>0</v>
      </c>
      <c r="X97" s="6">
        <f t="shared" si="14"/>
        <v>-1.0000000009313226E-2</v>
      </c>
      <c r="Y97" s="6">
        <f t="shared" si="14"/>
        <v>0</v>
      </c>
      <c r="Z97" s="6">
        <f t="shared" si="14"/>
        <v>0</v>
      </c>
      <c r="AA97" s="6">
        <f t="shared" si="14"/>
        <v>0</v>
      </c>
      <c r="AB97" s="6">
        <f t="shared" si="14"/>
        <v>0</v>
      </c>
      <c r="AC97" s="6">
        <f t="shared" si="14"/>
        <v>0</v>
      </c>
      <c r="AD97" s="6">
        <f t="shared" si="14"/>
        <v>499.23000000003958</v>
      </c>
      <c r="AE97" s="6">
        <f t="shared" si="14"/>
        <v>0</v>
      </c>
      <c r="AF97" s="6">
        <f t="shared" si="14"/>
        <v>0</v>
      </c>
      <c r="AG97" s="6">
        <f t="shared" si="14"/>
        <v>0</v>
      </c>
      <c r="AH97" s="6">
        <f t="shared" si="14"/>
        <v>0</v>
      </c>
      <c r="AI97" s="6">
        <f t="shared" si="14"/>
        <v>2129.9000000000015</v>
      </c>
      <c r="AJ97" s="6">
        <f t="shared" si="14"/>
        <v>0</v>
      </c>
      <c r="AK97" s="6">
        <f t="shared" si="14"/>
        <v>5093.390000000014</v>
      </c>
      <c r="AL97" s="6">
        <f t="shared" si="14"/>
        <v>0</v>
      </c>
      <c r="AM97" s="6">
        <f>((((((((((((((((((((((((((((((((((((B97)+(C97))+(D97))+(E97))+(F97))+(G97))+(H97))+(I97))+(J97))+(K97))+(L97))+(M97))+(N97))+(O97))+(P97))+(Q97))+(R97))+(S97))+(T97))+(U97))+(V97))+(W97))+(X97))+(Y97))+(Z97))+(AA97))+(AB97))+(AC97))+(AD97))+(AE97))+(AF97))+(AG97))+(AH97))+(AI97))+(AJ97))+(AK97))+(AL97)</f>
        <v>731525.82000000053</v>
      </c>
    </row>
    <row r="98" spans="1:39" x14ac:dyDescent="0.25">
      <c r="A98" s="3" t="s">
        <v>130</v>
      </c>
      <c r="B98" s="7">
        <f t="shared" ref="B98:AL98" si="15">(B97)+(0)</f>
        <v>230325.7200000002</v>
      </c>
      <c r="C98" s="7">
        <f t="shared" si="15"/>
        <v>70.920000000000016</v>
      </c>
      <c r="D98" s="7">
        <f t="shared" si="15"/>
        <v>0</v>
      </c>
      <c r="E98" s="7">
        <f t="shared" si="15"/>
        <v>0</v>
      </c>
      <c r="F98" s="7">
        <f t="shared" si="15"/>
        <v>0</v>
      </c>
      <c r="G98" s="7">
        <f t="shared" si="15"/>
        <v>56713.970000000205</v>
      </c>
      <c r="H98" s="7">
        <f t="shared" si="15"/>
        <v>0</v>
      </c>
      <c r="I98" s="7">
        <f t="shared" si="15"/>
        <v>0</v>
      </c>
      <c r="J98" s="7">
        <f t="shared" si="15"/>
        <v>0</v>
      </c>
      <c r="K98" s="7">
        <f t="shared" si="15"/>
        <v>0</v>
      </c>
      <c r="L98" s="7">
        <f t="shared" si="15"/>
        <v>0</v>
      </c>
      <c r="M98" s="7">
        <f t="shared" si="15"/>
        <v>-659.9999999999709</v>
      </c>
      <c r="N98" s="7">
        <f t="shared" si="15"/>
        <v>997.10000000002037</v>
      </c>
      <c r="O98" s="7">
        <f t="shared" si="15"/>
        <v>0</v>
      </c>
      <c r="P98" s="7">
        <f t="shared" si="15"/>
        <v>-999.85</v>
      </c>
      <c r="Q98" s="7">
        <f t="shared" si="15"/>
        <v>123601.58</v>
      </c>
      <c r="R98" s="7">
        <f t="shared" si="15"/>
        <v>34200.810000000012</v>
      </c>
      <c r="S98" s="7">
        <f t="shared" si="15"/>
        <v>7822.6500000000015</v>
      </c>
      <c r="T98" s="7">
        <f t="shared" si="15"/>
        <v>0</v>
      </c>
      <c r="U98" s="7">
        <f t="shared" si="15"/>
        <v>271730.41000000003</v>
      </c>
      <c r="V98" s="7">
        <f t="shared" si="15"/>
        <v>0</v>
      </c>
      <c r="W98" s="7">
        <f t="shared" si="15"/>
        <v>0</v>
      </c>
      <c r="X98" s="7">
        <f t="shared" si="15"/>
        <v>-1.0000000009313226E-2</v>
      </c>
      <c r="Y98" s="7">
        <f t="shared" si="15"/>
        <v>0</v>
      </c>
      <c r="Z98" s="7">
        <f t="shared" si="15"/>
        <v>0</v>
      </c>
      <c r="AA98" s="7">
        <f t="shared" si="15"/>
        <v>0</v>
      </c>
      <c r="AB98" s="7">
        <f t="shared" si="15"/>
        <v>0</v>
      </c>
      <c r="AC98" s="7">
        <f t="shared" si="15"/>
        <v>0</v>
      </c>
      <c r="AD98" s="7">
        <f t="shared" si="15"/>
        <v>499.23000000003958</v>
      </c>
      <c r="AE98" s="7">
        <f t="shared" si="15"/>
        <v>0</v>
      </c>
      <c r="AF98" s="7">
        <f t="shared" si="15"/>
        <v>0</v>
      </c>
      <c r="AG98" s="7">
        <f t="shared" si="15"/>
        <v>0</v>
      </c>
      <c r="AH98" s="7">
        <f t="shared" si="15"/>
        <v>0</v>
      </c>
      <c r="AI98" s="7">
        <f t="shared" si="15"/>
        <v>2129.9000000000015</v>
      </c>
      <c r="AJ98" s="7">
        <f t="shared" si="15"/>
        <v>0</v>
      </c>
      <c r="AK98" s="7">
        <f t="shared" si="15"/>
        <v>5093.390000000014</v>
      </c>
      <c r="AL98" s="7">
        <f t="shared" si="15"/>
        <v>0</v>
      </c>
      <c r="AM98" s="7">
        <f>((((((((((((((((((((((((((((((((((((B98)+(C98))+(D98))+(E98))+(F98))+(G98))+(H98))+(I98))+(J98))+(K98))+(L98))+(M98))+(N98))+(O98))+(P98))+(Q98))+(R98))+(S98))+(T98))+(U98))+(V98))+(W98))+(X98))+(Y98))+(Z98))+(AA98))+(AB98))+(AC98))+(AD98))+(AE98))+(AF98))+(AG98))+(AH98))+(AI98))+(AJ98))+(AK98))+(AL98)</f>
        <v>731525.82000000053</v>
      </c>
    </row>
    <row r="99" spans="1:39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2" spans="1:39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</sheetData>
  <sheetProtection algorithmName="SHA-512" hashValue="WDIRMYsfiPMGM+XxKicNMEZyC+H18/vDmHjEPkCGTFbTGBZVOKVgfUY4WzBL+9iKFoUwK9EbV1qTSA6lm52weg==" saltValue="FcQoAWDzcIdGJQ0sC3XqzQ==" spinCount="100000" sheet="1" objects="1" scenarios="1"/>
  <mergeCells count="4">
    <mergeCell ref="A102:AM102"/>
    <mergeCell ref="A1:AM1"/>
    <mergeCell ref="A2:AM2"/>
    <mergeCell ref="A3:AM3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Perkins</cp:lastModifiedBy>
  <cp:lastPrinted>2023-08-02T16:23:19Z</cp:lastPrinted>
  <dcterms:created xsi:type="dcterms:W3CDTF">2023-08-02T16:22:59Z</dcterms:created>
  <dcterms:modified xsi:type="dcterms:W3CDTF">2023-08-02T16:25:07Z</dcterms:modified>
</cp:coreProperties>
</file>