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OOKKEEPER\Board Reports\2023-24\"/>
    </mc:Choice>
  </mc:AlternateContent>
  <xr:revisionPtr revIDLastSave="0" documentId="13_ncr:1_{4B617D2D-6158-4494-9FC1-BBD2442B06F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rofit and Loss" sheetId="1" r:id="rId1"/>
  </sheets>
  <calcPr calcId="191029"/>
</workbook>
</file>

<file path=xl/calcChain.xml><?xml version="1.0" encoding="utf-8"?>
<calcChain xmlns="http://schemas.openxmlformats.org/spreadsheetml/2006/main">
  <c r="C101" i="1" l="1"/>
  <c r="C99" i="1"/>
  <c r="C97" i="1"/>
  <c r="C96" i="1"/>
  <c r="C100" i="1" s="1"/>
  <c r="C94" i="1"/>
  <c r="C92" i="1"/>
  <c r="C91" i="1"/>
  <c r="C90" i="1"/>
  <c r="C89" i="1"/>
  <c r="C88" i="1"/>
  <c r="C87" i="1"/>
  <c r="C84" i="1"/>
  <c r="C83" i="1"/>
  <c r="C82" i="1"/>
  <c r="C81" i="1"/>
  <c r="C80" i="1"/>
  <c r="C79" i="1"/>
  <c r="C78" i="1"/>
  <c r="C77" i="1"/>
  <c r="C74" i="1"/>
  <c r="C73" i="1"/>
  <c r="C72" i="1"/>
  <c r="C68" i="1"/>
  <c r="C67" i="1"/>
  <c r="C66" i="1"/>
  <c r="C65" i="1"/>
  <c r="C64" i="1"/>
  <c r="C63" i="1"/>
  <c r="C62" i="1"/>
  <c r="C61" i="1"/>
  <c r="C58" i="1"/>
  <c r="C56" i="1"/>
  <c r="C55" i="1"/>
  <c r="C53" i="1"/>
  <c r="C52" i="1"/>
  <c r="C51" i="1"/>
  <c r="C49" i="1"/>
  <c r="C48" i="1"/>
  <c r="C47" i="1"/>
  <c r="C46" i="1"/>
  <c r="C45" i="1"/>
  <c r="C44" i="1"/>
  <c r="C43" i="1"/>
  <c r="C42" i="1"/>
  <c r="C41" i="1"/>
  <c r="C40" i="1"/>
  <c r="C37" i="1"/>
  <c r="C36" i="1"/>
  <c r="C35" i="1"/>
  <c r="C30" i="1"/>
  <c r="C29" i="1"/>
  <c r="C23" i="1"/>
  <c r="C25" i="1" s="1"/>
  <c r="C21" i="1"/>
  <c r="C20" i="1"/>
  <c r="C19" i="1"/>
  <c r="C18" i="1"/>
  <c r="C17" i="1"/>
  <c r="C14" i="1"/>
  <c r="C13" i="1"/>
  <c r="C12" i="1"/>
  <c r="C11" i="1"/>
  <c r="C9" i="1"/>
  <c r="C93" i="1" l="1"/>
  <c r="C57" i="1"/>
  <c r="C31" i="1"/>
  <c r="C85" i="1"/>
  <c r="C38" i="1"/>
  <c r="C50" i="1"/>
  <c r="C70" i="1"/>
  <c r="C75" i="1"/>
  <c r="C22" i="1"/>
  <c r="B99" i="1"/>
  <c r="B98" i="1"/>
  <c r="B97" i="1"/>
  <c r="B96" i="1"/>
  <c r="B94" i="1"/>
  <c r="B92" i="1"/>
  <c r="B91" i="1"/>
  <c r="B89" i="1"/>
  <c r="B88" i="1"/>
  <c r="B87" i="1"/>
  <c r="B84" i="1"/>
  <c r="B83" i="1"/>
  <c r="B82" i="1"/>
  <c r="B81" i="1"/>
  <c r="B79" i="1"/>
  <c r="B78" i="1"/>
  <c r="B77" i="1"/>
  <c r="B74" i="1"/>
  <c r="B73" i="1"/>
  <c r="B72" i="1"/>
  <c r="B69" i="1"/>
  <c r="B68" i="1"/>
  <c r="B67" i="1"/>
  <c r="B66" i="1"/>
  <c r="B65" i="1"/>
  <c r="B64" i="1"/>
  <c r="B63" i="1"/>
  <c r="B62" i="1"/>
  <c r="B61" i="1"/>
  <c r="B60" i="1"/>
  <c r="B58" i="1"/>
  <c r="B56" i="1"/>
  <c r="B55" i="1"/>
  <c r="B54" i="1"/>
  <c r="B53" i="1"/>
  <c r="B52" i="1"/>
  <c r="B51" i="1"/>
  <c r="B49" i="1"/>
  <c r="B48" i="1"/>
  <c r="B47" i="1"/>
  <c r="B46" i="1"/>
  <c r="B45" i="1"/>
  <c r="B44" i="1"/>
  <c r="B43" i="1"/>
  <c r="B42" i="1"/>
  <c r="B41" i="1"/>
  <c r="B40" i="1"/>
  <c r="B39" i="1"/>
  <c r="B37" i="1"/>
  <c r="B36" i="1"/>
  <c r="B30" i="1"/>
  <c r="B29" i="1"/>
  <c r="B28" i="1"/>
  <c r="B27" i="1"/>
  <c r="B26" i="1"/>
  <c r="B24" i="1"/>
  <c r="B23" i="1"/>
  <c r="B25" i="1" s="1"/>
  <c r="B21" i="1"/>
  <c r="B20" i="1"/>
  <c r="B19" i="1"/>
  <c r="B18" i="1"/>
  <c r="B17" i="1"/>
  <c r="B16" i="1"/>
  <c r="B15" i="1"/>
  <c r="B14" i="1"/>
  <c r="B13" i="1"/>
  <c r="B12" i="1"/>
  <c r="B11" i="1"/>
  <c r="B10" i="1"/>
  <c r="B22" i="1" l="1"/>
  <c r="B75" i="1"/>
  <c r="C32" i="1"/>
  <c r="C33" i="1" s="1"/>
  <c r="C102" i="1"/>
  <c r="C103" i="1" s="1"/>
  <c r="C104" i="1" s="1"/>
  <c r="B93" i="1"/>
  <c r="B100" i="1"/>
  <c r="B50" i="1"/>
  <c r="B70" i="1"/>
  <c r="B31" i="1"/>
  <c r="B32" i="1" s="1"/>
  <c r="B33" i="1" s="1"/>
  <c r="B57" i="1"/>
  <c r="B85" i="1"/>
  <c r="B38" i="1"/>
  <c r="B102" i="1" l="1"/>
  <c r="B103" i="1" s="1"/>
  <c r="B104" i="1" s="1"/>
</calcChain>
</file>

<file path=xl/sharedStrings.xml><?xml version="1.0" encoding="utf-8"?>
<sst xmlns="http://schemas.openxmlformats.org/spreadsheetml/2006/main" count="103" uniqueCount="103">
  <si>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</si>
  <si>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</si>
  <si>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</si>
  <si>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</si>
  <si>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</si>
  <si>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</si>
  <si>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</si>
  <si>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</si>
  <si>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</si>
  <si>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</si>
  <si>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</si>
  <si>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</si>
  <si>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</si>
  <si>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</si>
  <si>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</si>
  <si>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</si>
  <si>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</si>
  <si>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</si>
  <si>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</si>
  <si>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</si>
  <si>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</si>
  <si>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</si>
  <si>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</si>
  <si>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</si>
  <si>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</si>
  <si>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</si>
  <si>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</si>
  <si>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</si>
  <si>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</si>
  <si>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</si>
  <si>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</si>
  <si>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</si>
  <si>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</si>
  <si>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</si>
  <si>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</si>
  <si>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</si>
  <si>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</si>
  <si>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</si>
  <si>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</si>
  <si>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</si>
  <si>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</si>
  <si>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</si>
  <si>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</si>
  <si>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</si>
  <si>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</si>
  <si>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40332 SPECIAL INITIATIVE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</si>
  <si>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</si>
  <si>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</si>
  <si>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</si>
  <si>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</si>
  <si>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</si>
  <si>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</si>
  <si>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</si>
  <si>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</si>
  <si>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</si>
  <si>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</si>
  <si>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</si>
  <si>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</si>
  <si>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</si>
  <si>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</si>
  <si>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   40850 BUILDING REPAIR FUND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</si>
  <si>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</si>
  <si>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</si>
  <si>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</si>
  <si>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</si>
  <si>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</si>
  <si>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</si>
  <si>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</si>
  <si>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</si>
  <si>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</si>
  <si>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</si>
  <si>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</si>
  <si>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</si>
  <si>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</si>
  <si>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</si>
  <si>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</si>
  <si>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</si>
  <si>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</si>
  <si>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</si>
  <si>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</si>
  <si>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</si>
  <si>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</si>
  <si>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</si>
  <si>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40721 DEPRECIATION</t>
  </si>
  <si>
    <t xml:space="preserve">   40800 OTHER EXPENSES</t>
  </si>
  <si>
    <t xml:space="preserve">      40810 DUES AND FEES</t>
  </si>
  <si>
    <t xml:space="preserve">      40830 DISTRICT RECORD FEE</t>
  </si>
  <si>
    <t xml:space="preserve">      40899 OTHER MIISCELLANEOUS EXPENSES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</si>
  <si>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</si>
  <si>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</si>
  <si>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</si>
  <si>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</si>
  <si>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</si>
  <si>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</si>
  <si>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Actual</t>
  </si>
  <si>
    <t>Budget</t>
  </si>
  <si>
    <t xml:space="preserve">   30999 BEGINNING BALANCE</t>
  </si>
  <si>
    <t xml:space="preserve">      40540 ADVERTISING</t>
  </si>
  <si>
    <t xml:space="preserve">      40581 TRAVEL/TRAINING</t>
  </si>
  <si>
    <t xml:space="preserve">   40840 CONTINGENCY</t>
  </si>
  <si>
    <t>Budget vs. Actuals: 2022-23 Budget Report - FY23 P&amp;L  Classes</t>
  </si>
  <si>
    <t xml:space="preserve">                                              Total</t>
  </si>
  <si>
    <t xml:space="preserve">                               July 2022 -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</si>
</sst>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7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8"/>
  <sheetViews>
    <sheetView tabSelected="1" topLeftCell="A94" workbookViewId="0">
      <selection activeCell="F24" sqref="F24"/>
    </sheetView>
  </sheetViews>
  <sheetFormatPr defaultRowHeight="15" x14ac:dyDescent="0.25"/>
  <cols>
    <col min="1" max="1" width="37.42578125" customWidth="1"/>
    <col min="2" max="2" width="24.7109375" customWidth="1"/>
    <col min="3" max="3" width="25.7109375" customWidth="1"/>
  </cols>
  <sheetData>
    <row r="1" spans="1:3" ht="18" x14ac:dyDescent="0.25">
      <c r="A1" s="10" t="s">
        <v>93</v>
      </c>
      <c r="B1" s="9"/>
      <c r="C1" s="9"/>
    </row>
    <row r="2" spans="1:3" ht="18" x14ac:dyDescent="0.25">
      <c r="A2" s="10" t="s">
        <v>100</v>
      </c>
      <c r="B2" s="9"/>
      <c r="C2" s="9"/>
    </row>
    <row r="3" spans="1:3" x14ac:dyDescent="0.25">
      <c r="A3" s="11" t="s">
        <v>102</v>
      </c>
      <c r="B3" s="9"/>
    </row>
    <row r="4" spans="1:3" x14ac:dyDescent="0.25">
      <c r="A4" s="7"/>
    </row>
    <row r="5" spans="1:3" x14ac:dyDescent="0.25">
      <c r="A5" s="7"/>
      <c r="B5" s="12" t="s">
        <v>101</v>
      </c>
    </row>
    <row r="7" spans="1:3" x14ac:dyDescent="0.25">
      <c r="A7" s="1"/>
      <c r="B7" s="13" t="s">
        <v>94</v>
      </c>
      <c r="C7" s="13" t="s">
        <v>95</v>
      </c>
    </row>
    <row r="8" spans="1:3" x14ac:dyDescent="0.25">
      <c r="A8" s="2" t="s">
        <v>0</v>
      </c>
      <c r="B8" s="3"/>
      <c r="C8" s="3"/>
    </row>
    <row r="9" spans="1:3" x14ac:dyDescent="0.25">
      <c r="A9" s="2" t="s">
        <v>96</v>
      </c>
      <c r="B9" s="3"/>
      <c r="C9" s="4">
        <f>5296</f>
        <v>5296</v>
      </c>
    </row>
    <row r="10" spans="1:3" x14ac:dyDescent="0.25">
      <c r="A10" s="2" t="s">
        <v>1</v>
      </c>
      <c r="B10" s="4">
        <f>7500</f>
        <v>7500</v>
      </c>
      <c r="C10" s="3"/>
    </row>
    <row r="11" spans="1:3" x14ac:dyDescent="0.25">
      <c r="A11" s="2" t="s">
        <v>2</v>
      </c>
      <c r="B11" s="4">
        <f>260324.07</f>
        <v>260324.07</v>
      </c>
      <c r="C11" s="4">
        <f>287500</f>
        <v>287500</v>
      </c>
    </row>
    <row r="12" spans="1:3" x14ac:dyDescent="0.25">
      <c r="A12" s="2" t="s">
        <v>3</v>
      </c>
      <c r="B12" s="4">
        <f>81020.45</f>
        <v>81020.45</v>
      </c>
      <c r="C12" s="4">
        <f>300</f>
        <v>300</v>
      </c>
    </row>
    <row r="13" spans="1:3" x14ac:dyDescent="0.25">
      <c r="A13" s="2" t="s">
        <v>4</v>
      </c>
      <c r="B13" s="4">
        <f>329290.56</f>
        <v>329290.56</v>
      </c>
      <c r="C13" s="4">
        <f>58000</f>
        <v>58000</v>
      </c>
    </row>
    <row r="14" spans="1:3" x14ac:dyDescent="0.25">
      <c r="A14" s="2" t="s">
        <v>5</v>
      </c>
      <c r="B14" s="4">
        <f>954941.23</f>
        <v>954941.23</v>
      </c>
      <c r="C14" s="4">
        <f>529700.96</f>
        <v>529700.96</v>
      </c>
    </row>
    <row r="15" spans="1:3" x14ac:dyDescent="0.25">
      <c r="A15" s="2" t="s">
        <v>6</v>
      </c>
      <c r="B15" s="4">
        <f>1750</f>
        <v>1750</v>
      </c>
      <c r="C15" s="3"/>
    </row>
    <row r="16" spans="1:3" x14ac:dyDescent="0.25">
      <c r="A16" s="2" t="s">
        <v>7</v>
      </c>
      <c r="B16" s="4">
        <f>11267.68</f>
        <v>11267.68</v>
      </c>
      <c r="C16" s="3"/>
    </row>
    <row r="17" spans="1:3" x14ac:dyDescent="0.25">
      <c r="A17" s="2" t="s">
        <v>8</v>
      </c>
      <c r="B17" s="4">
        <f>59599.68</f>
        <v>59599.68</v>
      </c>
      <c r="C17" s="4">
        <f>70000</f>
        <v>70000</v>
      </c>
    </row>
    <row r="18" spans="1:3" x14ac:dyDescent="0.25">
      <c r="A18" s="2" t="s">
        <v>9</v>
      </c>
      <c r="B18" s="4">
        <f>821248.51</f>
        <v>821248.51</v>
      </c>
      <c r="C18" s="4">
        <f>737393</f>
        <v>737393</v>
      </c>
    </row>
    <row r="19" spans="1:3" x14ac:dyDescent="0.25">
      <c r="A19" s="2" t="s">
        <v>10</v>
      </c>
      <c r="B19" s="4">
        <f>58200</f>
        <v>58200</v>
      </c>
      <c r="C19" s="4">
        <f>61700</f>
        <v>61700</v>
      </c>
    </row>
    <row r="20" spans="1:3" x14ac:dyDescent="0.25">
      <c r="A20" s="2" t="s">
        <v>11</v>
      </c>
      <c r="B20" s="4">
        <f>3157.95</f>
        <v>3157.95</v>
      </c>
      <c r="C20" s="4">
        <f>750</f>
        <v>750</v>
      </c>
    </row>
    <row r="21" spans="1:3" x14ac:dyDescent="0.25">
      <c r="A21" s="2" t="s">
        <v>12</v>
      </c>
      <c r="B21" s="4">
        <f>195515.96</f>
        <v>195515.96</v>
      </c>
      <c r="C21" s="4">
        <f>194830</f>
        <v>194830</v>
      </c>
    </row>
    <row r="22" spans="1:3" x14ac:dyDescent="0.25">
      <c r="A22" s="2" t="s">
        <v>13</v>
      </c>
      <c r="B22" s="5">
        <f>(((((((((((B10)+(B11))+(B12))+(B13))+(B14))+(B15))+(B16))+(B17))+(B18))+(B19))+(B20))+(B21)</f>
        <v>2783816.09</v>
      </c>
      <c r="C22" s="6">
        <f>(((((((((((C10)+(C11))+(C12))+(C13))+(C14))+(C15))+(C16))+(C17))+(C18))+(C19))+(C20))+(C21)</f>
        <v>1940173.96</v>
      </c>
    </row>
    <row r="23" spans="1:3" x14ac:dyDescent="0.25">
      <c r="A23" s="2" t="s">
        <v>14</v>
      </c>
      <c r="B23" s="4">
        <f>1839007.08</f>
        <v>1839007.08</v>
      </c>
      <c r="C23" s="4">
        <f>1636611</f>
        <v>1636611</v>
      </c>
    </row>
    <row r="24" spans="1:3" x14ac:dyDescent="0.25">
      <c r="A24" s="2" t="s">
        <v>15</v>
      </c>
      <c r="B24" s="4">
        <f>27093.14</f>
        <v>27093.14</v>
      </c>
      <c r="C24" s="3"/>
    </row>
    <row r="25" spans="1:3" x14ac:dyDescent="0.25">
      <c r="A25" s="2" t="s">
        <v>16</v>
      </c>
      <c r="B25" s="5">
        <f>(B23)+(B24)</f>
        <v>1866100.22</v>
      </c>
      <c r="C25" s="6">
        <f>(C23)+(C24)</f>
        <v>1636611</v>
      </c>
    </row>
    <row r="26" spans="1:3" x14ac:dyDescent="0.25">
      <c r="A26" s="2" t="s">
        <v>17</v>
      </c>
      <c r="B26" s="4">
        <f>52920</f>
        <v>52920</v>
      </c>
      <c r="C26" s="3"/>
    </row>
    <row r="27" spans="1:3" x14ac:dyDescent="0.25">
      <c r="A27" s="2" t="s">
        <v>18</v>
      </c>
      <c r="B27" s="4">
        <f>42681.82</f>
        <v>42681.82</v>
      </c>
      <c r="C27" s="3"/>
    </row>
    <row r="28" spans="1:3" x14ac:dyDescent="0.25">
      <c r="A28" s="2" t="s">
        <v>19</v>
      </c>
      <c r="B28" s="4">
        <f>-133705</f>
        <v>-133705</v>
      </c>
      <c r="C28" s="3"/>
    </row>
    <row r="29" spans="1:3" x14ac:dyDescent="0.25">
      <c r="A29" s="2" t="s">
        <v>20</v>
      </c>
      <c r="B29" s="4">
        <f>1867424.99</f>
        <v>1867424.99</v>
      </c>
      <c r="C29" s="4">
        <f>1922439.7</f>
        <v>1922439.7</v>
      </c>
    </row>
    <row r="30" spans="1:3" x14ac:dyDescent="0.25">
      <c r="A30" s="2" t="s">
        <v>21</v>
      </c>
      <c r="B30" s="4">
        <f>4570609.06</f>
        <v>4570609.0599999996</v>
      </c>
      <c r="C30" s="4">
        <f>6344851</f>
        <v>6344851</v>
      </c>
    </row>
    <row r="31" spans="1:3" x14ac:dyDescent="0.25">
      <c r="A31" s="2" t="s">
        <v>22</v>
      </c>
      <c r="B31" s="5">
        <f>((B28)+(B29))+(B30)</f>
        <v>6304329.0499999998</v>
      </c>
      <c r="C31" s="6">
        <f>((C28)+(C29))+(C30)</f>
        <v>8267290.7000000002</v>
      </c>
    </row>
    <row r="32" spans="1:3" x14ac:dyDescent="0.25">
      <c r="A32" s="2" t="s">
        <v>23</v>
      </c>
      <c r="B32" s="5">
        <f>((((B22)+(B25))+(B26))+(B27))+(B31)</f>
        <v>11049847.18</v>
      </c>
      <c r="C32" s="6">
        <f>(((((C9)+(C22))+(C25))+(C26))+(C27))+(C31)</f>
        <v>11849371.66</v>
      </c>
    </row>
    <row r="33" spans="1:3" x14ac:dyDescent="0.25">
      <c r="A33" s="2" t="s">
        <v>24</v>
      </c>
      <c r="B33" s="5">
        <f>(B32)-(0)</f>
        <v>11049847.18</v>
      </c>
      <c r="C33" s="6">
        <f>(C32)-(0)</f>
        <v>11849371.66</v>
      </c>
    </row>
    <row r="34" spans="1:3" x14ac:dyDescent="0.25">
      <c r="A34" s="2" t="s">
        <v>25</v>
      </c>
      <c r="B34" s="3"/>
      <c r="C34" s="3"/>
    </row>
    <row r="35" spans="1:3" x14ac:dyDescent="0.25">
      <c r="A35" s="2" t="s">
        <v>26</v>
      </c>
      <c r="B35" s="3"/>
      <c r="C35" s="4">
        <f>9220</f>
        <v>9220</v>
      </c>
    </row>
    <row r="36" spans="1:3" x14ac:dyDescent="0.25">
      <c r="A36" s="2" t="s">
        <v>27</v>
      </c>
      <c r="B36" s="4">
        <f>3909976.46</f>
        <v>3909976.46</v>
      </c>
      <c r="C36" s="4">
        <f>3985443.79</f>
        <v>3985443.79</v>
      </c>
    </row>
    <row r="37" spans="1:3" x14ac:dyDescent="0.25">
      <c r="A37" s="2" t="s">
        <v>28</v>
      </c>
      <c r="B37" s="4">
        <f>1298625.23</f>
        <v>1298625.23</v>
      </c>
      <c r="C37" s="4">
        <f>1375264.48</f>
        <v>1375264.48</v>
      </c>
    </row>
    <row r="38" spans="1:3" x14ac:dyDescent="0.25">
      <c r="A38" s="2" t="s">
        <v>29</v>
      </c>
      <c r="B38" s="5">
        <f>((B35)+(B36))+(B37)</f>
        <v>5208601.6899999995</v>
      </c>
      <c r="C38" s="6">
        <f>((C35)+(C36))+(C37)</f>
        <v>5369928.2699999996</v>
      </c>
    </row>
    <row r="39" spans="1:3" x14ac:dyDescent="0.25">
      <c r="A39" s="2" t="s">
        <v>30</v>
      </c>
      <c r="B39" s="4">
        <f>0</f>
        <v>0</v>
      </c>
      <c r="C39" s="3"/>
    </row>
    <row r="40" spans="1:3" x14ac:dyDescent="0.25">
      <c r="A40" s="2" t="s">
        <v>31</v>
      </c>
      <c r="B40" s="4">
        <f>252.5</f>
        <v>252.5</v>
      </c>
      <c r="C40" s="4">
        <f>457</f>
        <v>457</v>
      </c>
    </row>
    <row r="41" spans="1:3" x14ac:dyDescent="0.25">
      <c r="A41" s="2" t="s">
        <v>32</v>
      </c>
      <c r="B41" s="4">
        <f>75731.26</f>
        <v>75731.259999999995</v>
      </c>
      <c r="C41" s="4">
        <f>84786.41</f>
        <v>84786.41</v>
      </c>
    </row>
    <row r="42" spans="1:3" x14ac:dyDescent="0.25">
      <c r="A42" s="2" t="s">
        <v>33</v>
      </c>
      <c r="B42" s="4">
        <f>67351.04</f>
        <v>67351.039999999994</v>
      </c>
      <c r="C42" s="4">
        <f>74792.24</f>
        <v>74792.240000000005</v>
      </c>
    </row>
    <row r="43" spans="1:3" x14ac:dyDescent="0.25">
      <c r="A43" s="2" t="s">
        <v>34</v>
      </c>
      <c r="B43" s="4">
        <f>355862.03</f>
        <v>355862.03</v>
      </c>
      <c r="C43" s="4">
        <f>396708.92</f>
        <v>396708.92</v>
      </c>
    </row>
    <row r="44" spans="1:3" x14ac:dyDescent="0.25">
      <c r="A44" s="2" t="s">
        <v>35</v>
      </c>
      <c r="B44" s="4">
        <f>314994.64</f>
        <v>314994.64</v>
      </c>
      <c r="C44" s="4">
        <f>349452.76</f>
        <v>349452.76</v>
      </c>
    </row>
    <row r="45" spans="1:3" x14ac:dyDescent="0.25">
      <c r="A45" s="2" t="s">
        <v>36</v>
      </c>
      <c r="B45" s="4">
        <f>194023.53</f>
        <v>194023.53</v>
      </c>
      <c r="C45" s="4">
        <f>256037.88</f>
        <v>256037.88</v>
      </c>
    </row>
    <row r="46" spans="1:3" x14ac:dyDescent="0.25">
      <c r="A46" s="2" t="s">
        <v>37</v>
      </c>
      <c r="B46" s="4">
        <f>6877.38</f>
        <v>6877.38</v>
      </c>
      <c r="C46" s="4">
        <f>5996</f>
        <v>5996</v>
      </c>
    </row>
    <row r="47" spans="1:3" x14ac:dyDescent="0.25">
      <c r="A47" s="2" t="s">
        <v>38</v>
      </c>
      <c r="B47" s="4">
        <f>4841.25</f>
        <v>4841.25</v>
      </c>
      <c r="C47" s="4">
        <f>12296.22</f>
        <v>12296.22</v>
      </c>
    </row>
    <row r="48" spans="1:3" x14ac:dyDescent="0.25">
      <c r="A48" s="2" t="s">
        <v>39</v>
      </c>
      <c r="B48" s="4">
        <f>153129.82</f>
        <v>153129.82</v>
      </c>
      <c r="C48" s="4">
        <f>55687.74</f>
        <v>55687.74</v>
      </c>
    </row>
    <row r="49" spans="1:3" x14ac:dyDescent="0.25">
      <c r="A49" s="2" t="s">
        <v>40</v>
      </c>
      <c r="B49" s="4">
        <f>2020</f>
        <v>2020</v>
      </c>
      <c r="C49" s="4">
        <f>13571</f>
        <v>13571</v>
      </c>
    </row>
    <row r="50" spans="1:3" x14ac:dyDescent="0.25">
      <c r="A50" s="2" t="s">
        <v>41</v>
      </c>
      <c r="B50" s="5">
        <f>((((((((((B39)+(B40))+(B41))+(B42))+(B43))+(B44))+(B45))+(B46))+(B47))+(B48))+(B49)</f>
        <v>1175083.45</v>
      </c>
      <c r="C50" s="6">
        <f>((((((((((C39)+(C40))+(C41))+(C42))+(C43))+(C44))+(C45))+(C46))+(C47))+(C48))+(C49)</f>
        <v>1249786.17</v>
      </c>
    </row>
    <row r="51" spans="1:3" x14ac:dyDescent="0.25">
      <c r="A51" s="2" t="s">
        <v>42</v>
      </c>
      <c r="B51" s="4">
        <f>12569</f>
        <v>12569</v>
      </c>
      <c r="C51" s="4">
        <f>50000</f>
        <v>50000</v>
      </c>
    </row>
    <row r="52" spans="1:3" x14ac:dyDescent="0.25">
      <c r="A52" s="2" t="s">
        <v>43</v>
      </c>
      <c r="B52" s="4">
        <f>300150.7</f>
        <v>300150.7</v>
      </c>
      <c r="C52" s="4">
        <f>213180</f>
        <v>213180</v>
      </c>
    </row>
    <row r="53" spans="1:3" x14ac:dyDescent="0.25">
      <c r="A53" s="2" t="s">
        <v>44</v>
      </c>
      <c r="B53" s="4">
        <f>21000</f>
        <v>21000</v>
      </c>
      <c r="C53" s="4">
        <f>22000</f>
        <v>22000</v>
      </c>
    </row>
    <row r="54" spans="1:3" x14ac:dyDescent="0.25">
      <c r="A54" s="2" t="s">
        <v>45</v>
      </c>
      <c r="B54" s="4">
        <f>3117.55</f>
        <v>3117.55</v>
      </c>
      <c r="C54" s="3"/>
    </row>
    <row r="55" spans="1:3" x14ac:dyDescent="0.25">
      <c r="A55" s="2" t="s">
        <v>46</v>
      </c>
      <c r="B55" s="4">
        <f>17303.82</f>
        <v>17303.82</v>
      </c>
      <c r="C55" s="4">
        <f>15000</f>
        <v>15000</v>
      </c>
    </row>
    <row r="56" spans="1:3" x14ac:dyDescent="0.25">
      <c r="A56" s="2" t="s">
        <v>47</v>
      </c>
      <c r="B56" s="4">
        <f>33740.6</f>
        <v>33740.6</v>
      </c>
      <c r="C56" s="4">
        <f>80140</f>
        <v>80140</v>
      </c>
    </row>
    <row r="57" spans="1:3" x14ac:dyDescent="0.25">
      <c r="A57" s="2" t="s">
        <v>48</v>
      </c>
      <c r="B57" s="5">
        <f>(((((B51)+(B52))+(B53))+(B54))+(B55))+(B56)</f>
        <v>387881.67</v>
      </c>
      <c r="C57" s="6">
        <f>(((((C51)+(C52))+(C53))+(C54))+(C55))+(C56)</f>
        <v>380320</v>
      </c>
    </row>
    <row r="58" spans="1:3" x14ac:dyDescent="0.25">
      <c r="A58" s="2" t="s">
        <v>49</v>
      </c>
      <c r="B58" s="4">
        <f>377527.03</f>
        <v>377527.03</v>
      </c>
      <c r="C58" s="4">
        <f>838922</f>
        <v>838922</v>
      </c>
    </row>
    <row r="59" spans="1:3" x14ac:dyDescent="0.25">
      <c r="A59" s="2" t="s">
        <v>50</v>
      </c>
      <c r="B59" s="3"/>
      <c r="C59" s="3"/>
    </row>
    <row r="60" spans="1:3" x14ac:dyDescent="0.25">
      <c r="A60" s="2" t="s">
        <v>51</v>
      </c>
      <c r="B60" s="4">
        <f>3846.6</f>
        <v>3846.6</v>
      </c>
      <c r="C60" s="3"/>
    </row>
    <row r="61" spans="1:3" x14ac:dyDescent="0.25">
      <c r="A61" s="2" t="s">
        <v>52</v>
      </c>
      <c r="B61" s="4">
        <f>9235</f>
        <v>9235</v>
      </c>
      <c r="C61" s="4">
        <f>12000</f>
        <v>12000</v>
      </c>
    </row>
    <row r="62" spans="1:3" x14ac:dyDescent="0.25">
      <c r="A62" s="2" t="s">
        <v>53</v>
      </c>
      <c r="B62" s="4">
        <f>9385.27</f>
        <v>9385.27</v>
      </c>
      <c r="C62" s="4">
        <f>5600</f>
        <v>5600</v>
      </c>
    </row>
    <row r="63" spans="1:3" x14ac:dyDescent="0.25">
      <c r="A63" s="2" t="s">
        <v>54</v>
      </c>
      <c r="B63" s="4">
        <f>99937.18</f>
        <v>99937.18</v>
      </c>
      <c r="C63" s="4">
        <f>116312</f>
        <v>116312</v>
      </c>
    </row>
    <row r="64" spans="1:3" x14ac:dyDescent="0.25">
      <c r="A64" s="2" t="s">
        <v>55</v>
      </c>
      <c r="B64" s="4">
        <f>58200</f>
        <v>58200</v>
      </c>
      <c r="C64" s="4">
        <f>68700</f>
        <v>68700</v>
      </c>
    </row>
    <row r="65" spans="1:3" x14ac:dyDescent="0.25">
      <c r="A65" s="2" t="s">
        <v>56</v>
      </c>
      <c r="B65" s="4">
        <f>57179.97</f>
        <v>57179.97</v>
      </c>
      <c r="C65" s="4">
        <f>41000</f>
        <v>41000</v>
      </c>
    </row>
    <row r="66" spans="1:3" x14ac:dyDescent="0.25">
      <c r="A66" s="2" t="s">
        <v>57</v>
      </c>
      <c r="B66" s="4">
        <f>31466.22</f>
        <v>31466.22</v>
      </c>
      <c r="C66" s="4">
        <f>25940</f>
        <v>25940</v>
      </c>
    </row>
    <row r="67" spans="1:3" x14ac:dyDescent="0.25">
      <c r="A67" s="2" t="s">
        <v>58</v>
      </c>
      <c r="B67" s="4">
        <f>20575.98</f>
        <v>20575.98</v>
      </c>
      <c r="C67" s="4">
        <f>87359</f>
        <v>87359</v>
      </c>
    </row>
    <row r="68" spans="1:3" x14ac:dyDescent="0.25">
      <c r="A68" s="2" t="s">
        <v>59</v>
      </c>
      <c r="B68" s="4">
        <f>48518.88</f>
        <v>48518.879999999997</v>
      </c>
      <c r="C68" s="4">
        <f>49000</f>
        <v>49000</v>
      </c>
    </row>
    <row r="69" spans="1:3" x14ac:dyDescent="0.25">
      <c r="A69" s="2" t="s">
        <v>60</v>
      </c>
      <c r="B69" s="4">
        <f>0</f>
        <v>0</v>
      </c>
      <c r="C69" s="3"/>
    </row>
    <row r="70" spans="1:3" x14ac:dyDescent="0.25">
      <c r="A70" s="2" t="s">
        <v>61</v>
      </c>
      <c r="B70" s="5">
        <f>((((((((((B59)+(B60))+(B61))+(B62))+(B63))+(B64))+(B65))+(B66))+(B67))+(B68))+(B69)</f>
        <v>338345.1</v>
      </c>
      <c r="C70" s="6">
        <f>((((((((((C59)+(C60))+(C61))+(C62))+(C63))+(C64))+(C65))+(C66))+(C67))+(C68))+(C69)</f>
        <v>405911</v>
      </c>
    </row>
    <row r="71" spans="1:3" x14ac:dyDescent="0.25">
      <c r="A71" s="2" t="s">
        <v>62</v>
      </c>
      <c r="B71" s="3"/>
      <c r="C71" s="3"/>
    </row>
    <row r="72" spans="1:3" x14ac:dyDescent="0.25">
      <c r="A72" s="2" t="s">
        <v>63</v>
      </c>
      <c r="B72" s="4">
        <f>28528.5</f>
        <v>28528.5</v>
      </c>
      <c r="C72" s="4">
        <f>36200</f>
        <v>36200</v>
      </c>
    </row>
    <row r="73" spans="1:3" x14ac:dyDescent="0.25">
      <c r="A73" s="2" t="s">
        <v>64</v>
      </c>
      <c r="B73" s="4">
        <f>27890.5</f>
        <v>27890.5</v>
      </c>
      <c r="C73" s="4">
        <f>12300</f>
        <v>12300</v>
      </c>
    </row>
    <row r="74" spans="1:3" x14ac:dyDescent="0.25">
      <c r="A74" s="2" t="s">
        <v>65</v>
      </c>
      <c r="B74" s="4">
        <f>0</f>
        <v>0</v>
      </c>
      <c r="C74" s="4">
        <f>725</f>
        <v>725</v>
      </c>
    </row>
    <row r="75" spans="1:3" x14ac:dyDescent="0.25">
      <c r="A75" s="2" t="s">
        <v>66</v>
      </c>
      <c r="B75" s="5">
        <f>(((B71)+(B72))+(B73))+(B74)</f>
        <v>56419</v>
      </c>
      <c r="C75" s="6">
        <f>(((C71)+(C72))+(C73))+(C74)</f>
        <v>49225</v>
      </c>
    </row>
    <row r="76" spans="1:3" x14ac:dyDescent="0.25">
      <c r="A76" s="2" t="s">
        <v>67</v>
      </c>
      <c r="B76" s="3"/>
      <c r="C76" s="3"/>
    </row>
    <row r="77" spans="1:3" x14ac:dyDescent="0.25">
      <c r="A77" s="2" t="s">
        <v>68</v>
      </c>
      <c r="B77" s="4">
        <f>1575.89</f>
        <v>1575.89</v>
      </c>
      <c r="C77" s="4">
        <f>1335</f>
        <v>1335</v>
      </c>
    </row>
    <row r="78" spans="1:3" x14ac:dyDescent="0.25">
      <c r="A78" s="2" t="s">
        <v>69</v>
      </c>
      <c r="B78" s="4">
        <f>1608.12</f>
        <v>1608.12</v>
      </c>
      <c r="C78" s="4">
        <f>1700</f>
        <v>1700</v>
      </c>
    </row>
    <row r="79" spans="1:3" x14ac:dyDescent="0.25">
      <c r="A79" s="2" t="s">
        <v>70</v>
      </c>
      <c r="B79" s="4">
        <f>37674.53</f>
        <v>37674.53</v>
      </c>
      <c r="C79" s="4">
        <f>48594</f>
        <v>48594</v>
      </c>
    </row>
    <row r="80" spans="1:3" x14ac:dyDescent="0.25">
      <c r="A80" s="2" t="s">
        <v>97</v>
      </c>
      <c r="B80" s="2"/>
      <c r="C80" s="4">
        <f>500</f>
        <v>500</v>
      </c>
    </row>
    <row r="81" spans="1:3" x14ac:dyDescent="0.25">
      <c r="A81" s="2" t="s">
        <v>71</v>
      </c>
      <c r="B81" s="4">
        <f>10187.3</f>
        <v>10187.299999999999</v>
      </c>
      <c r="C81" s="4">
        <f>11500</f>
        <v>11500</v>
      </c>
    </row>
    <row r="82" spans="1:3" x14ac:dyDescent="0.25">
      <c r="A82" s="2" t="s">
        <v>72</v>
      </c>
      <c r="B82" s="4">
        <f>45381.19</f>
        <v>45381.19</v>
      </c>
      <c r="C82" s="4">
        <f>33800</f>
        <v>33800</v>
      </c>
    </row>
    <row r="83" spans="1:3" x14ac:dyDescent="0.25">
      <c r="A83" s="2" t="s">
        <v>73</v>
      </c>
      <c r="B83" s="4">
        <f>819339.49</f>
        <v>819339.49</v>
      </c>
      <c r="C83" s="4">
        <f>800312</f>
        <v>800312</v>
      </c>
    </row>
    <row r="84" spans="1:3" x14ac:dyDescent="0.25">
      <c r="A84" s="2" t="s">
        <v>74</v>
      </c>
      <c r="B84" s="4">
        <f>5435.18</f>
        <v>5435.18</v>
      </c>
      <c r="C84" s="4">
        <f>6000</f>
        <v>6000</v>
      </c>
    </row>
    <row r="85" spans="1:3" x14ac:dyDescent="0.25">
      <c r="A85" s="2" t="s">
        <v>75</v>
      </c>
      <c r="B85" s="5">
        <f>(((((((B76)+(B77))+(B78))+(B79))+(B81))+(B82))+(B83))+(B84)</f>
        <v>921201.70000000007</v>
      </c>
      <c r="C85" s="6">
        <f>((((((((C76)+(C77))+(C78))+(C79))+(C80))+(C81))+(C82))+(C83))+(C84)</f>
        <v>903741</v>
      </c>
    </row>
    <row r="86" spans="1:3" x14ac:dyDescent="0.25">
      <c r="A86" s="2" t="s">
        <v>76</v>
      </c>
      <c r="B86" s="3"/>
      <c r="C86" s="3"/>
    </row>
    <row r="87" spans="1:3" x14ac:dyDescent="0.25">
      <c r="A87" s="2" t="s">
        <v>77</v>
      </c>
      <c r="B87" s="4">
        <f>340650.42</f>
        <v>340650.42</v>
      </c>
      <c r="C87" s="4">
        <f>684789.59</f>
        <v>684789.59</v>
      </c>
    </row>
    <row r="88" spans="1:3" x14ac:dyDescent="0.25">
      <c r="A88" s="2" t="s">
        <v>78</v>
      </c>
      <c r="B88" s="4">
        <f>126460.34</f>
        <v>126460.34</v>
      </c>
      <c r="C88" s="4">
        <f>143440</f>
        <v>143440</v>
      </c>
    </row>
    <row r="89" spans="1:3" x14ac:dyDescent="0.25">
      <c r="A89" s="2" t="s">
        <v>79</v>
      </c>
      <c r="B89" s="4">
        <f>354788.29</f>
        <v>354788.29</v>
      </c>
      <c r="C89" s="4">
        <f>297208</f>
        <v>297208</v>
      </c>
    </row>
    <row r="90" spans="1:3" x14ac:dyDescent="0.25">
      <c r="A90" s="2" t="s">
        <v>98</v>
      </c>
      <c r="B90" s="4"/>
      <c r="C90" s="4">
        <f>202984.48</f>
        <v>202984.48</v>
      </c>
    </row>
    <row r="91" spans="1:3" x14ac:dyDescent="0.25">
      <c r="A91" s="2" t="s">
        <v>80</v>
      </c>
      <c r="B91" s="4">
        <f>57564.2</f>
        <v>57564.2</v>
      </c>
      <c r="C91" s="4">
        <f>26089</f>
        <v>26089</v>
      </c>
    </row>
    <row r="92" spans="1:3" x14ac:dyDescent="0.25">
      <c r="A92" s="2" t="s">
        <v>81</v>
      </c>
      <c r="B92" s="4">
        <f>11891.4</f>
        <v>11891.4</v>
      </c>
      <c r="C92" s="4">
        <f>13200</f>
        <v>13200</v>
      </c>
    </row>
    <row r="93" spans="1:3" x14ac:dyDescent="0.25">
      <c r="A93" s="2" t="s">
        <v>82</v>
      </c>
      <c r="B93" s="5">
        <f>(((((B86)+(B87))+(B88))+(B89))+(B91))+(B92)</f>
        <v>891354.65</v>
      </c>
      <c r="C93" s="6">
        <f>((((((C86)+(C87))+(C88))+(C89))+(C90))+(C91))+(C92)</f>
        <v>1367711.0699999998</v>
      </c>
    </row>
    <row r="94" spans="1:3" x14ac:dyDescent="0.25">
      <c r="A94" s="2" t="s">
        <v>83</v>
      </c>
      <c r="B94" s="4">
        <f>89218.31</f>
        <v>89218.31</v>
      </c>
      <c r="C94" s="4">
        <f>66150</f>
        <v>66150</v>
      </c>
    </row>
    <row r="95" spans="1:3" x14ac:dyDescent="0.25">
      <c r="A95" s="2" t="s">
        <v>84</v>
      </c>
      <c r="B95" s="3"/>
      <c r="C95" s="3"/>
    </row>
    <row r="96" spans="1:3" x14ac:dyDescent="0.25">
      <c r="A96" s="2" t="s">
        <v>85</v>
      </c>
      <c r="B96" s="4">
        <f>16122.44</f>
        <v>16122.44</v>
      </c>
      <c r="C96" s="4">
        <f>12210</f>
        <v>12210</v>
      </c>
    </row>
    <row r="97" spans="1:3" x14ac:dyDescent="0.25">
      <c r="A97" s="2" t="s">
        <v>86</v>
      </c>
      <c r="B97" s="4">
        <f>22500</f>
        <v>22500</v>
      </c>
      <c r="C97" s="4">
        <f>30000</f>
        <v>30000</v>
      </c>
    </row>
    <row r="98" spans="1:3" x14ac:dyDescent="0.25">
      <c r="A98" s="2" t="s">
        <v>87</v>
      </c>
      <c r="B98" s="4">
        <f>3338.22</f>
        <v>3338.22</v>
      </c>
      <c r="C98" s="3"/>
    </row>
    <row r="99" spans="1:3" x14ac:dyDescent="0.25">
      <c r="A99" s="2" t="s">
        <v>88</v>
      </c>
      <c r="B99" s="4">
        <f>830728.1</f>
        <v>830728.1</v>
      </c>
      <c r="C99" s="4">
        <f>859740.87</f>
        <v>859740.87</v>
      </c>
    </row>
    <row r="100" spans="1:3" x14ac:dyDescent="0.25">
      <c r="A100" s="2" t="s">
        <v>89</v>
      </c>
      <c r="B100" s="5">
        <f>((((B95)+(B96))+(B97))+(B98))+(B99)</f>
        <v>872688.76</v>
      </c>
      <c r="C100" s="6">
        <f>((((C95)+(C96))+(C97))+(C98))+(C99)</f>
        <v>901950.87</v>
      </c>
    </row>
    <row r="101" spans="1:3" x14ac:dyDescent="0.25">
      <c r="A101" s="2" t="s">
        <v>99</v>
      </c>
      <c r="B101" s="6"/>
      <c r="C101" s="4">
        <f>315726.28</f>
        <v>315726.28000000003</v>
      </c>
    </row>
    <row r="102" spans="1:3" x14ac:dyDescent="0.25">
      <c r="A102" s="2" t="s">
        <v>90</v>
      </c>
      <c r="B102" s="5">
        <f>(((((((((B38)+(B50))+(B57))+(B58))+(B70))+(B75))+(B85))+(B93))+(B94))+(B100)</f>
        <v>10318321.359999999</v>
      </c>
      <c r="C102" s="6">
        <f>((((((((((C38)+(C50))+(C57))+(C58))+(C70))+(C75))+(C85))+(C93))+(C94))+(C100))+(C101)</f>
        <v>11849371.659999998</v>
      </c>
    </row>
    <row r="103" spans="1:3" x14ac:dyDescent="0.25">
      <c r="A103" s="2" t="s">
        <v>91</v>
      </c>
      <c r="B103" s="5">
        <f>(B33)-(B102)</f>
        <v>731525.8200000003</v>
      </c>
      <c r="C103" s="6">
        <f>(C33)-(C102)</f>
        <v>0</v>
      </c>
    </row>
    <row r="104" spans="1:3" x14ac:dyDescent="0.25">
      <c r="A104" s="2" t="s">
        <v>92</v>
      </c>
      <c r="B104" s="6">
        <f>(B103)+(0)</f>
        <v>731525.8200000003</v>
      </c>
      <c r="C104" s="6">
        <f>(C103)+(0)</f>
        <v>0</v>
      </c>
    </row>
    <row r="105" spans="1:3" x14ac:dyDescent="0.25">
      <c r="A105" s="2"/>
      <c r="B105" s="3"/>
    </row>
    <row r="108" spans="1:3" x14ac:dyDescent="0.25">
      <c r="A108" s="8"/>
      <c r="B108" s="9"/>
    </row>
  </sheetData>
  <mergeCells count="4">
    <mergeCell ref="A108:B108"/>
    <mergeCell ref="A3:B3"/>
    <mergeCell ref="A2:C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dcterms:created xsi:type="dcterms:W3CDTF">2023-08-02T16:05:45Z</dcterms:created>
  <dcterms:modified xsi:type="dcterms:W3CDTF">2023-08-02T16:18:03Z</dcterms:modified>
</cp:coreProperties>
</file>