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2E219710-41C2-4135-A335-4DE0095E0B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3" i="1" l="1"/>
  <c r="O93" i="1"/>
  <c r="N93" i="1"/>
  <c r="K93" i="1"/>
  <c r="D93" i="1"/>
  <c r="C93" i="1"/>
  <c r="AG92" i="1"/>
  <c r="AG93" i="1" s="1"/>
  <c r="AF92" i="1"/>
  <c r="AE92" i="1"/>
  <c r="AE93" i="1" s="1"/>
  <c r="AD92" i="1"/>
  <c r="AC92" i="1"/>
  <c r="AB92" i="1"/>
  <c r="AB93" i="1" s="1"/>
  <c r="AA92" i="1"/>
  <c r="Z92" i="1"/>
  <c r="Y92" i="1"/>
  <c r="X92" i="1"/>
  <c r="W92" i="1"/>
  <c r="W93" i="1" s="1"/>
  <c r="V92" i="1"/>
  <c r="V93" i="1" s="1"/>
  <c r="U92" i="1"/>
  <c r="U93" i="1" s="1"/>
  <c r="T92" i="1"/>
  <c r="S92" i="1"/>
  <c r="R92" i="1"/>
  <c r="R93" i="1" s="1"/>
  <c r="Q92" i="1"/>
  <c r="Q93" i="1" s="1"/>
  <c r="P92" i="1"/>
  <c r="P93" i="1" s="1"/>
  <c r="M92" i="1"/>
  <c r="M93" i="1" s="1"/>
  <c r="L92" i="1"/>
  <c r="L93" i="1" s="1"/>
  <c r="K92" i="1"/>
  <c r="J92" i="1"/>
  <c r="J93" i="1" s="1"/>
  <c r="I92" i="1"/>
  <c r="H92" i="1"/>
  <c r="H93" i="1" s="1"/>
  <c r="G92" i="1"/>
  <c r="F92" i="1"/>
  <c r="F93" i="1" s="1"/>
  <c r="E92" i="1"/>
  <c r="Y91" i="1"/>
  <c r="G91" i="1"/>
  <c r="B91" i="1"/>
  <c r="G90" i="1"/>
  <c r="AI90" i="1" s="1"/>
  <c r="AF89" i="1"/>
  <c r="AD89" i="1"/>
  <c r="AD93" i="1" s="1"/>
  <c r="AC89" i="1"/>
  <c r="AA89" i="1"/>
  <c r="Z89" i="1"/>
  <c r="Y89" i="1"/>
  <c r="Y93" i="1" s="1"/>
  <c r="X89" i="1"/>
  <c r="X93" i="1" s="1"/>
  <c r="T89" i="1"/>
  <c r="S89" i="1"/>
  <c r="I89" i="1"/>
  <c r="I93" i="1" s="1"/>
  <c r="G89" i="1"/>
  <c r="B89" i="1"/>
  <c r="AI88" i="1"/>
  <c r="AF87" i="1"/>
  <c r="AD87" i="1"/>
  <c r="W87" i="1"/>
  <c r="V87" i="1"/>
  <c r="U87" i="1"/>
  <c r="T87" i="1"/>
  <c r="Q87" i="1"/>
  <c r="N87" i="1"/>
  <c r="M87" i="1"/>
  <c r="K87" i="1"/>
  <c r="J87" i="1"/>
  <c r="H87" i="1"/>
  <c r="F87" i="1"/>
  <c r="D87" i="1"/>
  <c r="C87" i="1"/>
  <c r="B86" i="1"/>
  <c r="AI86" i="1" s="1"/>
  <c r="AE85" i="1"/>
  <c r="AE87" i="1" s="1"/>
  <c r="AC85" i="1"/>
  <c r="AB85" i="1"/>
  <c r="AB87" i="1" s="1"/>
  <c r="AA85" i="1"/>
  <c r="Z85" i="1"/>
  <c r="Y85" i="1"/>
  <c r="X85" i="1"/>
  <c r="T85" i="1"/>
  <c r="P85" i="1"/>
  <c r="O85" i="1"/>
  <c r="G85" i="1"/>
  <c r="E85" i="1"/>
  <c r="B85" i="1"/>
  <c r="AH84" i="1"/>
  <c r="AG84" i="1"/>
  <c r="AA84" i="1"/>
  <c r="Z84" i="1"/>
  <c r="Y84" i="1"/>
  <c r="X84" i="1"/>
  <c r="V84" i="1"/>
  <c r="T84" i="1"/>
  <c r="S84" i="1"/>
  <c r="R84" i="1"/>
  <c r="P84" i="1"/>
  <c r="P87" i="1" s="1"/>
  <c r="O84" i="1"/>
  <c r="L84" i="1"/>
  <c r="L87" i="1" s="1"/>
  <c r="I84" i="1"/>
  <c r="I87" i="1" s="1"/>
  <c r="G84" i="1"/>
  <c r="E84" i="1"/>
  <c r="B84" i="1"/>
  <c r="AI84" i="1" s="1"/>
  <c r="AG83" i="1"/>
  <c r="AC83" i="1"/>
  <c r="AC87" i="1" s="1"/>
  <c r="AA83" i="1"/>
  <c r="Z83" i="1"/>
  <c r="Y83" i="1"/>
  <c r="X83" i="1"/>
  <c r="T83" i="1"/>
  <c r="S83" i="1"/>
  <c r="G83" i="1"/>
  <c r="E83" i="1"/>
  <c r="B83" i="1"/>
  <c r="AH82" i="1"/>
  <c r="AH87" i="1" s="1"/>
  <c r="AG82" i="1"/>
  <c r="AA82" i="1"/>
  <c r="Y82" i="1"/>
  <c r="X82" i="1"/>
  <c r="T82" i="1"/>
  <c r="S82" i="1"/>
  <c r="S87" i="1" s="1"/>
  <c r="R82" i="1"/>
  <c r="E82" i="1"/>
  <c r="B82" i="1"/>
  <c r="AI81" i="1"/>
  <c r="AG80" i="1"/>
  <c r="AF80" i="1"/>
  <c r="AC80" i="1"/>
  <c r="AB80" i="1"/>
  <c r="W80" i="1"/>
  <c r="V80" i="1"/>
  <c r="U80" i="1"/>
  <c r="R80" i="1"/>
  <c r="M80" i="1"/>
  <c r="J80" i="1"/>
  <c r="I80" i="1"/>
  <c r="F80" i="1"/>
  <c r="T79" i="1"/>
  <c r="G79" i="1"/>
  <c r="B79" i="1"/>
  <c r="AH78" i="1"/>
  <c r="AH80" i="1" s="1"/>
  <c r="AG78" i="1"/>
  <c r="AF78" i="1"/>
  <c r="AD78" i="1"/>
  <c r="AD80" i="1" s="1"/>
  <c r="AA78" i="1"/>
  <c r="Z78" i="1"/>
  <c r="Y78" i="1"/>
  <c r="X78" i="1"/>
  <c r="T78" i="1"/>
  <c r="S78" i="1"/>
  <c r="Q78" i="1"/>
  <c r="Q80" i="1" s="1"/>
  <c r="P78" i="1"/>
  <c r="O78" i="1"/>
  <c r="N78" i="1"/>
  <c r="N80" i="1" s="1"/>
  <c r="L78" i="1"/>
  <c r="K78" i="1"/>
  <c r="K80" i="1" s="1"/>
  <c r="I78" i="1"/>
  <c r="H78" i="1"/>
  <c r="H80" i="1" s="1"/>
  <c r="G78" i="1"/>
  <c r="E78" i="1"/>
  <c r="D78" i="1"/>
  <c r="C78" i="1"/>
  <c r="C80" i="1" s="1"/>
  <c r="B78" i="1"/>
  <c r="AE77" i="1"/>
  <c r="AE80" i="1" s="1"/>
  <c r="AA77" i="1"/>
  <c r="Z77" i="1"/>
  <c r="T77" i="1"/>
  <c r="S77" i="1"/>
  <c r="P77" i="1"/>
  <c r="P80" i="1" s="1"/>
  <c r="O77" i="1"/>
  <c r="L77" i="1"/>
  <c r="L80" i="1" s="1"/>
  <c r="I77" i="1"/>
  <c r="G77" i="1"/>
  <c r="E77" i="1"/>
  <c r="B77" i="1"/>
  <c r="Y76" i="1"/>
  <c r="AI76" i="1" s="1"/>
  <c r="X76" i="1"/>
  <c r="G76" i="1"/>
  <c r="B76" i="1"/>
  <c r="AG75" i="1"/>
  <c r="AA75" i="1"/>
  <c r="Z75" i="1"/>
  <c r="Z80" i="1" s="1"/>
  <c r="Y75" i="1"/>
  <c r="X75" i="1"/>
  <c r="T75" i="1"/>
  <c r="S75" i="1"/>
  <c r="S80" i="1" s="1"/>
  <c r="I75" i="1"/>
  <c r="G75" i="1"/>
  <c r="E75" i="1"/>
  <c r="B75" i="1"/>
  <c r="Y74" i="1"/>
  <c r="X74" i="1"/>
  <c r="G74" i="1"/>
  <c r="B74" i="1"/>
  <c r="AI74" i="1" s="1"/>
  <c r="Y73" i="1"/>
  <c r="X73" i="1"/>
  <c r="G73" i="1"/>
  <c r="B73" i="1"/>
  <c r="AI72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S71" i="1"/>
  <c r="R71" i="1"/>
  <c r="Q71" i="1"/>
  <c r="P71" i="1"/>
  <c r="O71" i="1"/>
  <c r="N71" i="1"/>
  <c r="M71" i="1"/>
  <c r="L71" i="1"/>
  <c r="K71" i="1"/>
  <c r="J71" i="1"/>
  <c r="I71" i="1"/>
  <c r="H71" i="1"/>
  <c r="F71" i="1"/>
  <c r="E71" i="1"/>
  <c r="D71" i="1"/>
  <c r="C71" i="1"/>
  <c r="T70" i="1"/>
  <c r="T71" i="1" s="1"/>
  <c r="G70" i="1"/>
  <c r="B70" i="1"/>
  <c r="G69" i="1"/>
  <c r="G71" i="1" s="1"/>
  <c r="B69" i="1"/>
  <c r="AI69" i="1" s="1"/>
  <c r="AI68" i="1"/>
  <c r="AH67" i="1"/>
  <c r="AG67" i="1"/>
  <c r="AF67" i="1"/>
  <c r="AD67" i="1"/>
  <c r="Z67" i="1"/>
  <c r="Y67" i="1"/>
  <c r="W67" i="1"/>
  <c r="V67" i="1"/>
  <c r="U67" i="1"/>
  <c r="R67" i="1"/>
  <c r="Q67" i="1"/>
  <c r="O67" i="1"/>
  <c r="N67" i="1"/>
  <c r="M67" i="1"/>
  <c r="K67" i="1"/>
  <c r="J67" i="1"/>
  <c r="I67" i="1"/>
  <c r="H67" i="1"/>
  <c r="F67" i="1"/>
  <c r="D67" i="1"/>
  <c r="C67" i="1"/>
  <c r="G66" i="1"/>
  <c r="AI66" i="1" s="1"/>
  <c r="AA65" i="1"/>
  <c r="Y65" i="1"/>
  <c r="T65" i="1"/>
  <c r="S65" i="1"/>
  <c r="G65" i="1"/>
  <c r="B65" i="1"/>
  <c r="AA64" i="1"/>
  <c r="S64" i="1"/>
  <c r="E64" i="1"/>
  <c r="B64" i="1"/>
  <c r="AC63" i="1"/>
  <c r="AC67" i="1" s="1"/>
  <c r="AB63" i="1"/>
  <c r="AB67" i="1" s="1"/>
  <c r="AA63" i="1"/>
  <c r="AA67" i="1" s="1"/>
  <c r="Z63" i="1"/>
  <c r="Y63" i="1"/>
  <c r="X63" i="1"/>
  <c r="T63" i="1"/>
  <c r="T67" i="1" s="1"/>
  <c r="S63" i="1"/>
  <c r="P63" i="1"/>
  <c r="P67" i="1" s="1"/>
  <c r="L63" i="1"/>
  <c r="L67" i="1" s="1"/>
  <c r="G63" i="1"/>
  <c r="E63" i="1"/>
  <c r="B63" i="1"/>
  <c r="G62" i="1"/>
  <c r="AI62" i="1" s="1"/>
  <c r="B62" i="1"/>
  <c r="X61" i="1"/>
  <c r="S61" i="1"/>
  <c r="E61" i="1"/>
  <c r="AE60" i="1"/>
  <c r="AE67" i="1" s="1"/>
  <c r="G60" i="1"/>
  <c r="B60" i="1"/>
  <c r="G59" i="1"/>
  <c r="B59" i="1"/>
  <c r="G58" i="1"/>
  <c r="B58" i="1"/>
  <c r="AI58" i="1" s="1"/>
  <c r="G57" i="1"/>
  <c r="G67" i="1" s="1"/>
  <c r="B57" i="1"/>
  <c r="AI56" i="1"/>
  <c r="AH55" i="1"/>
  <c r="AG55" i="1"/>
  <c r="AA55" i="1"/>
  <c r="Z55" i="1"/>
  <c r="T55" i="1"/>
  <c r="L55" i="1"/>
  <c r="K55" i="1"/>
  <c r="I55" i="1"/>
  <c r="G55" i="1"/>
  <c r="E55" i="1"/>
  <c r="B55" i="1"/>
  <c r="AF54" i="1"/>
  <c r="AE54" i="1"/>
  <c r="AD54" i="1"/>
  <c r="AC54" i="1"/>
  <c r="AB54" i="1"/>
  <c r="W54" i="1"/>
  <c r="V54" i="1"/>
  <c r="T54" i="1"/>
  <c r="N54" i="1"/>
  <c r="M54" i="1"/>
  <c r="H54" i="1"/>
  <c r="F54" i="1"/>
  <c r="D54" i="1"/>
  <c r="C54" i="1"/>
  <c r="AG53" i="1"/>
  <c r="AG54" i="1" s="1"/>
  <c r="AA53" i="1"/>
  <c r="Z53" i="1"/>
  <c r="Y53" i="1"/>
  <c r="X53" i="1"/>
  <c r="T53" i="1"/>
  <c r="Q53" i="1"/>
  <c r="L53" i="1"/>
  <c r="K53" i="1"/>
  <c r="I53" i="1"/>
  <c r="G53" i="1"/>
  <c r="E53" i="1"/>
  <c r="B53" i="1"/>
  <c r="G52" i="1"/>
  <c r="B52" i="1"/>
  <c r="AI52" i="1" s="1"/>
  <c r="Y51" i="1"/>
  <c r="AI51" i="1" s="1"/>
  <c r="AH50" i="1"/>
  <c r="AH54" i="1" s="1"/>
  <c r="B50" i="1"/>
  <c r="AI50" i="1" s="1"/>
  <c r="AA49" i="1"/>
  <c r="AA54" i="1" s="1"/>
  <c r="Z49" i="1"/>
  <c r="Z54" i="1" s="1"/>
  <c r="Y49" i="1"/>
  <c r="X49" i="1"/>
  <c r="X54" i="1" s="1"/>
  <c r="U49" i="1"/>
  <c r="U54" i="1" s="1"/>
  <c r="T49" i="1"/>
  <c r="S49" i="1"/>
  <c r="S54" i="1" s="1"/>
  <c r="R49" i="1"/>
  <c r="R54" i="1" s="1"/>
  <c r="Q49" i="1"/>
  <c r="Q54" i="1" s="1"/>
  <c r="P49" i="1"/>
  <c r="P54" i="1" s="1"/>
  <c r="O49" i="1"/>
  <c r="O54" i="1" s="1"/>
  <c r="L49" i="1"/>
  <c r="J49" i="1"/>
  <c r="J54" i="1" s="1"/>
  <c r="I49" i="1"/>
  <c r="I54" i="1" s="1"/>
  <c r="G49" i="1"/>
  <c r="E49" i="1"/>
  <c r="E54" i="1" s="1"/>
  <c r="B49" i="1"/>
  <c r="AI48" i="1"/>
  <c r="AH47" i="1"/>
  <c r="AF47" i="1"/>
  <c r="N47" i="1"/>
  <c r="J47" i="1"/>
  <c r="D47" i="1"/>
  <c r="C47" i="1"/>
  <c r="AG46" i="1"/>
  <c r="AD46" i="1"/>
  <c r="AC46" i="1"/>
  <c r="AB46" i="1"/>
  <c r="AA46" i="1"/>
  <c r="Z46" i="1"/>
  <c r="Y46" i="1"/>
  <c r="X46" i="1"/>
  <c r="V46" i="1"/>
  <c r="T46" i="1"/>
  <c r="P46" i="1"/>
  <c r="O46" i="1"/>
  <c r="K46" i="1"/>
  <c r="I46" i="1"/>
  <c r="H46" i="1"/>
  <c r="E46" i="1"/>
  <c r="AE45" i="1"/>
  <c r="AE47" i="1" s="1"/>
  <c r="AD45" i="1"/>
  <c r="AA45" i="1"/>
  <c r="Z45" i="1"/>
  <c r="V45" i="1"/>
  <c r="T45" i="1"/>
  <c r="S45" i="1"/>
  <c r="R45" i="1"/>
  <c r="Q45" i="1"/>
  <c r="I45" i="1"/>
  <c r="G45" i="1"/>
  <c r="E45" i="1"/>
  <c r="AD44" i="1"/>
  <c r="AC44" i="1"/>
  <c r="AA44" i="1"/>
  <c r="Z44" i="1"/>
  <c r="Y44" i="1"/>
  <c r="W44" i="1"/>
  <c r="V44" i="1"/>
  <c r="U44" i="1"/>
  <c r="T44" i="1"/>
  <c r="S44" i="1"/>
  <c r="R44" i="1"/>
  <c r="Q44" i="1"/>
  <c r="M44" i="1"/>
  <c r="L44" i="1"/>
  <c r="K44" i="1"/>
  <c r="I44" i="1"/>
  <c r="AI44" i="1" s="1"/>
  <c r="G44" i="1"/>
  <c r="F44" i="1"/>
  <c r="E44" i="1"/>
  <c r="B44" i="1"/>
  <c r="AA43" i="1"/>
  <c r="Z43" i="1"/>
  <c r="Y43" i="1"/>
  <c r="U43" i="1"/>
  <c r="T43" i="1"/>
  <c r="R43" i="1"/>
  <c r="Q43" i="1"/>
  <c r="L43" i="1"/>
  <c r="I43" i="1"/>
  <c r="G43" i="1"/>
  <c r="B43" i="1"/>
  <c r="AG42" i="1"/>
  <c r="AD42" i="1"/>
  <c r="AC42" i="1"/>
  <c r="AB42" i="1"/>
  <c r="AA42" i="1"/>
  <c r="Z42" i="1"/>
  <c r="Y42" i="1"/>
  <c r="X42" i="1"/>
  <c r="V42" i="1"/>
  <c r="U42" i="1"/>
  <c r="T42" i="1"/>
  <c r="P42" i="1"/>
  <c r="O42" i="1"/>
  <c r="K42" i="1"/>
  <c r="I42" i="1"/>
  <c r="H42" i="1"/>
  <c r="E42" i="1"/>
  <c r="Y41" i="1"/>
  <c r="X41" i="1"/>
  <c r="W41" i="1"/>
  <c r="U41" i="1"/>
  <c r="T41" i="1"/>
  <c r="R41" i="1"/>
  <c r="M41" i="1"/>
  <c r="G41" i="1"/>
  <c r="B41" i="1"/>
  <c r="AG40" i="1"/>
  <c r="AD40" i="1"/>
  <c r="AC40" i="1"/>
  <c r="AB40" i="1"/>
  <c r="AA40" i="1"/>
  <c r="AA47" i="1" s="1"/>
  <c r="Z40" i="1"/>
  <c r="Y40" i="1"/>
  <c r="X40" i="1"/>
  <c r="V40" i="1"/>
  <c r="T40" i="1"/>
  <c r="S40" i="1"/>
  <c r="R40" i="1"/>
  <c r="Q40" i="1"/>
  <c r="P40" i="1"/>
  <c r="O40" i="1"/>
  <c r="L40" i="1"/>
  <c r="K40" i="1"/>
  <c r="I40" i="1"/>
  <c r="H40" i="1"/>
  <c r="G40" i="1"/>
  <c r="E40" i="1"/>
  <c r="B40" i="1"/>
  <c r="AG39" i="1"/>
  <c r="AD39" i="1"/>
  <c r="AC39" i="1"/>
  <c r="AB39" i="1"/>
  <c r="AA39" i="1"/>
  <c r="Z39" i="1"/>
  <c r="Y39" i="1"/>
  <c r="X39" i="1"/>
  <c r="W39" i="1"/>
  <c r="W47" i="1" s="1"/>
  <c r="V39" i="1"/>
  <c r="U39" i="1"/>
  <c r="T39" i="1"/>
  <c r="S39" i="1"/>
  <c r="S47" i="1" s="1"/>
  <c r="R39" i="1"/>
  <c r="Q39" i="1"/>
  <c r="Q47" i="1" s="1"/>
  <c r="P39" i="1"/>
  <c r="O39" i="1"/>
  <c r="M39" i="1"/>
  <c r="L39" i="1"/>
  <c r="K39" i="1"/>
  <c r="K47" i="1" s="1"/>
  <c r="I39" i="1"/>
  <c r="H39" i="1"/>
  <c r="G39" i="1"/>
  <c r="F39" i="1"/>
  <c r="E39" i="1"/>
  <c r="B39" i="1"/>
  <c r="Y38" i="1"/>
  <c r="X38" i="1"/>
  <c r="W38" i="1"/>
  <c r="U38" i="1"/>
  <c r="T38" i="1"/>
  <c r="R38" i="1"/>
  <c r="R47" i="1" s="1"/>
  <c r="M38" i="1"/>
  <c r="M47" i="1" s="1"/>
  <c r="G38" i="1"/>
  <c r="F38" i="1"/>
  <c r="B38" i="1"/>
  <c r="AG37" i="1"/>
  <c r="AD37" i="1"/>
  <c r="AD47" i="1" s="1"/>
  <c r="AC37" i="1"/>
  <c r="AC47" i="1" s="1"/>
  <c r="AB37" i="1"/>
  <c r="AA37" i="1"/>
  <c r="Z37" i="1"/>
  <c r="Y37" i="1"/>
  <c r="X37" i="1"/>
  <c r="X47" i="1" s="1"/>
  <c r="V37" i="1"/>
  <c r="V47" i="1" s="1"/>
  <c r="T37" i="1"/>
  <c r="P37" i="1"/>
  <c r="O37" i="1"/>
  <c r="K37" i="1"/>
  <c r="I37" i="1"/>
  <c r="H37" i="1"/>
  <c r="E37" i="1"/>
  <c r="T36" i="1"/>
  <c r="B36" i="1"/>
  <c r="AH35" i="1"/>
  <c r="AG35" i="1"/>
  <c r="AF35" i="1"/>
  <c r="N35" i="1"/>
  <c r="J35" i="1"/>
  <c r="I35" i="1"/>
  <c r="D35" i="1"/>
  <c r="C35" i="1"/>
  <c r="B35" i="1"/>
  <c r="Y34" i="1"/>
  <c r="X34" i="1"/>
  <c r="W34" i="1"/>
  <c r="W35" i="1" s="1"/>
  <c r="U34" i="1"/>
  <c r="U35" i="1" s="1"/>
  <c r="T34" i="1"/>
  <c r="R34" i="1"/>
  <c r="M34" i="1"/>
  <c r="M35" i="1" s="1"/>
  <c r="G34" i="1"/>
  <c r="AI34" i="1" s="1"/>
  <c r="F34" i="1"/>
  <c r="F35" i="1" s="1"/>
  <c r="B34" i="1"/>
  <c r="AG33" i="1"/>
  <c r="AE33" i="1"/>
  <c r="AE35" i="1" s="1"/>
  <c r="AD33" i="1"/>
  <c r="AD35" i="1" s="1"/>
  <c r="AC33" i="1"/>
  <c r="AC35" i="1" s="1"/>
  <c r="AB33" i="1"/>
  <c r="AB35" i="1" s="1"/>
  <c r="AA33" i="1"/>
  <c r="AA35" i="1" s="1"/>
  <c r="Z33" i="1"/>
  <c r="Z35" i="1" s="1"/>
  <c r="Y33" i="1"/>
  <c r="Y35" i="1" s="1"/>
  <c r="X33" i="1"/>
  <c r="V33" i="1"/>
  <c r="V35" i="1" s="1"/>
  <c r="T33" i="1"/>
  <c r="S33" i="1"/>
  <c r="S35" i="1" s="1"/>
  <c r="R33" i="1"/>
  <c r="Q33" i="1"/>
  <c r="Q35" i="1" s="1"/>
  <c r="P33" i="1"/>
  <c r="P35" i="1" s="1"/>
  <c r="O33" i="1"/>
  <c r="O35" i="1" s="1"/>
  <c r="L33" i="1"/>
  <c r="L35" i="1" s="1"/>
  <c r="K33" i="1"/>
  <c r="K35" i="1" s="1"/>
  <c r="I33" i="1"/>
  <c r="H33" i="1"/>
  <c r="H35" i="1" s="1"/>
  <c r="G33" i="1"/>
  <c r="E33" i="1"/>
  <c r="E35" i="1" s="1"/>
  <c r="B33" i="1"/>
  <c r="AI32" i="1"/>
  <c r="AH28" i="1"/>
  <c r="AG28" i="1"/>
  <c r="AF28" i="1"/>
  <c r="AE28" i="1"/>
  <c r="AD28" i="1"/>
  <c r="W28" i="1"/>
  <c r="T28" i="1"/>
  <c r="S28" i="1"/>
  <c r="Q28" i="1"/>
  <c r="P28" i="1"/>
  <c r="O28" i="1"/>
  <c r="N28" i="1"/>
  <c r="M28" i="1"/>
  <c r="L28" i="1"/>
  <c r="G28" i="1"/>
  <c r="F28" i="1"/>
  <c r="D28" i="1"/>
  <c r="C28" i="1"/>
  <c r="B28" i="1"/>
  <c r="AE27" i="1"/>
  <c r="AC27" i="1"/>
  <c r="AC28" i="1" s="1"/>
  <c r="AB27" i="1"/>
  <c r="AB28" i="1" s="1"/>
  <c r="AA27" i="1"/>
  <c r="AA28" i="1" s="1"/>
  <c r="Z27" i="1"/>
  <c r="Z28" i="1" s="1"/>
  <c r="Y27" i="1"/>
  <c r="Y28" i="1" s="1"/>
  <c r="X27" i="1"/>
  <c r="X28" i="1" s="1"/>
  <c r="V27" i="1"/>
  <c r="V28" i="1" s="1"/>
  <c r="T27" i="1"/>
  <c r="K27" i="1"/>
  <c r="K28" i="1" s="1"/>
  <c r="J27" i="1"/>
  <c r="J28" i="1" s="1"/>
  <c r="I27" i="1"/>
  <c r="I28" i="1" s="1"/>
  <c r="H27" i="1"/>
  <c r="H28" i="1" s="1"/>
  <c r="E27" i="1"/>
  <c r="W26" i="1"/>
  <c r="U26" i="1"/>
  <c r="U28" i="1" s="1"/>
  <c r="R26" i="1"/>
  <c r="R28" i="1" s="1"/>
  <c r="AI25" i="1"/>
  <c r="S25" i="1"/>
  <c r="B24" i="1"/>
  <c r="AI24" i="1" s="1"/>
  <c r="B23" i="1"/>
  <c r="AI23" i="1" s="1"/>
  <c r="AH22" i="1"/>
  <c r="AG22" i="1"/>
  <c r="AG29" i="1" s="1"/>
  <c r="AG30" i="1" s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P22" i="1"/>
  <c r="O22" i="1"/>
  <c r="N22" i="1"/>
  <c r="M22" i="1"/>
  <c r="K22" i="1"/>
  <c r="J22" i="1"/>
  <c r="I22" i="1"/>
  <c r="H22" i="1"/>
  <c r="G22" i="1"/>
  <c r="F22" i="1"/>
  <c r="E22" i="1"/>
  <c r="D22" i="1"/>
  <c r="C22" i="1"/>
  <c r="B22" i="1"/>
  <c r="AI21" i="1"/>
  <c r="G21" i="1"/>
  <c r="Q20" i="1"/>
  <c r="L20" i="1"/>
  <c r="L22" i="1" s="1"/>
  <c r="G20" i="1"/>
  <c r="AF19" i="1"/>
  <c r="AF29" i="1" s="1"/>
  <c r="AF30" i="1" s="1"/>
  <c r="AE19" i="1"/>
  <c r="AD19" i="1"/>
  <c r="AC19" i="1"/>
  <c r="AB19" i="1"/>
  <c r="AA19" i="1"/>
  <c r="Y19" i="1"/>
  <c r="Y29" i="1" s="1"/>
  <c r="Y30" i="1" s="1"/>
  <c r="X19" i="1"/>
  <c r="W19" i="1"/>
  <c r="V19" i="1"/>
  <c r="U19" i="1"/>
  <c r="T19" i="1"/>
  <c r="T29" i="1" s="1"/>
  <c r="T30" i="1" s="1"/>
  <c r="R19" i="1"/>
  <c r="Q19" i="1"/>
  <c r="N19" i="1"/>
  <c r="L19" i="1"/>
  <c r="K19" i="1"/>
  <c r="J19" i="1"/>
  <c r="I19" i="1"/>
  <c r="I29" i="1" s="1"/>
  <c r="I30" i="1" s="1"/>
  <c r="H19" i="1"/>
  <c r="E19" i="1"/>
  <c r="D19" i="1"/>
  <c r="D29" i="1" s="1"/>
  <c r="D30" i="1" s="1"/>
  <c r="AI18" i="1"/>
  <c r="G18" i="1"/>
  <c r="C17" i="1"/>
  <c r="B17" i="1"/>
  <c r="B16" i="1"/>
  <c r="AI16" i="1" s="1"/>
  <c r="M15" i="1"/>
  <c r="B15" i="1"/>
  <c r="AI15" i="1" s="1"/>
  <c r="B14" i="1"/>
  <c r="AI14" i="1" s="1"/>
  <c r="B13" i="1"/>
  <c r="AI13" i="1" s="1"/>
  <c r="Z12" i="1"/>
  <c r="Z19" i="1" s="1"/>
  <c r="Z29" i="1" s="1"/>
  <c r="Z30" i="1" s="1"/>
  <c r="B12" i="1"/>
  <c r="AG11" i="1"/>
  <c r="AG19" i="1" s="1"/>
  <c r="S11" i="1"/>
  <c r="S19" i="1" s="1"/>
  <c r="M11" i="1"/>
  <c r="M19" i="1" s="1"/>
  <c r="F11" i="1"/>
  <c r="B11" i="1"/>
  <c r="P10" i="1"/>
  <c r="P19" i="1" s="1"/>
  <c r="O10" i="1"/>
  <c r="AI10" i="1" s="1"/>
  <c r="B9" i="1"/>
  <c r="AI9" i="1" s="1"/>
  <c r="AH8" i="1"/>
  <c r="AH19" i="1" s="1"/>
  <c r="AH29" i="1" s="1"/>
  <c r="AH30" i="1" s="1"/>
  <c r="O8" i="1"/>
  <c r="O19" i="1" s="1"/>
  <c r="O29" i="1" s="1"/>
  <c r="O30" i="1" s="1"/>
  <c r="B8" i="1"/>
  <c r="G7" i="1"/>
  <c r="AI7" i="1" s="1"/>
  <c r="AA29" i="1" l="1"/>
  <c r="AA30" i="1" s="1"/>
  <c r="X35" i="1"/>
  <c r="AF93" i="1"/>
  <c r="AH94" i="1"/>
  <c r="G54" i="1"/>
  <c r="R35" i="1"/>
  <c r="AI35" i="1" s="1"/>
  <c r="B47" i="1"/>
  <c r="AI43" i="1"/>
  <c r="AI63" i="1"/>
  <c r="B80" i="1"/>
  <c r="E87" i="1"/>
  <c r="Z87" i="1"/>
  <c r="Z94" i="1" s="1"/>
  <c r="Z95" i="1" s="1"/>
  <c r="Z96" i="1" s="1"/>
  <c r="G93" i="1"/>
  <c r="Z93" i="1"/>
  <c r="B93" i="1"/>
  <c r="AI11" i="1"/>
  <c r="J29" i="1"/>
  <c r="J30" i="1" s="1"/>
  <c r="M29" i="1"/>
  <c r="M30" i="1" s="1"/>
  <c r="F19" i="1"/>
  <c r="AB29" i="1"/>
  <c r="AB30" i="1" s="1"/>
  <c r="U29" i="1"/>
  <c r="U30" i="1" s="1"/>
  <c r="U95" i="1" s="1"/>
  <c r="U96" i="1" s="1"/>
  <c r="L47" i="1"/>
  <c r="Y54" i="1"/>
  <c r="AI65" i="1"/>
  <c r="AI89" i="1"/>
  <c r="S29" i="1"/>
  <c r="S30" i="1" s="1"/>
  <c r="G19" i="1"/>
  <c r="G29" i="1" s="1"/>
  <c r="G30" i="1" s="1"/>
  <c r="Z47" i="1"/>
  <c r="P29" i="1"/>
  <c r="P30" i="1" s="1"/>
  <c r="H29" i="1"/>
  <c r="H30" i="1" s="1"/>
  <c r="W29" i="1"/>
  <c r="W30" i="1" s="1"/>
  <c r="AD29" i="1"/>
  <c r="AD30" i="1" s="1"/>
  <c r="AC29" i="1"/>
  <c r="AC30" i="1" s="1"/>
  <c r="AC95" i="1" s="1"/>
  <c r="AC96" i="1" s="1"/>
  <c r="P47" i="1"/>
  <c r="O47" i="1"/>
  <c r="AI45" i="1"/>
  <c r="AI46" i="1"/>
  <c r="L54" i="1"/>
  <c r="S67" i="1"/>
  <c r="S94" i="1" s="1"/>
  <c r="S95" i="1" s="1"/>
  <c r="S96" i="1" s="1"/>
  <c r="AI64" i="1"/>
  <c r="G80" i="1"/>
  <c r="AI79" i="1"/>
  <c r="AI82" i="1"/>
  <c r="Y87" i="1"/>
  <c r="G87" i="1"/>
  <c r="AA93" i="1"/>
  <c r="K29" i="1"/>
  <c r="K30" i="1" s="1"/>
  <c r="R29" i="1"/>
  <c r="R30" i="1" s="1"/>
  <c r="J94" i="1"/>
  <c r="AG47" i="1"/>
  <c r="O80" i="1"/>
  <c r="O94" i="1" s="1"/>
  <c r="O95" i="1" s="1"/>
  <c r="O96" i="1" s="1"/>
  <c r="AI83" i="1"/>
  <c r="U47" i="1"/>
  <c r="AI8" i="1"/>
  <c r="AI12" i="1"/>
  <c r="AE29" i="1"/>
  <c r="AE30" i="1" s="1"/>
  <c r="AI33" i="1"/>
  <c r="L94" i="1"/>
  <c r="T35" i="1"/>
  <c r="W94" i="1"/>
  <c r="W95" i="1" s="1"/>
  <c r="W96" i="1" s="1"/>
  <c r="AI37" i="1"/>
  <c r="G47" i="1"/>
  <c r="AB47" i="1"/>
  <c r="AB94" i="1" s="1"/>
  <c r="AB95" i="1" s="1"/>
  <c r="AB96" i="1" s="1"/>
  <c r="AI59" i="1"/>
  <c r="E67" i="1"/>
  <c r="AI70" i="1"/>
  <c r="AI73" i="1"/>
  <c r="AI75" i="1"/>
  <c r="AA87" i="1"/>
  <c r="S93" i="1"/>
  <c r="AC93" i="1"/>
  <c r="AI49" i="1"/>
  <c r="AI57" i="1"/>
  <c r="Y80" i="1"/>
  <c r="E80" i="1"/>
  <c r="R87" i="1"/>
  <c r="AG87" i="1"/>
  <c r="O87" i="1"/>
  <c r="AI85" i="1"/>
  <c r="X87" i="1"/>
  <c r="T93" i="1"/>
  <c r="AI92" i="1"/>
  <c r="AI78" i="1"/>
  <c r="D80" i="1"/>
  <c r="D94" i="1" s="1"/>
  <c r="D95" i="1" s="1"/>
  <c r="D96" i="1" s="1"/>
  <c r="V29" i="1"/>
  <c r="V30" i="1" s="1"/>
  <c r="R94" i="1"/>
  <c r="R95" i="1" s="1"/>
  <c r="R96" i="1" s="1"/>
  <c r="H47" i="1"/>
  <c r="H94" i="1" s="1"/>
  <c r="H95" i="1" s="1"/>
  <c r="H96" i="1" s="1"/>
  <c r="F47" i="1"/>
  <c r="F94" i="1" s="1"/>
  <c r="AI38" i="1"/>
  <c r="AF94" i="1"/>
  <c r="X67" i="1"/>
  <c r="AI61" i="1"/>
  <c r="AI77" i="1"/>
  <c r="T80" i="1"/>
  <c r="C19" i="1"/>
  <c r="C29" i="1" s="1"/>
  <c r="C30" i="1" s="1"/>
  <c r="AI17" i="1"/>
  <c r="K54" i="1"/>
  <c r="AI53" i="1"/>
  <c r="AH95" i="1"/>
  <c r="AH96" i="1" s="1"/>
  <c r="G35" i="1"/>
  <c r="M94" i="1"/>
  <c r="M95" i="1" s="1"/>
  <c r="M96" i="1" s="1"/>
  <c r="Y47" i="1"/>
  <c r="Y94" i="1" s="1"/>
  <c r="Y95" i="1" s="1"/>
  <c r="Y96" i="1" s="1"/>
  <c r="L29" i="1"/>
  <c r="L30" i="1" s="1"/>
  <c r="L95" i="1" s="1"/>
  <c r="L96" i="1" s="1"/>
  <c r="AF95" i="1"/>
  <c r="AF96" i="1" s="1"/>
  <c r="AC94" i="1"/>
  <c r="C94" i="1"/>
  <c r="I47" i="1"/>
  <c r="I94" i="1" s="1"/>
  <c r="I95" i="1" s="1"/>
  <c r="I96" i="1" s="1"/>
  <c r="AI41" i="1"/>
  <c r="AI55" i="1"/>
  <c r="AA80" i="1"/>
  <c r="AA94" i="1" s="1"/>
  <c r="AA95" i="1" s="1"/>
  <c r="AA96" i="1" s="1"/>
  <c r="AI20" i="1"/>
  <c r="Q22" i="1"/>
  <c r="Q29" i="1" s="1"/>
  <c r="Q30" i="1" s="1"/>
  <c r="Q95" i="1" s="1"/>
  <c r="Q96" i="1" s="1"/>
  <c r="P94" i="1"/>
  <c r="P95" i="1" s="1"/>
  <c r="P96" i="1" s="1"/>
  <c r="N94" i="1"/>
  <c r="AI27" i="1"/>
  <c r="E28" i="1"/>
  <c r="E29" i="1" s="1"/>
  <c r="E30" i="1" s="1"/>
  <c r="Q94" i="1"/>
  <c r="T47" i="1"/>
  <c r="T94" i="1" s="1"/>
  <c r="T95" i="1" s="1"/>
  <c r="T96" i="1" s="1"/>
  <c r="N29" i="1"/>
  <c r="N30" i="1" s="1"/>
  <c r="X29" i="1"/>
  <c r="X30" i="1" s="1"/>
  <c r="J95" i="1"/>
  <c r="J96" i="1" s="1"/>
  <c r="AD94" i="1"/>
  <c r="AD95" i="1" s="1"/>
  <c r="AD96" i="1" s="1"/>
  <c r="X80" i="1"/>
  <c r="AI80" i="1" s="1"/>
  <c r="F29" i="1"/>
  <c r="F30" i="1" s="1"/>
  <c r="K94" i="1"/>
  <c r="K95" i="1" s="1"/>
  <c r="K96" i="1" s="1"/>
  <c r="V94" i="1"/>
  <c r="AE94" i="1"/>
  <c r="AE95" i="1" s="1"/>
  <c r="AE96" i="1" s="1"/>
  <c r="U94" i="1"/>
  <c r="AG94" i="1"/>
  <c r="AG95" i="1" s="1"/>
  <c r="AG96" i="1" s="1"/>
  <c r="AI39" i="1"/>
  <c r="AI40" i="1"/>
  <c r="AI42" i="1"/>
  <c r="AI93" i="1"/>
  <c r="E47" i="1"/>
  <c r="B54" i="1"/>
  <c r="AI54" i="1" s="1"/>
  <c r="B67" i="1"/>
  <c r="B71" i="1"/>
  <c r="AI71" i="1" s="1"/>
  <c r="AI91" i="1"/>
  <c r="E93" i="1"/>
  <c r="B19" i="1"/>
  <c r="AI36" i="1"/>
  <c r="AI60" i="1"/>
  <c r="B87" i="1"/>
  <c r="AI26" i="1"/>
  <c r="AI87" i="1" l="1"/>
  <c r="G94" i="1"/>
  <c r="G95" i="1" s="1"/>
  <c r="G96" i="1" s="1"/>
  <c r="C95" i="1"/>
  <c r="C96" i="1" s="1"/>
  <c r="AI67" i="1"/>
  <c r="X94" i="1"/>
  <c r="AI22" i="1"/>
  <c r="AI47" i="1"/>
  <c r="E94" i="1"/>
  <c r="E95" i="1"/>
  <c r="E96" i="1" s="1"/>
  <c r="F95" i="1"/>
  <c r="F96" i="1" s="1"/>
  <c r="V95" i="1"/>
  <c r="V96" i="1" s="1"/>
  <c r="X95" i="1"/>
  <c r="X96" i="1" s="1"/>
  <c r="N95" i="1"/>
  <c r="N96" i="1" s="1"/>
  <c r="AI19" i="1"/>
  <c r="B29" i="1"/>
  <c r="AI28" i="1"/>
  <c r="B94" i="1"/>
  <c r="AI94" i="1" s="1"/>
  <c r="B30" i="1" l="1"/>
  <c r="AI29" i="1"/>
  <c r="B95" i="1" l="1"/>
  <c r="AI30" i="1"/>
  <c r="B96" i="1" l="1"/>
  <c r="AI96" i="1" s="1"/>
  <c r="AI95" i="1"/>
</calcChain>
</file>

<file path=xl/sharedStrings.xml><?xml version="1.0" encoding="utf-8"?>
<sst xmlns="http://schemas.openxmlformats.org/spreadsheetml/2006/main" count="128" uniqueCount="128">
  <si>
    <t>0010 - Operations</t>
  </si>
  <si>
    <t>0025 - Staff Account</t>
  </si>
  <si>
    <t>0060 - WHS Crusade for Children</t>
  </si>
  <si>
    <t>0065 - CRRSA</t>
  </si>
  <si>
    <t>0110 - NKYEC</t>
  </si>
  <si>
    <t>1100 - RSP</t>
  </si>
  <si>
    <t>1130 - DEI Support</t>
  </si>
  <si>
    <t>1135 - DEI Grant</t>
  </si>
  <si>
    <t>1140 - DEI Training</t>
  </si>
  <si>
    <t>1260- Positive Action</t>
  </si>
  <si>
    <t>1310 - EL Local</t>
  </si>
  <si>
    <t>1415 - NKU Regional Consultant</t>
  </si>
  <si>
    <t>1451 - VSA  Arts</t>
  </si>
  <si>
    <t>1509 - Professional Development</t>
  </si>
  <si>
    <t>1550 - Special Ed PD</t>
  </si>
  <si>
    <t>1975 - YSA</t>
  </si>
  <si>
    <t>2010 - FRYSC State</t>
  </si>
  <si>
    <t>2200 - Mandarin Program</t>
  </si>
  <si>
    <t>2800 - Arts in Education</t>
  </si>
  <si>
    <t>2910 - DAIL</t>
  </si>
  <si>
    <t>3010 - FRYSC - Fed</t>
  </si>
  <si>
    <t>3220 - PERS Effectiveness Coach</t>
  </si>
  <si>
    <t>336I - IDEA-B 21-22</t>
  </si>
  <si>
    <t>336J - IDEA B 22-23</t>
  </si>
  <si>
    <t>3416- SPF</t>
  </si>
  <si>
    <t>3425 - Deeper Learning</t>
  </si>
  <si>
    <t>345I - Title III EL 21-22</t>
  </si>
  <si>
    <t>345J - Title III  EL 22-23</t>
  </si>
  <si>
    <t>3800 - Trauma Informed</t>
  </si>
  <si>
    <t>3900 - New Teacher</t>
  </si>
  <si>
    <t>3925 - Mental Health</t>
  </si>
  <si>
    <t>4101C - Arts Grant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</si>
  <si>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</si>
  <si>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</si>
  <si>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</si>
  <si>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</si>
  <si>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</si>
  <si>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</si>
  <si>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</si>
  <si>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</si>
  <si>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</si>
  <si>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</si>
  <si>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</si>
  <si>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</si>
  <si>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</si>
  <si>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</si>
  <si>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</si>
  <si>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</si>
  <si>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</si>
  <si>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</si>
  <si>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</si>
  <si>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</si>
  <si>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</si>
  <si>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</si>
  <si>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</si>
  <si>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</si>
  <si>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</si>
  <si>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</si>
  <si>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</si>
  <si>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</si>
  <si>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</si>
  <si>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</si>
  <si>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</si>
  <si>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</si>
  <si>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</si>
  <si>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</si>
  <si>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</si>
  <si>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</si>
  <si>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</si>
  <si>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</si>
  <si>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</si>
  <si>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</si>
  <si>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</si>
  <si>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</si>
  <si>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</si>
  <si>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</si>
  <si>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</si>
  <si>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</si>
  <si>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</si>
  <si>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40332 SPECIAL INITIATIVE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</si>
  <si>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</si>
  <si>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</si>
  <si>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</si>
  <si>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</si>
  <si>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</si>
  <si>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</si>
  <si>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</si>
  <si>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</si>
  <si>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</si>
  <si>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</si>
  <si>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</si>
  <si>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</si>
  <si>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</si>
  <si>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</si>
  <si>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   40850 BUILDING REPAIR FUND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</si>
  <si>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</si>
  <si>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</si>
  <si>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</si>
  <si>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</si>
  <si>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</si>
  <si>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</si>
  <si>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</si>
  <si>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</si>
  <si>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</si>
  <si>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</si>
  <si>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</si>
  <si>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</si>
  <si>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</si>
  <si>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</si>
  <si>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</si>
  <si>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</si>
  <si>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</si>
  <si>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</si>
  <si>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</si>
  <si>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</si>
  <si>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</si>
  <si>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</si>
  <si>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</si>
  <si>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</si>
  <si>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40899 OTHER MIISCELLANEOUS EXPENSES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</si>
  <si>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</si>
  <si>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</si>
  <si>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</si>
  <si>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</si>
  <si>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</si>
  <si>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</si>
  <si>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</si>
  <si>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2022 -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</si>
</sst>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"/>
  <sheetViews>
    <sheetView tabSelected="1" workbookViewId="0">
      <pane xSplit="1" topLeftCell="B1" activePane="topRight" state="frozen"/>
      <selection pane="topRight" activeCell="A100" sqref="A100:AI100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12" customWidth="1"/>
    <col min="6" max="6" width="11.140625" customWidth="1"/>
    <col min="7" max="7" width="12" customWidth="1"/>
    <col min="8" max="8" width="8.5703125" customWidth="1"/>
    <col min="9" max="9" width="11.140625" customWidth="1"/>
    <col min="10" max="10" width="9.42578125" customWidth="1"/>
    <col min="11" max="11" width="11.140625" customWidth="1"/>
    <col min="12" max="12" width="10.28515625" customWidth="1"/>
    <col min="13" max="13" width="11.140625" customWidth="1"/>
    <col min="14" max="14" width="8.5703125" customWidth="1"/>
    <col min="15" max="15" width="9.42578125" customWidth="1"/>
    <col min="16" max="16" width="11.140625" customWidth="1"/>
    <col min="17" max="17" width="9.42578125" customWidth="1"/>
    <col min="18" max="18" width="11.140625" customWidth="1"/>
    <col min="19" max="19" width="11.5703125" customWidth="1"/>
    <col min="20" max="20" width="12" customWidth="1"/>
    <col min="21" max="21" width="11.140625" customWidth="1"/>
    <col min="22" max="22" width="10.28515625" customWidth="1"/>
    <col min="23" max="23" width="11.140625" customWidth="1"/>
    <col min="24" max="24" width="10.28515625" customWidth="1"/>
    <col min="25" max="26" width="11.140625" customWidth="1"/>
    <col min="27" max="27" width="12" customWidth="1"/>
    <col min="28" max="28" width="8.5703125" customWidth="1"/>
    <col min="29" max="29" width="10.28515625" customWidth="1"/>
    <col min="30" max="30" width="11.140625" customWidth="1"/>
    <col min="31" max="33" width="10.28515625" customWidth="1"/>
    <col min="34" max="34" width="7.7109375" customWidth="1"/>
    <col min="35" max="35" width="12" customWidth="1"/>
  </cols>
  <sheetData>
    <row r="1" spans="1:35" ht="18" x14ac:dyDescent="0.25">
      <c r="A1" s="10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18" x14ac:dyDescent="0.25">
      <c r="A2" s="10" t="s">
        <v>126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5">
      <c r="A3" s="11" t="s">
        <v>127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</row>
    <row r="6" spans="1:35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3" t="s">
        <v>35</v>
      </c>
      <c r="B7" s="4"/>
      <c r="C7" s="4"/>
      <c r="D7" s="4"/>
      <c r="E7" s="4"/>
      <c r="F7" s="4"/>
      <c r="G7" s="5">
        <f>7500</f>
        <v>7500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ref="AI7:AI30" si="0">((((((((((((((((((((((((((((((((B7)+(C7))+(D7))+(E7))+(F7))+(G7))+(H7))+(I7))+(J7))+(K7))+(L7))+(M7))+(N7))+(O7))+(P7))+(Q7))+(R7))+(S7))+(T7))+(U7))+(V7))+(W7))+(X7))+(Y7))+(Z7))+(AA7))+(AB7))+(AC7))+(AD7))+(AE7))+(AF7))+(AG7))+(AH7)</f>
        <v>7500</v>
      </c>
    </row>
    <row r="8" spans="1:35" x14ac:dyDescent="0.25">
      <c r="A8" s="3" t="s">
        <v>36</v>
      </c>
      <c r="B8" s="5">
        <f>252924.07</f>
        <v>252924.07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>
        <f>400</f>
        <v>400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>
        <f>0</f>
        <v>0</v>
      </c>
      <c r="AI8" s="5">
        <f t="shared" si="0"/>
        <v>253324.07</v>
      </c>
    </row>
    <row r="9" spans="1:35" x14ac:dyDescent="0.25">
      <c r="A9" s="3" t="s">
        <v>37</v>
      </c>
      <c r="B9" s="5">
        <f>51508.26</f>
        <v>51508.26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51508.26</v>
      </c>
    </row>
    <row r="10" spans="1:35" x14ac:dyDescent="0.25">
      <c r="A10" s="3" t="s">
        <v>38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>
        <f>41650</f>
        <v>41650</v>
      </c>
      <c r="P10" s="5">
        <f>17625</f>
        <v>17625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59275</v>
      </c>
    </row>
    <row r="11" spans="1:35" x14ac:dyDescent="0.25">
      <c r="A11" s="3" t="s">
        <v>39</v>
      </c>
      <c r="B11" s="5">
        <f>50000</f>
        <v>50000</v>
      </c>
      <c r="C11" s="4"/>
      <c r="D11" s="4"/>
      <c r="E11" s="4"/>
      <c r="F11" s="5">
        <f>25886.2</f>
        <v>25886.2</v>
      </c>
      <c r="G11" s="4"/>
      <c r="H11" s="4"/>
      <c r="I11" s="4"/>
      <c r="J11" s="4"/>
      <c r="K11" s="4"/>
      <c r="L11" s="4"/>
      <c r="M11" s="5">
        <f>45766.66</f>
        <v>45766.66</v>
      </c>
      <c r="N11" s="4"/>
      <c r="O11" s="4"/>
      <c r="P11" s="4"/>
      <c r="Q11" s="4"/>
      <c r="R11" s="4"/>
      <c r="S11" s="5">
        <f>518363</f>
        <v>518363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5">
        <f>223845.3</f>
        <v>223845.3</v>
      </c>
      <c r="AH11" s="4"/>
      <c r="AI11" s="5">
        <f t="shared" si="0"/>
        <v>863861.15999999992</v>
      </c>
    </row>
    <row r="12" spans="1:35" x14ac:dyDescent="0.25">
      <c r="A12" s="3" t="s">
        <v>40</v>
      </c>
      <c r="B12" s="5">
        <f>750</f>
        <v>750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>
        <f>500</f>
        <v>500</v>
      </c>
      <c r="AA12" s="4"/>
      <c r="AB12" s="4"/>
      <c r="AC12" s="4"/>
      <c r="AD12" s="4"/>
      <c r="AE12" s="4"/>
      <c r="AF12" s="4"/>
      <c r="AG12" s="4"/>
      <c r="AH12" s="4"/>
      <c r="AI12" s="5">
        <f t="shared" si="0"/>
        <v>1250</v>
      </c>
    </row>
    <row r="13" spans="1:35" x14ac:dyDescent="0.25">
      <c r="A13" s="3" t="s">
        <v>41</v>
      </c>
      <c r="B13" s="5">
        <f>9080.95</f>
        <v>9080.9500000000007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9080.9500000000007</v>
      </c>
    </row>
    <row r="14" spans="1:35" x14ac:dyDescent="0.25">
      <c r="A14" s="3" t="s">
        <v>42</v>
      </c>
      <c r="B14" s="5">
        <f>55908.53</f>
        <v>55908.53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55908.53</v>
      </c>
    </row>
    <row r="15" spans="1:35" x14ac:dyDescent="0.25">
      <c r="A15" s="3" t="s">
        <v>43</v>
      </c>
      <c r="B15" s="5">
        <f>569441.73</f>
        <v>569441.73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>
        <f>3661.32</f>
        <v>3661.32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573103.04999999993</v>
      </c>
    </row>
    <row r="16" spans="1:35" x14ac:dyDescent="0.25">
      <c r="A16" s="3" t="s">
        <v>44</v>
      </c>
      <c r="B16" s="5">
        <f>54700</f>
        <v>54700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54700</v>
      </c>
    </row>
    <row r="17" spans="1:35" x14ac:dyDescent="0.25">
      <c r="A17" s="3" t="s">
        <v>45</v>
      </c>
      <c r="B17" s="5">
        <f>1824.96</f>
        <v>1824.96</v>
      </c>
      <c r="C17" s="5">
        <f>285.92</f>
        <v>285.92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2110.88</v>
      </c>
    </row>
    <row r="18" spans="1:35" x14ac:dyDescent="0.25">
      <c r="A18" s="3" t="s">
        <v>46</v>
      </c>
      <c r="B18" s="4"/>
      <c r="C18" s="4"/>
      <c r="D18" s="4"/>
      <c r="E18" s="4"/>
      <c r="F18" s="4"/>
      <c r="G18" s="5">
        <f>146636.97</f>
        <v>146636.97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146636.97</v>
      </c>
    </row>
    <row r="19" spans="1:35" x14ac:dyDescent="0.25">
      <c r="A19" s="3" t="s">
        <v>47</v>
      </c>
      <c r="B19" s="6">
        <f t="shared" ref="B19:AH19" si="1">(((((((((((B7)+(B8))+(B9))+(B10))+(B11))+(B12))+(B13))+(B14))+(B15))+(B16))+(B17))+(B18)</f>
        <v>1046138.5</v>
      </c>
      <c r="C19" s="6">
        <f t="shared" si="1"/>
        <v>285.92</v>
      </c>
      <c r="D19" s="6">
        <f t="shared" si="1"/>
        <v>0</v>
      </c>
      <c r="E19" s="6">
        <f t="shared" si="1"/>
        <v>0</v>
      </c>
      <c r="F19" s="6">
        <f t="shared" si="1"/>
        <v>25886.2</v>
      </c>
      <c r="G19" s="6">
        <f t="shared" si="1"/>
        <v>154136.97</v>
      </c>
      <c r="H19" s="6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49427.98</v>
      </c>
      <c r="N19" s="6">
        <f t="shared" si="1"/>
        <v>0</v>
      </c>
      <c r="O19" s="6">
        <f t="shared" si="1"/>
        <v>42050</v>
      </c>
      <c r="P19" s="6">
        <f t="shared" si="1"/>
        <v>17625</v>
      </c>
      <c r="Q19" s="6">
        <f t="shared" si="1"/>
        <v>0</v>
      </c>
      <c r="R19" s="6">
        <f t="shared" si="1"/>
        <v>0</v>
      </c>
      <c r="S19" s="6">
        <f t="shared" si="1"/>
        <v>518363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500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223845.3</v>
      </c>
      <c r="AH19" s="6">
        <f t="shared" si="1"/>
        <v>0</v>
      </c>
      <c r="AI19" s="6">
        <f t="shared" si="0"/>
        <v>2078258.87</v>
      </c>
    </row>
    <row r="20" spans="1:35" x14ac:dyDescent="0.25">
      <c r="A20" s="3" t="s">
        <v>48</v>
      </c>
      <c r="B20" s="4"/>
      <c r="C20" s="4"/>
      <c r="D20" s="4"/>
      <c r="E20" s="4"/>
      <c r="F20" s="4"/>
      <c r="G20" s="5">
        <f>1639483.78</f>
        <v>1639483.78</v>
      </c>
      <c r="H20" s="4"/>
      <c r="I20" s="4"/>
      <c r="J20" s="4"/>
      <c r="K20" s="4"/>
      <c r="L20" s="5">
        <f>116067.42</f>
        <v>116067.42</v>
      </c>
      <c r="M20" s="4"/>
      <c r="N20" s="4"/>
      <c r="O20" s="4"/>
      <c r="P20" s="4"/>
      <c r="Q20" s="5">
        <f>70559.5</f>
        <v>70559.5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1826110.7</v>
      </c>
    </row>
    <row r="21" spans="1:35" x14ac:dyDescent="0.25">
      <c r="A21" s="3" t="s">
        <v>49</v>
      </c>
      <c r="B21" s="4"/>
      <c r="C21" s="4"/>
      <c r="D21" s="4"/>
      <c r="E21" s="4"/>
      <c r="F21" s="4"/>
      <c r="G21" s="5">
        <f>27093.14</f>
        <v>27093.14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27093.14</v>
      </c>
    </row>
    <row r="22" spans="1:35" x14ac:dyDescent="0.25">
      <c r="A22" s="3" t="s">
        <v>50</v>
      </c>
      <c r="B22" s="6">
        <f t="shared" ref="B22:AH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0</v>
      </c>
      <c r="G22" s="6">
        <f t="shared" si="2"/>
        <v>1666576.92</v>
      </c>
      <c r="H22" s="6">
        <f t="shared" si="2"/>
        <v>0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116067.42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70559.5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0"/>
        <v>1853203.8399999999</v>
      </c>
    </row>
    <row r="23" spans="1:35" x14ac:dyDescent="0.25">
      <c r="A23" s="3" t="s">
        <v>51</v>
      </c>
      <c r="B23" s="5">
        <f>52920</f>
        <v>52920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52920</v>
      </c>
    </row>
    <row r="24" spans="1:35" x14ac:dyDescent="0.25">
      <c r="A24" s="3" t="s">
        <v>52</v>
      </c>
      <c r="B24" s="5">
        <f>32096.65</f>
        <v>32096.65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32096.65</v>
      </c>
    </row>
    <row r="25" spans="1:35" x14ac:dyDescent="0.25">
      <c r="A25" s="3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>
        <f>-133705</f>
        <v>-133705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-133705</v>
      </c>
    </row>
    <row r="26" spans="1:35" x14ac:dyDescent="0.25">
      <c r="A26" s="3" t="s">
        <v>54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>
        <f>639278.22</f>
        <v>639278.22</v>
      </c>
      <c r="S26" s="4"/>
      <c r="T26" s="4"/>
      <c r="U26" s="5">
        <f>492861.41</f>
        <v>492861.41</v>
      </c>
      <c r="V26" s="4"/>
      <c r="W26" s="5">
        <f>43496</f>
        <v>43496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1175635.6299999999</v>
      </c>
    </row>
    <row r="27" spans="1:35" x14ac:dyDescent="0.25">
      <c r="A27" s="3" t="s">
        <v>55</v>
      </c>
      <c r="B27" s="4"/>
      <c r="C27" s="4"/>
      <c r="D27" s="4"/>
      <c r="E27" s="5">
        <f>288200.53</f>
        <v>288200.53000000003</v>
      </c>
      <c r="F27" s="4"/>
      <c r="G27" s="4"/>
      <c r="H27" s="5">
        <f>7528.17</f>
        <v>7528.17</v>
      </c>
      <c r="I27" s="5">
        <f>18733.95</f>
        <v>18733.95</v>
      </c>
      <c r="J27" s="5">
        <f>50000</f>
        <v>50000</v>
      </c>
      <c r="K27" s="5">
        <f>130815.96</f>
        <v>130815.96</v>
      </c>
      <c r="L27" s="4"/>
      <c r="M27" s="4"/>
      <c r="N27" s="4"/>
      <c r="O27" s="4"/>
      <c r="P27" s="4"/>
      <c r="Q27" s="4"/>
      <c r="R27" s="4"/>
      <c r="S27" s="4"/>
      <c r="T27" s="5">
        <f>640766.12</f>
        <v>640766.12</v>
      </c>
      <c r="U27" s="4"/>
      <c r="V27" s="5">
        <f>259978.96</f>
        <v>259978.96</v>
      </c>
      <c r="W27" s="4"/>
      <c r="X27" s="5">
        <f>296862.41</f>
        <v>296862.40999999997</v>
      </c>
      <c r="Y27" s="5">
        <f>424822</f>
        <v>424822</v>
      </c>
      <c r="Z27" s="5">
        <f>208089.74</f>
        <v>208089.74</v>
      </c>
      <c r="AA27" s="5">
        <f>230274.85</f>
        <v>230274.85</v>
      </c>
      <c r="AB27" s="5">
        <f>6590</f>
        <v>6590</v>
      </c>
      <c r="AC27" s="5">
        <f>7534</f>
        <v>7534</v>
      </c>
      <c r="AD27" s="4"/>
      <c r="AE27" s="5">
        <f>17254.73</f>
        <v>17254.73</v>
      </c>
      <c r="AF27" s="4"/>
      <c r="AG27" s="4"/>
      <c r="AH27" s="4"/>
      <c r="AI27" s="5">
        <f t="shared" si="0"/>
        <v>2587451.42</v>
      </c>
    </row>
    <row r="28" spans="1:35" x14ac:dyDescent="0.25">
      <c r="A28" s="3" t="s">
        <v>56</v>
      </c>
      <c r="B28" s="6">
        <f t="shared" ref="B28:AH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288200.53000000003</v>
      </c>
      <c r="F28" s="6">
        <f t="shared" si="3"/>
        <v>0</v>
      </c>
      <c r="G28" s="6">
        <f t="shared" si="3"/>
        <v>0</v>
      </c>
      <c r="H28" s="6">
        <f t="shared" si="3"/>
        <v>7528.17</v>
      </c>
      <c r="I28" s="6">
        <f t="shared" si="3"/>
        <v>18733.95</v>
      </c>
      <c r="J28" s="6">
        <f t="shared" si="3"/>
        <v>50000</v>
      </c>
      <c r="K28" s="6">
        <f t="shared" si="3"/>
        <v>130815.96</v>
      </c>
      <c r="L28" s="6">
        <f t="shared" si="3"/>
        <v>0</v>
      </c>
      <c r="M28" s="6">
        <f t="shared" si="3"/>
        <v>0</v>
      </c>
      <c r="N28" s="6">
        <f t="shared" si="3"/>
        <v>0</v>
      </c>
      <c r="O28" s="6">
        <f t="shared" si="3"/>
        <v>0</v>
      </c>
      <c r="P28" s="6">
        <f t="shared" si="3"/>
        <v>0</v>
      </c>
      <c r="Q28" s="6">
        <f t="shared" si="3"/>
        <v>0</v>
      </c>
      <c r="R28" s="6">
        <f t="shared" si="3"/>
        <v>639278.22</v>
      </c>
      <c r="S28" s="6">
        <f t="shared" si="3"/>
        <v>-133705</v>
      </c>
      <c r="T28" s="6">
        <f t="shared" si="3"/>
        <v>640766.12</v>
      </c>
      <c r="U28" s="6">
        <f t="shared" si="3"/>
        <v>492861.41</v>
      </c>
      <c r="V28" s="6">
        <f t="shared" si="3"/>
        <v>259978.96</v>
      </c>
      <c r="W28" s="6">
        <f t="shared" si="3"/>
        <v>43496</v>
      </c>
      <c r="X28" s="6">
        <f t="shared" si="3"/>
        <v>296862.40999999997</v>
      </c>
      <c r="Y28" s="6">
        <f t="shared" si="3"/>
        <v>424822</v>
      </c>
      <c r="Z28" s="6">
        <f t="shared" si="3"/>
        <v>208089.74</v>
      </c>
      <c r="AA28" s="6">
        <f t="shared" si="3"/>
        <v>230274.85</v>
      </c>
      <c r="AB28" s="6">
        <f t="shared" si="3"/>
        <v>6590</v>
      </c>
      <c r="AC28" s="6">
        <f t="shared" si="3"/>
        <v>7534</v>
      </c>
      <c r="AD28" s="6">
        <f t="shared" si="3"/>
        <v>0</v>
      </c>
      <c r="AE28" s="6">
        <f t="shared" si="3"/>
        <v>17254.73</v>
      </c>
      <c r="AF28" s="6">
        <f t="shared" si="3"/>
        <v>0</v>
      </c>
      <c r="AG28" s="6">
        <f t="shared" si="3"/>
        <v>0</v>
      </c>
      <c r="AH28" s="6">
        <f t="shared" si="3"/>
        <v>0</v>
      </c>
      <c r="AI28" s="6">
        <f t="shared" si="0"/>
        <v>3629382.0500000007</v>
      </c>
    </row>
    <row r="29" spans="1:35" x14ac:dyDescent="0.25">
      <c r="A29" s="3" t="s">
        <v>57</v>
      </c>
      <c r="B29" s="6">
        <f t="shared" ref="B29:AH29" si="4">((((B19)+(B22))+(B23))+(B24))+(B28)</f>
        <v>1131155.1499999999</v>
      </c>
      <c r="C29" s="6">
        <f t="shared" si="4"/>
        <v>285.92</v>
      </c>
      <c r="D29" s="6">
        <f t="shared" si="4"/>
        <v>0</v>
      </c>
      <c r="E29" s="6">
        <f t="shared" si="4"/>
        <v>288200.53000000003</v>
      </c>
      <c r="F29" s="6">
        <f t="shared" si="4"/>
        <v>25886.2</v>
      </c>
      <c r="G29" s="6">
        <f t="shared" si="4"/>
        <v>1820713.89</v>
      </c>
      <c r="H29" s="6">
        <f t="shared" si="4"/>
        <v>7528.17</v>
      </c>
      <c r="I29" s="6">
        <f t="shared" si="4"/>
        <v>18733.95</v>
      </c>
      <c r="J29" s="6">
        <f t="shared" si="4"/>
        <v>50000</v>
      </c>
      <c r="K29" s="6">
        <f t="shared" si="4"/>
        <v>130815.96</v>
      </c>
      <c r="L29" s="6">
        <f t="shared" si="4"/>
        <v>116067.42</v>
      </c>
      <c r="M29" s="6">
        <f t="shared" si="4"/>
        <v>49427.98</v>
      </c>
      <c r="N29" s="6">
        <f t="shared" si="4"/>
        <v>0</v>
      </c>
      <c r="O29" s="6">
        <f t="shared" si="4"/>
        <v>42050</v>
      </c>
      <c r="P29" s="6">
        <f t="shared" si="4"/>
        <v>17625</v>
      </c>
      <c r="Q29" s="6">
        <f t="shared" si="4"/>
        <v>70559.5</v>
      </c>
      <c r="R29" s="6">
        <f t="shared" si="4"/>
        <v>639278.22</v>
      </c>
      <c r="S29" s="6">
        <f t="shared" si="4"/>
        <v>384658</v>
      </c>
      <c r="T29" s="6">
        <f t="shared" si="4"/>
        <v>640766.12</v>
      </c>
      <c r="U29" s="6">
        <f t="shared" si="4"/>
        <v>492861.41</v>
      </c>
      <c r="V29" s="6">
        <f t="shared" si="4"/>
        <v>259978.96</v>
      </c>
      <c r="W29" s="6">
        <f t="shared" si="4"/>
        <v>43496</v>
      </c>
      <c r="X29" s="6">
        <f t="shared" si="4"/>
        <v>296862.40999999997</v>
      </c>
      <c r="Y29" s="6">
        <f t="shared" si="4"/>
        <v>424822</v>
      </c>
      <c r="Z29" s="6">
        <f t="shared" si="4"/>
        <v>208589.74</v>
      </c>
      <c r="AA29" s="6">
        <f t="shared" si="4"/>
        <v>230274.85</v>
      </c>
      <c r="AB29" s="6">
        <f t="shared" si="4"/>
        <v>6590</v>
      </c>
      <c r="AC29" s="6">
        <f t="shared" si="4"/>
        <v>7534</v>
      </c>
      <c r="AD29" s="6">
        <f t="shared" si="4"/>
        <v>0</v>
      </c>
      <c r="AE29" s="6">
        <f t="shared" si="4"/>
        <v>17254.73</v>
      </c>
      <c r="AF29" s="6">
        <f t="shared" si="4"/>
        <v>0</v>
      </c>
      <c r="AG29" s="6">
        <f t="shared" si="4"/>
        <v>223845.3</v>
      </c>
      <c r="AH29" s="6">
        <f t="shared" si="4"/>
        <v>0</v>
      </c>
      <c r="AI29" s="6">
        <f t="shared" si="0"/>
        <v>7645861.4100000001</v>
      </c>
    </row>
    <row r="30" spans="1:35" x14ac:dyDescent="0.25">
      <c r="A30" s="3" t="s">
        <v>58</v>
      </c>
      <c r="B30" s="6">
        <f t="shared" ref="B30:AH30" si="5">(B29)-(0)</f>
        <v>1131155.1499999999</v>
      </c>
      <c r="C30" s="6">
        <f t="shared" si="5"/>
        <v>285.92</v>
      </c>
      <c r="D30" s="6">
        <f t="shared" si="5"/>
        <v>0</v>
      </c>
      <c r="E30" s="6">
        <f t="shared" si="5"/>
        <v>288200.53000000003</v>
      </c>
      <c r="F30" s="6">
        <f t="shared" si="5"/>
        <v>25886.2</v>
      </c>
      <c r="G30" s="6">
        <f t="shared" si="5"/>
        <v>1820713.89</v>
      </c>
      <c r="H30" s="6">
        <f t="shared" si="5"/>
        <v>7528.17</v>
      </c>
      <c r="I30" s="6">
        <f t="shared" si="5"/>
        <v>18733.95</v>
      </c>
      <c r="J30" s="6">
        <f t="shared" si="5"/>
        <v>50000</v>
      </c>
      <c r="K30" s="6">
        <f t="shared" si="5"/>
        <v>130815.96</v>
      </c>
      <c r="L30" s="6">
        <f t="shared" si="5"/>
        <v>116067.42</v>
      </c>
      <c r="M30" s="6">
        <f t="shared" si="5"/>
        <v>49427.98</v>
      </c>
      <c r="N30" s="6">
        <f t="shared" si="5"/>
        <v>0</v>
      </c>
      <c r="O30" s="6">
        <f t="shared" si="5"/>
        <v>42050</v>
      </c>
      <c r="P30" s="6">
        <f t="shared" si="5"/>
        <v>17625</v>
      </c>
      <c r="Q30" s="6">
        <f t="shared" si="5"/>
        <v>70559.5</v>
      </c>
      <c r="R30" s="6">
        <f t="shared" si="5"/>
        <v>639278.22</v>
      </c>
      <c r="S30" s="6">
        <f t="shared" si="5"/>
        <v>384658</v>
      </c>
      <c r="T30" s="6">
        <f t="shared" si="5"/>
        <v>640766.12</v>
      </c>
      <c r="U30" s="6">
        <f t="shared" si="5"/>
        <v>492861.41</v>
      </c>
      <c r="V30" s="6">
        <f t="shared" si="5"/>
        <v>259978.96</v>
      </c>
      <c r="W30" s="6">
        <f t="shared" si="5"/>
        <v>43496</v>
      </c>
      <c r="X30" s="6">
        <f t="shared" si="5"/>
        <v>296862.40999999997</v>
      </c>
      <c r="Y30" s="6">
        <f t="shared" si="5"/>
        <v>424822</v>
      </c>
      <c r="Z30" s="6">
        <f t="shared" si="5"/>
        <v>208589.74</v>
      </c>
      <c r="AA30" s="6">
        <f t="shared" si="5"/>
        <v>230274.85</v>
      </c>
      <c r="AB30" s="6">
        <f t="shared" si="5"/>
        <v>6590</v>
      </c>
      <c r="AC30" s="6">
        <f t="shared" si="5"/>
        <v>7534</v>
      </c>
      <c r="AD30" s="6">
        <f t="shared" si="5"/>
        <v>0</v>
      </c>
      <c r="AE30" s="6">
        <f t="shared" si="5"/>
        <v>17254.73</v>
      </c>
      <c r="AF30" s="6">
        <f t="shared" si="5"/>
        <v>0</v>
      </c>
      <c r="AG30" s="6">
        <f t="shared" si="5"/>
        <v>223845.3</v>
      </c>
      <c r="AH30" s="6">
        <f t="shared" si="5"/>
        <v>0</v>
      </c>
      <c r="AI30" s="6">
        <f t="shared" si="0"/>
        <v>7645861.4100000001</v>
      </c>
    </row>
    <row r="31" spans="1:35" x14ac:dyDescent="0.25">
      <c r="A31" s="3" t="s">
        <v>59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5">
      <c r="A32" s="3" t="s">
        <v>60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5">
        <f t="shared" ref="AI32:AI63" si="6">((((((((((((((((((((((((((((((((B32)+(C32))+(D32))+(E32))+(F32))+(G32))+(H32))+(I32))+(J32))+(K32))+(L32))+(M32))+(N32))+(O32))+(P32))+(Q32))+(R32))+(S32))+(T32))+(U32))+(V32))+(W32))+(X32))+(Y32))+(Z32))+(AA32))+(AB32))+(AC32))+(AD32))+(AE32))+(AF32))+(AG32))+(AH32)</f>
        <v>0</v>
      </c>
    </row>
    <row r="33" spans="1:35" x14ac:dyDescent="0.25">
      <c r="A33" s="3" t="s">
        <v>61</v>
      </c>
      <c r="B33" s="5">
        <f>189593.95</f>
        <v>189593.95</v>
      </c>
      <c r="C33" s="4"/>
      <c r="D33" s="4"/>
      <c r="E33" s="5">
        <f>251648.35</f>
        <v>251648.35</v>
      </c>
      <c r="F33" s="4"/>
      <c r="G33" s="5">
        <f>592213.34</f>
        <v>592213.34</v>
      </c>
      <c r="H33" s="5">
        <f>5121.44</f>
        <v>5121.4399999999996</v>
      </c>
      <c r="I33" s="5">
        <f>59347</f>
        <v>59347</v>
      </c>
      <c r="J33" s="4"/>
      <c r="K33" s="5">
        <f>65164.48</f>
        <v>65164.480000000003</v>
      </c>
      <c r="L33" s="5">
        <f>74836.22</f>
        <v>74836.22</v>
      </c>
      <c r="M33" s="4"/>
      <c r="N33" s="4"/>
      <c r="O33" s="5">
        <f>1203.93</f>
        <v>1203.93</v>
      </c>
      <c r="P33" s="5">
        <f>-887.11</f>
        <v>-887.11</v>
      </c>
      <c r="Q33" s="5">
        <f>40102.92</f>
        <v>40102.92</v>
      </c>
      <c r="R33" s="5">
        <f>451569.24</f>
        <v>451569.24</v>
      </c>
      <c r="S33" s="5">
        <f>70095</f>
        <v>70095</v>
      </c>
      <c r="T33" s="5">
        <f>123558.8</f>
        <v>123558.8</v>
      </c>
      <c r="U33" s="4"/>
      <c r="V33" s="5">
        <f>63734.65</f>
        <v>63734.65</v>
      </c>
      <c r="W33" s="4"/>
      <c r="X33" s="5">
        <f>136876.84</f>
        <v>136876.84</v>
      </c>
      <c r="Y33" s="5">
        <f>275591.27</f>
        <v>275591.27</v>
      </c>
      <c r="Z33" s="5">
        <f>135098.24</f>
        <v>135098.23999999999</v>
      </c>
      <c r="AA33" s="5">
        <f>206526.38</f>
        <v>206526.38</v>
      </c>
      <c r="AB33" s="5">
        <f>2410.4</f>
        <v>2410.4</v>
      </c>
      <c r="AC33" s="5">
        <f>4589.84</f>
        <v>4589.84</v>
      </c>
      <c r="AD33" s="5">
        <f>25067.93</f>
        <v>25067.93</v>
      </c>
      <c r="AE33" s="5">
        <f>10000</f>
        <v>10000</v>
      </c>
      <c r="AF33" s="4"/>
      <c r="AG33" s="5">
        <f>25404.42</f>
        <v>25404.42</v>
      </c>
      <c r="AH33" s="4"/>
      <c r="AI33" s="5">
        <f t="shared" si="6"/>
        <v>2808867.5299999993</v>
      </c>
    </row>
    <row r="34" spans="1:35" x14ac:dyDescent="0.25">
      <c r="A34" s="3" t="s">
        <v>62</v>
      </c>
      <c r="B34" s="5">
        <f>191866.29</f>
        <v>191866.29</v>
      </c>
      <c r="C34" s="4"/>
      <c r="D34" s="4"/>
      <c r="E34" s="4"/>
      <c r="F34" s="5">
        <f>34593.84</f>
        <v>34593.839999999997</v>
      </c>
      <c r="G34" s="5">
        <f>149601.9</f>
        <v>149601.9</v>
      </c>
      <c r="H34" s="4"/>
      <c r="I34" s="4"/>
      <c r="J34" s="4"/>
      <c r="K34" s="4"/>
      <c r="L34" s="4"/>
      <c r="M34" s="5">
        <f>56513.92</f>
        <v>56513.919999999998</v>
      </c>
      <c r="N34" s="4"/>
      <c r="O34" s="4"/>
      <c r="P34" s="4"/>
      <c r="Q34" s="4"/>
      <c r="R34" s="5">
        <f>28596.06</f>
        <v>28596.06</v>
      </c>
      <c r="S34" s="4"/>
      <c r="T34" s="5">
        <f>24951.34</f>
        <v>24951.34</v>
      </c>
      <c r="U34" s="5">
        <f>366070.05</f>
        <v>366070.05</v>
      </c>
      <c r="V34" s="4"/>
      <c r="W34" s="5">
        <f>45000</f>
        <v>45000</v>
      </c>
      <c r="X34" s="5">
        <f>14322.48</f>
        <v>14322.48</v>
      </c>
      <c r="Y34" s="5">
        <f>28208.14</f>
        <v>28208.14</v>
      </c>
      <c r="Z34" s="4"/>
      <c r="AA34" s="4"/>
      <c r="AB34" s="4"/>
      <c r="AC34" s="4"/>
      <c r="AD34" s="4"/>
      <c r="AE34" s="4"/>
      <c r="AF34" s="4"/>
      <c r="AG34" s="4"/>
      <c r="AH34" s="4"/>
      <c r="AI34" s="5">
        <f t="shared" si="6"/>
        <v>939724.02</v>
      </c>
    </row>
    <row r="35" spans="1:35" x14ac:dyDescent="0.25">
      <c r="A35" s="3" t="s">
        <v>63</v>
      </c>
      <c r="B35" s="6">
        <f t="shared" ref="B35:AH35" si="7">((B32)+(B33))+(B34)</f>
        <v>381460.24</v>
      </c>
      <c r="C35" s="6">
        <f t="shared" si="7"/>
        <v>0</v>
      </c>
      <c r="D35" s="6">
        <f t="shared" si="7"/>
        <v>0</v>
      </c>
      <c r="E35" s="6">
        <f t="shared" si="7"/>
        <v>251648.35</v>
      </c>
      <c r="F35" s="6">
        <f t="shared" si="7"/>
        <v>34593.839999999997</v>
      </c>
      <c r="G35" s="6">
        <f t="shared" si="7"/>
        <v>741815.24</v>
      </c>
      <c r="H35" s="6">
        <f t="shared" si="7"/>
        <v>5121.4399999999996</v>
      </c>
      <c r="I35" s="6">
        <f t="shared" si="7"/>
        <v>59347</v>
      </c>
      <c r="J35" s="6">
        <f t="shared" si="7"/>
        <v>0</v>
      </c>
      <c r="K35" s="6">
        <f t="shared" si="7"/>
        <v>65164.480000000003</v>
      </c>
      <c r="L35" s="6">
        <f t="shared" si="7"/>
        <v>74836.22</v>
      </c>
      <c r="M35" s="6">
        <f t="shared" si="7"/>
        <v>56513.919999999998</v>
      </c>
      <c r="N35" s="6">
        <f t="shared" si="7"/>
        <v>0</v>
      </c>
      <c r="O35" s="6">
        <f t="shared" si="7"/>
        <v>1203.93</v>
      </c>
      <c r="P35" s="6">
        <f t="shared" si="7"/>
        <v>-887.11</v>
      </c>
      <c r="Q35" s="6">
        <f t="shared" si="7"/>
        <v>40102.92</v>
      </c>
      <c r="R35" s="6">
        <f t="shared" si="7"/>
        <v>480165.3</v>
      </c>
      <c r="S35" s="6">
        <f t="shared" si="7"/>
        <v>70095</v>
      </c>
      <c r="T35" s="6">
        <f t="shared" si="7"/>
        <v>148510.14000000001</v>
      </c>
      <c r="U35" s="6">
        <f t="shared" si="7"/>
        <v>366070.05</v>
      </c>
      <c r="V35" s="6">
        <f t="shared" si="7"/>
        <v>63734.65</v>
      </c>
      <c r="W35" s="6">
        <f t="shared" si="7"/>
        <v>45000</v>
      </c>
      <c r="X35" s="6">
        <f t="shared" si="7"/>
        <v>151199.32</v>
      </c>
      <c r="Y35" s="6">
        <f t="shared" si="7"/>
        <v>303799.41000000003</v>
      </c>
      <c r="Z35" s="6">
        <f t="shared" si="7"/>
        <v>135098.23999999999</v>
      </c>
      <c r="AA35" s="6">
        <f t="shared" si="7"/>
        <v>206526.38</v>
      </c>
      <c r="AB35" s="6">
        <f t="shared" si="7"/>
        <v>2410.4</v>
      </c>
      <c r="AC35" s="6">
        <f t="shared" si="7"/>
        <v>4589.84</v>
      </c>
      <c r="AD35" s="6">
        <f t="shared" si="7"/>
        <v>25067.93</v>
      </c>
      <c r="AE35" s="6">
        <f t="shared" si="7"/>
        <v>10000</v>
      </c>
      <c r="AF35" s="6">
        <f t="shared" si="7"/>
        <v>0</v>
      </c>
      <c r="AG35" s="6">
        <f t="shared" si="7"/>
        <v>25404.42</v>
      </c>
      <c r="AH35" s="6">
        <f t="shared" si="7"/>
        <v>0</v>
      </c>
      <c r="AI35" s="6">
        <f t="shared" si="6"/>
        <v>3748591.5499999989</v>
      </c>
    </row>
    <row r="36" spans="1:35" x14ac:dyDescent="0.25">
      <c r="A36" s="3" t="s">
        <v>64</v>
      </c>
      <c r="B36" s="5">
        <f>0</f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>
        <f>0</f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>
        <f t="shared" si="6"/>
        <v>0</v>
      </c>
    </row>
    <row r="37" spans="1:35" x14ac:dyDescent="0.25">
      <c r="A37" s="3" t="s">
        <v>65</v>
      </c>
      <c r="B37" s="4"/>
      <c r="C37" s="4"/>
      <c r="D37" s="4"/>
      <c r="E37" s="5">
        <f>171.22</f>
        <v>171.22</v>
      </c>
      <c r="F37" s="4"/>
      <c r="G37" s="4"/>
      <c r="H37" s="5">
        <f>0.69</f>
        <v>0.69</v>
      </c>
      <c r="I37" s="5">
        <f>8.31</f>
        <v>8.31</v>
      </c>
      <c r="J37" s="4"/>
      <c r="K37" s="5">
        <f>9.63</f>
        <v>9.6300000000000008</v>
      </c>
      <c r="L37" s="4"/>
      <c r="M37" s="4"/>
      <c r="N37" s="4"/>
      <c r="O37" s="5">
        <f>0.19</f>
        <v>0.19</v>
      </c>
      <c r="P37" s="5">
        <f>-134.41</f>
        <v>-134.41</v>
      </c>
      <c r="Q37" s="4"/>
      <c r="R37" s="4"/>
      <c r="S37" s="4"/>
      <c r="T37" s="5">
        <f>9.44</f>
        <v>9.44</v>
      </c>
      <c r="U37" s="4"/>
      <c r="V37" s="5">
        <f>14</f>
        <v>14</v>
      </c>
      <c r="W37" s="4"/>
      <c r="X37" s="5">
        <f>19.71</f>
        <v>19.71</v>
      </c>
      <c r="Y37" s="5">
        <f>43.71</f>
        <v>43.71</v>
      </c>
      <c r="Z37" s="5">
        <f>14.91</f>
        <v>14.91</v>
      </c>
      <c r="AA37" s="5">
        <f>24.17</f>
        <v>24.17</v>
      </c>
      <c r="AB37" s="5">
        <f>1</f>
        <v>1</v>
      </c>
      <c r="AC37" s="5">
        <f>0.05</f>
        <v>0.05</v>
      </c>
      <c r="AD37" s="5">
        <f>1.6</f>
        <v>1.6</v>
      </c>
      <c r="AE37" s="4"/>
      <c r="AF37" s="4"/>
      <c r="AG37" s="5">
        <f>3.72</f>
        <v>3.72</v>
      </c>
      <c r="AH37" s="4"/>
      <c r="AI37" s="5">
        <f t="shared" si="6"/>
        <v>187.94</v>
      </c>
    </row>
    <row r="38" spans="1:35" x14ac:dyDescent="0.25">
      <c r="A38" s="3" t="s">
        <v>66</v>
      </c>
      <c r="B38" s="5">
        <f>10844.02</f>
        <v>10844.02</v>
      </c>
      <c r="C38" s="4"/>
      <c r="D38" s="4"/>
      <c r="E38" s="4"/>
      <c r="F38" s="5">
        <f>1926.22</f>
        <v>1926.22</v>
      </c>
      <c r="G38" s="5">
        <f>8277.93</f>
        <v>8277.93</v>
      </c>
      <c r="H38" s="4"/>
      <c r="I38" s="4"/>
      <c r="J38" s="4"/>
      <c r="K38" s="4"/>
      <c r="L38" s="4"/>
      <c r="M38" s="5">
        <f>3304.14</f>
        <v>3304.14</v>
      </c>
      <c r="N38" s="4"/>
      <c r="O38" s="4"/>
      <c r="P38" s="4"/>
      <c r="Q38" s="4"/>
      <c r="R38" s="5">
        <f>1847.48</f>
        <v>1847.48</v>
      </c>
      <c r="S38" s="4"/>
      <c r="T38" s="5">
        <f>1525.92</f>
        <v>1525.92</v>
      </c>
      <c r="U38" s="5">
        <f>21757.55</f>
        <v>21757.55</v>
      </c>
      <c r="V38" s="4"/>
      <c r="W38" s="5">
        <f>2714.08</f>
        <v>2714.08</v>
      </c>
      <c r="X38" s="5">
        <f>879.92</f>
        <v>879.92</v>
      </c>
      <c r="Y38" s="5">
        <f>1732.54</f>
        <v>1732.54</v>
      </c>
      <c r="Z38" s="4"/>
      <c r="AA38" s="4"/>
      <c r="AB38" s="4"/>
      <c r="AC38" s="4"/>
      <c r="AD38" s="4"/>
      <c r="AE38" s="4"/>
      <c r="AF38" s="4"/>
      <c r="AG38" s="4"/>
      <c r="AH38" s="4"/>
      <c r="AI38" s="5">
        <f t="shared" si="6"/>
        <v>54809.799999999996</v>
      </c>
    </row>
    <row r="39" spans="1:35" x14ac:dyDescent="0.25">
      <c r="A39" s="3" t="s">
        <v>67</v>
      </c>
      <c r="B39" s="5">
        <f>5233.64</f>
        <v>5233.6400000000003</v>
      </c>
      <c r="C39" s="4"/>
      <c r="D39" s="4"/>
      <c r="E39" s="5">
        <f>3552.59</f>
        <v>3552.59</v>
      </c>
      <c r="F39" s="5">
        <f>450.47</f>
        <v>450.47</v>
      </c>
      <c r="G39" s="5">
        <f>10152.73</f>
        <v>10152.73</v>
      </c>
      <c r="H39" s="5">
        <f>71.66</f>
        <v>71.66</v>
      </c>
      <c r="I39" s="5">
        <f>823.07</f>
        <v>823.07</v>
      </c>
      <c r="J39" s="4"/>
      <c r="K39" s="5">
        <f>610.32</f>
        <v>610.32000000000005</v>
      </c>
      <c r="L39" s="5">
        <f>971.35</f>
        <v>971.35</v>
      </c>
      <c r="M39" s="5">
        <f>772.77</f>
        <v>772.77</v>
      </c>
      <c r="N39" s="4"/>
      <c r="O39" s="5">
        <f>17.46</f>
        <v>17.46</v>
      </c>
      <c r="P39" s="5">
        <f>-12.82</f>
        <v>-12.82</v>
      </c>
      <c r="Q39" s="5">
        <f>574.1</f>
        <v>574.1</v>
      </c>
      <c r="R39" s="5">
        <f>4331.01</f>
        <v>4331.01</v>
      </c>
      <c r="S39" s="5">
        <f>562.77</f>
        <v>562.77</v>
      </c>
      <c r="T39" s="5">
        <f>2078.27</f>
        <v>2078.27</v>
      </c>
      <c r="U39" s="5">
        <f>5088.57</f>
        <v>5088.57</v>
      </c>
      <c r="V39" s="5">
        <f>901.59</f>
        <v>901.59</v>
      </c>
      <c r="W39" s="5">
        <f>634.77</f>
        <v>634.77</v>
      </c>
      <c r="X39" s="5">
        <f>2109.15</f>
        <v>2109.15</v>
      </c>
      <c r="Y39" s="5">
        <f>4234.87</f>
        <v>4234.87</v>
      </c>
      <c r="Z39" s="5">
        <f>1724.28</f>
        <v>1724.28</v>
      </c>
      <c r="AA39" s="5">
        <f>2956.13</f>
        <v>2956.13</v>
      </c>
      <c r="AB39" s="5">
        <f>32.96</f>
        <v>32.96</v>
      </c>
      <c r="AC39" s="5">
        <f>60.85</f>
        <v>60.85</v>
      </c>
      <c r="AD39" s="5">
        <f>357.4</f>
        <v>357.4</v>
      </c>
      <c r="AE39" s="4"/>
      <c r="AF39" s="4"/>
      <c r="AG39" s="5">
        <f>343.86</f>
        <v>343.86</v>
      </c>
      <c r="AH39" s="4"/>
      <c r="AI39" s="5">
        <f t="shared" si="6"/>
        <v>48633.819999999992</v>
      </c>
    </row>
    <row r="40" spans="1:35" x14ac:dyDescent="0.25">
      <c r="A40" s="3" t="s">
        <v>68</v>
      </c>
      <c r="B40" s="5">
        <f>9242.06</f>
        <v>9242.06</v>
      </c>
      <c r="C40" s="4"/>
      <c r="D40" s="4"/>
      <c r="E40" s="5">
        <f>41124.88</f>
        <v>41124.879999999997</v>
      </c>
      <c r="F40" s="4"/>
      <c r="G40" s="5">
        <f>17961.15</f>
        <v>17961.150000000001</v>
      </c>
      <c r="H40" s="5">
        <f>845.42</f>
        <v>845.42</v>
      </c>
      <c r="I40" s="5">
        <f>10181.92</f>
        <v>10181.92</v>
      </c>
      <c r="J40" s="4"/>
      <c r="K40" s="5">
        <f>6953.76</f>
        <v>6953.76</v>
      </c>
      <c r="L40" s="5">
        <f>3084.2</f>
        <v>3084.2</v>
      </c>
      <c r="M40" s="4"/>
      <c r="N40" s="4"/>
      <c r="O40" s="5">
        <f>193.89</f>
        <v>193.89</v>
      </c>
      <c r="P40" s="5">
        <f>-22.64</f>
        <v>-22.64</v>
      </c>
      <c r="Q40" s="5">
        <f>1203.12</f>
        <v>1203.1199999999999</v>
      </c>
      <c r="R40" s="5">
        <f>14441.3</f>
        <v>14441.3</v>
      </c>
      <c r="S40" s="5">
        <f>1202.94</f>
        <v>1202.94</v>
      </c>
      <c r="T40" s="5">
        <f>17377.45</f>
        <v>17377.45</v>
      </c>
      <c r="U40" s="4"/>
      <c r="V40" s="5">
        <f>10533.49</f>
        <v>10533.49</v>
      </c>
      <c r="W40" s="4"/>
      <c r="X40" s="5">
        <f>22159.36</f>
        <v>22159.360000000001</v>
      </c>
      <c r="Y40" s="5">
        <f>44614.67</f>
        <v>44614.67</v>
      </c>
      <c r="Z40" s="5">
        <f>17848.66</f>
        <v>17848.66</v>
      </c>
      <c r="AA40" s="5">
        <f>33965.34</f>
        <v>33965.339999999997</v>
      </c>
      <c r="AB40" s="5">
        <f>119.4</f>
        <v>119.4</v>
      </c>
      <c r="AC40" s="5">
        <f>238.72</f>
        <v>238.72</v>
      </c>
      <c r="AD40" s="5">
        <f>3174.65</f>
        <v>3174.65</v>
      </c>
      <c r="AE40" s="4"/>
      <c r="AF40" s="4"/>
      <c r="AG40" s="5">
        <f>3657.48</f>
        <v>3657.48</v>
      </c>
      <c r="AH40" s="4"/>
      <c r="AI40" s="5">
        <f t="shared" si="6"/>
        <v>260101.21999999997</v>
      </c>
    </row>
    <row r="41" spans="1:35" x14ac:dyDescent="0.25">
      <c r="A41" s="3" t="s">
        <v>69</v>
      </c>
      <c r="B41" s="5">
        <f>50971.12</f>
        <v>50971.12</v>
      </c>
      <c r="C41" s="4"/>
      <c r="D41" s="4"/>
      <c r="E41" s="4"/>
      <c r="F41" s="4"/>
      <c r="G41" s="5">
        <f>37957.45</f>
        <v>37957.449999999997</v>
      </c>
      <c r="H41" s="4"/>
      <c r="I41" s="4"/>
      <c r="J41" s="4"/>
      <c r="K41" s="4"/>
      <c r="L41" s="4"/>
      <c r="M41" s="5">
        <f>15140.03</f>
        <v>15140.03</v>
      </c>
      <c r="N41" s="4"/>
      <c r="O41" s="4"/>
      <c r="P41" s="4"/>
      <c r="Q41" s="4"/>
      <c r="R41" s="5">
        <f>7660.8</f>
        <v>7660.8</v>
      </c>
      <c r="S41" s="4"/>
      <c r="T41" s="5">
        <f>4821.76</f>
        <v>4821.76</v>
      </c>
      <c r="U41" s="5">
        <f>92710.17</f>
        <v>92710.17</v>
      </c>
      <c r="V41" s="4"/>
      <c r="W41" s="5">
        <f>12055.5</f>
        <v>12055.5</v>
      </c>
      <c r="X41" s="5">
        <f>2395.32</f>
        <v>2395.3200000000002</v>
      </c>
      <c r="Y41" s="5">
        <f>2395.26</f>
        <v>2395.2600000000002</v>
      </c>
      <c r="Z41" s="4"/>
      <c r="AA41" s="4"/>
      <c r="AB41" s="4"/>
      <c r="AC41" s="4"/>
      <c r="AD41" s="4"/>
      <c r="AE41" s="4"/>
      <c r="AF41" s="4"/>
      <c r="AG41" s="4"/>
      <c r="AH41" s="4"/>
      <c r="AI41" s="5">
        <f t="shared" si="6"/>
        <v>226107.41000000003</v>
      </c>
    </row>
    <row r="42" spans="1:35" x14ac:dyDescent="0.25">
      <c r="A42" s="3" t="s">
        <v>70</v>
      </c>
      <c r="B42" s="4"/>
      <c r="C42" s="4"/>
      <c r="D42" s="4"/>
      <c r="E42" s="5">
        <f>28399.28</f>
        <v>28399.279999999999</v>
      </c>
      <c r="F42" s="4"/>
      <c r="G42" s="4"/>
      <c r="H42" s="5">
        <f>845.43</f>
        <v>845.43</v>
      </c>
      <c r="I42" s="5">
        <f>10181.91</f>
        <v>10181.91</v>
      </c>
      <c r="J42" s="4"/>
      <c r="K42" s="5">
        <f>2066.31</f>
        <v>2066.31</v>
      </c>
      <c r="L42" s="4"/>
      <c r="M42" s="4"/>
      <c r="N42" s="4"/>
      <c r="O42" s="5">
        <f>212.78</f>
        <v>212.78</v>
      </c>
      <c r="P42" s="5">
        <f>-144.86</f>
        <v>-144.86000000000001</v>
      </c>
      <c r="Q42" s="4"/>
      <c r="R42" s="4"/>
      <c r="S42" s="4"/>
      <c r="T42" s="5">
        <f>9379.78</f>
        <v>9379.7800000000007</v>
      </c>
      <c r="U42" s="5">
        <f>5466.6</f>
        <v>5466.6</v>
      </c>
      <c r="V42" s="5">
        <f>9659.02</f>
        <v>9659.02</v>
      </c>
      <c r="W42" s="4"/>
      <c r="X42" s="5">
        <f>13996.75</f>
        <v>13996.75</v>
      </c>
      <c r="Y42" s="5">
        <f>31915.62</f>
        <v>31915.62</v>
      </c>
      <c r="Z42" s="5">
        <f>10704.66</f>
        <v>10704.66</v>
      </c>
      <c r="AA42" s="5">
        <f>16419.96</f>
        <v>16419.96</v>
      </c>
      <c r="AB42" s="5">
        <f>1225.02</f>
        <v>1225.02</v>
      </c>
      <c r="AC42" s="5">
        <f>61.23</f>
        <v>61.23</v>
      </c>
      <c r="AD42" s="5">
        <f>280</f>
        <v>280</v>
      </c>
      <c r="AE42" s="4"/>
      <c r="AF42" s="4"/>
      <c r="AG42" s="5">
        <f>3943.71</f>
        <v>3943.71</v>
      </c>
      <c r="AH42" s="4"/>
      <c r="AI42" s="5">
        <f t="shared" si="6"/>
        <v>144613.19999999998</v>
      </c>
    </row>
    <row r="43" spans="1:35" x14ac:dyDescent="0.25">
      <c r="A43" s="3" t="s">
        <v>71</v>
      </c>
      <c r="B43" s="5">
        <f>337.42</f>
        <v>337.42</v>
      </c>
      <c r="C43" s="4"/>
      <c r="D43" s="4"/>
      <c r="E43" s="4"/>
      <c r="F43" s="4"/>
      <c r="G43" s="5">
        <f>442.76</f>
        <v>442.76</v>
      </c>
      <c r="H43" s="4"/>
      <c r="I43" s="5">
        <f>60</f>
        <v>60</v>
      </c>
      <c r="J43" s="4"/>
      <c r="K43" s="4"/>
      <c r="L43" s="5">
        <f>60</f>
        <v>60</v>
      </c>
      <c r="M43" s="4"/>
      <c r="N43" s="4"/>
      <c r="O43" s="4"/>
      <c r="P43" s="4"/>
      <c r="Q43" s="5">
        <f>60</f>
        <v>60</v>
      </c>
      <c r="R43" s="5">
        <f>60</f>
        <v>60</v>
      </c>
      <c r="S43" s="4"/>
      <c r="T43" s="5">
        <f>45</f>
        <v>45</v>
      </c>
      <c r="U43" s="5">
        <f>135</f>
        <v>135</v>
      </c>
      <c r="V43" s="4"/>
      <c r="W43" s="4"/>
      <c r="X43" s="4"/>
      <c r="Y43" s="5">
        <f>70.06</f>
        <v>70.06</v>
      </c>
      <c r="Z43" s="5">
        <f>120</f>
        <v>120</v>
      </c>
      <c r="AA43" s="5">
        <f>120</f>
        <v>120</v>
      </c>
      <c r="AB43" s="4"/>
      <c r="AC43" s="4"/>
      <c r="AD43" s="4"/>
      <c r="AE43" s="4"/>
      <c r="AF43" s="4"/>
      <c r="AG43" s="4"/>
      <c r="AH43" s="4"/>
      <c r="AI43" s="5">
        <f t="shared" si="6"/>
        <v>1510.24</v>
      </c>
    </row>
    <row r="44" spans="1:35" x14ac:dyDescent="0.25">
      <c r="A44" s="3" t="s">
        <v>72</v>
      </c>
      <c r="B44" s="5">
        <f>2047</f>
        <v>2047</v>
      </c>
      <c r="C44" s="4"/>
      <c r="D44" s="4"/>
      <c r="E44" s="5">
        <f>1346</f>
        <v>1346</v>
      </c>
      <c r="F44" s="5">
        <f>178</f>
        <v>178</v>
      </c>
      <c r="G44" s="5">
        <f>3665</f>
        <v>3665</v>
      </c>
      <c r="H44" s="4"/>
      <c r="I44" s="5">
        <f>292</f>
        <v>292</v>
      </c>
      <c r="J44" s="4"/>
      <c r="K44" s="5">
        <f>394</f>
        <v>394</v>
      </c>
      <c r="L44" s="5">
        <f>385</f>
        <v>385</v>
      </c>
      <c r="M44" s="5">
        <f>264</f>
        <v>264</v>
      </c>
      <c r="N44" s="4"/>
      <c r="O44" s="4"/>
      <c r="P44" s="4"/>
      <c r="Q44" s="5">
        <f>206</f>
        <v>206</v>
      </c>
      <c r="R44" s="5">
        <f>2364</f>
        <v>2364</v>
      </c>
      <c r="S44" s="5">
        <f>438</f>
        <v>438</v>
      </c>
      <c r="T44" s="5">
        <f>713.25</f>
        <v>713.25</v>
      </c>
      <c r="U44" s="5">
        <f>1900</f>
        <v>1900</v>
      </c>
      <c r="V44" s="5">
        <f>436</f>
        <v>436</v>
      </c>
      <c r="W44" s="5">
        <f>232</f>
        <v>232</v>
      </c>
      <c r="X44" s="4"/>
      <c r="Y44" s="5">
        <f>2239</f>
        <v>2239</v>
      </c>
      <c r="Z44" s="5">
        <f>721</f>
        <v>721</v>
      </c>
      <c r="AA44" s="5">
        <f>1058</f>
        <v>1058</v>
      </c>
      <c r="AB44" s="4"/>
      <c r="AC44" s="5">
        <f>36</f>
        <v>36</v>
      </c>
      <c r="AD44" s="5">
        <f>66</f>
        <v>66</v>
      </c>
      <c r="AE44" s="4"/>
      <c r="AF44" s="4"/>
      <c r="AG44" s="4"/>
      <c r="AH44" s="4"/>
      <c r="AI44" s="5">
        <f t="shared" si="6"/>
        <v>18980.25</v>
      </c>
    </row>
    <row r="45" spans="1:35" x14ac:dyDescent="0.25">
      <c r="A45" s="3" t="s">
        <v>73</v>
      </c>
      <c r="B45" s="4"/>
      <c r="C45" s="4"/>
      <c r="D45" s="4"/>
      <c r="E45" s="5">
        <f>5032.99</f>
        <v>5032.99</v>
      </c>
      <c r="F45" s="4"/>
      <c r="G45" s="5">
        <f>5000</f>
        <v>5000</v>
      </c>
      <c r="H45" s="4"/>
      <c r="I45" s="5">
        <f>1186.91</f>
        <v>1186.9100000000001</v>
      </c>
      <c r="J45" s="4"/>
      <c r="K45" s="4"/>
      <c r="L45" s="4"/>
      <c r="M45" s="4"/>
      <c r="N45" s="4"/>
      <c r="O45" s="4"/>
      <c r="P45" s="4"/>
      <c r="Q45" s="5">
        <f>401.04</f>
        <v>401.04</v>
      </c>
      <c r="R45" s="5">
        <f>9440.14</f>
        <v>9440.14</v>
      </c>
      <c r="S45" s="5">
        <f>801.9</f>
        <v>801.9</v>
      </c>
      <c r="T45" s="5">
        <f>1417.89</f>
        <v>1417.89</v>
      </c>
      <c r="U45" s="4"/>
      <c r="V45" s="5">
        <f>1283.31</f>
        <v>1283.31</v>
      </c>
      <c r="W45" s="4"/>
      <c r="X45" s="4"/>
      <c r="Y45" s="4"/>
      <c r="Z45" s="5">
        <f>2700.56</f>
        <v>2700.56</v>
      </c>
      <c r="AA45" s="5">
        <f>4130.56</f>
        <v>4130.5600000000004</v>
      </c>
      <c r="AB45" s="4"/>
      <c r="AC45" s="4"/>
      <c r="AD45" s="5">
        <f>501.35</f>
        <v>501.35</v>
      </c>
      <c r="AE45" s="5">
        <f>200</f>
        <v>200</v>
      </c>
      <c r="AF45" s="4"/>
      <c r="AG45" s="4"/>
      <c r="AH45" s="4"/>
      <c r="AI45" s="5">
        <f t="shared" si="6"/>
        <v>32096.650000000005</v>
      </c>
    </row>
    <row r="46" spans="1:35" x14ac:dyDescent="0.25">
      <c r="A46" s="3" t="s">
        <v>74</v>
      </c>
      <c r="B46" s="4"/>
      <c r="C46" s="4"/>
      <c r="D46" s="4"/>
      <c r="E46" s="5">
        <f>294.76</f>
        <v>294.76</v>
      </c>
      <c r="F46" s="4"/>
      <c r="G46" s="4"/>
      <c r="H46" s="5">
        <f>5.52</f>
        <v>5.52</v>
      </c>
      <c r="I46" s="5">
        <f>66.48</f>
        <v>66.48</v>
      </c>
      <c r="J46" s="4"/>
      <c r="K46" s="5">
        <f>77.04</f>
        <v>77.040000000000006</v>
      </c>
      <c r="L46" s="4"/>
      <c r="M46" s="4"/>
      <c r="N46" s="4"/>
      <c r="O46" s="5">
        <f>1.52</f>
        <v>1.52</v>
      </c>
      <c r="P46" s="5">
        <f>-0.28</f>
        <v>-0.28000000000000003</v>
      </c>
      <c r="Q46" s="4"/>
      <c r="R46" s="4"/>
      <c r="S46" s="4"/>
      <c r="T46" s="5">
        <f>75.52</f>
        <v>75.52</v>
      </c>
      <c r="U46" s="4"/>
      <c r="V46" s="5">
        <f>112</f>
        <v>112</v>
      </c>
      <c r="W46" s="4"/>
      <c r="X46" s="5">
        <f>157.68</f>
        <v>157.68</v>
      </c>
      <c r="Y46" s="5">
        <f>349.68</f>
        <v>349.68</v>
      </c>
      <c r="Z46" s="5">
        <f>119.28</f>
        <v>119.28</v>
      </c>
      <c r="AA46" s="5">
        <f>193.36</f>
        <v>193.36</v>
      </c>
      <c r="AB46" s="5">
        <f>8</f>
        <v>8</v>
      </c>
      <c r="AC46" s="5">
        <f>0.4</f>
        <v>0.4</v>
      </c>
      <c r="AD46" s="5">
        <f>12.8</f>
        <v>12.8</v>
      </c>
      <c r="AE46" s="4"/>
      <c r="AF46" s="4"/>
      <c r="AG46" s="5">
        <f>29.76</f>
        <v>29.76</v>
      </c>
      <c r="AH46" s="4"/>
      <c r="AI46" s="5">
        <f t="shared" si="6"/>
        <v>1503.52</v>
      </c>
    </row>
    <row r="47" spans="1:35" x14ac:dyDescent="0.25">
      <c r="A47" s="3" t="s">
        <v>75</v>
      </c>
      <c r="B47" s="6">
        <f t="shared" ref="B47:AH47" si="8">((((((((((B36)+(B37))+(B38))+(B39))+(B40))+(B41))+(B42))+(B43))+(B44))+(B45))+(B46)</f>
        <v>78675.259999999995</v>
      </c>
      <c r="C47" s="6">
        <f t="shared" si="8"/>
        <v>0</v>
      </c>
      <c r="D47" s="6">
        <f t="shared" si="8"/>
        <v>0</v>
      </c>
      <c r="E47" s="6">
        <f t="shared" si="8"/>
        <v>79921.72</v>
      </c>
      <c r="F47" s="6">
        <f t="shared" si="8"/>
        <v>2554.69</v>
      </c>
      <c r="G47" s="6">
        <f t="shared" si="8"/>
        <v>83457.01999999999</v>
      </c>
      <c r="H47" s="6">
        <f t="shared" si="8"/>
        <v>1768.7199999999998</v>
      </c>
      <c r="I47" s="6">
        <f t="shared" si="8"/>
        <v>22800.6</v>
      </c>
      <c r="J47" s="6">
        <f t="shared" si="8"/>
        <v>0</v>
      </c>
      <c r="K47" s="6">
        <f t="shared" si="8"/>
        <v>10111.060000000001</v>
      </c>
      <c r="L47" s="6">
        <f t="shared" si="8"/>
        <v>4500.5499999999993</v>
      </c>
      <c r="M47" s="6">
        <f t="shared" si="8"/>
        <v>19480.940000000002</v>
      </c>
      <c r="N47" s="6">
        <f t="shared" si="8"/>
        <v>0</v>
      </c>
      <c r="O47" s="6">
        <f t="shared" si="8"/>
        <v>425.84</v>
      </c>
      <c r="P47" s="6">
        <f t="shared" si="8"/>
        <v>-315.01</v>
      </c>
      <c r="Q47" s="6">
        <f t="shared" si="8"/>
        <v>2444.2599999999998</v>
      </c>
      <c r="R47" s="6">
        <f t="shared" si="8"/>
        <v>40144.729999999996</v>
      </c>
      <c r="S47" s="6">
        <f t="shared" si="8"/>
        <v>3005.61</v>
      </c>
      <c r="T47" s="6">
        <f t="shared" si="8"/>
        <v>37444.28</v>
      </c>
      <c r="U47" s="6">
        <f t="shared" si="8"/>
        <v>127057.89</v>
      </c>
      <c r="V47" s="6">
        <f t="shared" si="8"/>
        <v>22939.41</v>
      </c>
      <c r="W47" s="6">
        <f t="shared" si="8"/>
        <v>15636.35</v>
      </c>
      <c r="X47" s="6">
        <f t="shared" si="8"/>
        <v>41717.89</v>
      </c>
      <c r="Y47" s="6">
        <f t="shared" si="8"/>
        <v>87595.409999999989</v>
      </c>
      <c r="Z47" s="6">
        <f t="shared" si="8"/>
        <v>33953.35</v>
      </c>
      <c r="AA47" s="6">
        <f t="shared" si="8"/>
        <v>58867.519999999997</v>
      </c>
      <c r="AB47" s="6">
        <f t="shared" si="8"/>
        <v>1386.38</v>
      </c>
      <c r="AC47" s="6">
        <f t="shared" si="8"/>
        <v>397.25</v>
      </c>
      <c r="AD47" s="6">
        <f t="shared" si="8"/>
        <v>4393.8</v>
      </c>
      <c r="AE47" s="6">
        <f t="shared" si="8"/>
        <v>200</v>
      </c>
      <c r="AF47" s="6">
        <f t="shared" si="8"/>
        <v>0</v>
      </c>
      <c r="AG47" s="6">
        <f t="shared" si="8"/>
        <v>7978.5300000000007</v>
      </c>
      <c r="AH47" s="6">
        <f t="shared" si="8"/>
        <v>0</v>
      </c>
      <c r="AI47" s="6">
        <f t="shared" si="6"/>
        <v>788544.05</v>
      </c>
    </row>
    <row r="48" spans="1:35" x14ac:dyDescent="0.25">
      <c r="A48" s="3" t="s">
        <v>76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>
        <f t="shared" si="6"/>
        <v>0</v>
      </c>
    </row>
    <row r="49" spans="1:35" x14ac:dyDescent="0.25">
      <c r="A49" s="3" t="s">
        <v>77</v>
      </c>
      <c r="B49" s="5">
        <f>18389.8</f>
        <v>18389.8</v>
      </c>
      <c r="C49" s="4"/>
      <c r="D49" s="4"/>
      <c r="E49" s="5">
        <f>61.25</f>
        <v>61.25</v>
      </c>
      <c r="F49" s="4"/>
      <c r="G49" s="5">
        <f>6083.8</f>
        <v>6083.8</v>
      </c>
      <c r="H49" s="4"/>
      <c r="I49" s="5">
        <f>0</f>
        <v>0</v>
      </c>
      <c r="J49" s="5">
        <f>50000</f>
        <v>50000</v>
      </c>
      <c r="K49" s="4"/>
      <c r="L49" s="5">
        <f>185.36</f>
        <v>185.36</v>
      </c>
      <c r="M49" s="4"/>
      <c r="N49" s="4"/>
      <c r="O49" s="5">
        <f>800</f>
        <v>800</v>
      </c>
      <c r="P49" s="5">
        <f>58330</f>
        <v>58330</v>
      </c>
      <c r="Q49" s="5">
        <f>10</f>
        <v>10</v>
      </c>
      <c r="R49" s="5">
        <f>112.5</f>
        <v>112.5</v>
      </c>
      <c r="S49" s="5">
        <f>15</f>
        <v>15</v>
      </c>
      <c r="T49" s="5">
        <f>170.05</f>
        <v>170.05</v>
      </c>
      <c r="U49" s="5">
        <f>235</f>
        <v>235</v>
      </c>
      <c r="V49" s="4"/>
      <c r="W49" s="4"/>
      <c r="X49" s="5">
        <f>8609.65</f>
        <v>8609.65</v>
      </c>
      <c r="Y49" s="5">
        <f>12042.55</f>
        <v>12042.55</v>
      </c>
      <c r="Z49" s="5">
        <f>-51.25</f>
        <v>-51.25</v>
      </c>
      <c r="AA49" s="5">
        <f>71.25</f>
        <v>71.25</v>
      </c>
      <c r="AB49" s="4"/>
      <c r="AC49" s="4"/>
      <c r="AD49" s="4"/>
      <c r="AE49" s="4"/>
      <c r="AF49" s="4"/>
      <c r="AG49" s="4"/>
      <c r="AH49" s="4"/>
      <c r="AI49" s="5">
        <f t="shared" si="6"/>
        <v>155064.95999999999</v>
      </c>
    </row>
    <row r="50" spans="1:35" x14ac:dyDescent="0.25">
      <c r="A50" s="3" t="s">
        <v>78</v>
      </c>
      <c r="B50" s="5">
        <f>17600</f>
        <v>17600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5">
        <f>0</f>
        <v>0</v>
      </c>
      <c r="AI50" s="5">
        <f t="shared" si="6"/>
        <v>17600</v>
      </c>
    </row>
    <row r="51" spans="1:35" x14ac:dyDescent="0.25">
      <c r="A51" s="3" t="s">
        <v>79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>
        <f>2278.29</f>
        <v>2278.29</v>
      </c>
      <c r="Z51" s="4"/>
      <c r="AA51" s="4"/>
      <c r="AB51" s="4"/>
      <c r="AC51" s="4"/>
      <c r="AD51" s="4"/>
      <c r="AE51" s="4"/>
      <c r="AF51" s="4"/>
      <c r="AG51" s="4"/>
      <c r="AH51" s="4"/>
      <c r="AI51" s="5">
        <f t="shared" si="6"/>
        <v>2278.29</v>
      </c>
    </row>
    <row r="52" spans="1:35" x14ac:dyDescent="0.25">
      <c r="A52" s="3" t="s">
        <v>80</v>
      </c>
      <c r="B52" s="5">
        <f>7255.05</f>
        <v>7255.05</v>
      </c>
      <c r="C52" s="4"/>
      <c r="D52" s="4"/>
      <c r="E52" s="4"/>
      <c r="F52" s="4"/>
      <c r="G52" s="5">
        <f>5579.45</f>
        <v>5579.45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>
        <f t="shared" si="6"/>
        <v>12834.5</v>
      </c>
    </row>
    <row r="53" spans="1:35" x14ac:dyDescent="0.25">
      <c r="A53" s="3" t="s">
        <v>81</v>
      </c>
      <c r="B53" s="5">
        <f>34549.4</f>
        <v>34549.4</v>
      </c>
      <c r="C53" s="4"/>
      <c r="D53" s="4"/>
      <c r="E53" s="5">
        <f>1091.88</f>
        <v>1091.8800000000001</v>
      </c>
      <c r="F53" s="4"/>
      <c r="G53" s="5">
        <f>54777.17</f>
        <v>54777.17</v>
      </c>
      <c r="H53" s="4"/>
      <c r="I53" s="5">
        <f>181.98</f>
        <v>181.98</v>
      </c>
      <c r="J53" s="4"/>
      <c r="K53" s="5">
        <f>181.98</f>
        <v>181.98</v>
      </c>
      <c r="L53" s="5">
        <f>363.96</f>
        <v>363.96</v>
      </c>
      <c r="M53" s="4"/>
      <c r="N53" s="4"/>
      <c r="O53" s="4"/>
      <c r="P53" s="4"/>
      <c r="Q53" s="5">
        <f>181.98</f>
        <v>181.98</v>
      </c>
      <c r="R53" s="4"/>
      <c r="S53" s="4"/>
      <c r="T53" s="5">
        <f>661.32</f>
        <v>661.32</v>
      </c>
      <c r="U53" s="4"/>
      <c r="V53" s="4"/>
      <c r="W53" s="4"/>
      <c r="X53" s="5">
        <f>727.92</f>
        <v>727.92</v>
      </c>
      <c r="Y53" s="5">
        <f>909.9</f>
        <v>909.9</v>
      </c>
      <c r="Z53" s="5">
        <f>363.96</f>
        <v>363.96</v>
      </c>
      <c r="AA53" s="5">
        <f>545.94</f>
        <v>545.94000000000005</v>
      </c>
      <c r="AB53" s="4"/>
      <c r="AC53" s="4"/>
      <c r="AD53" s="4"/>
      <c r="AE53" s="4"/>
      <c r="AF53" s="4"/>
      <c r="AG53" s="5">
        <f>60.66</f>
        <v>60.66</v>
      </c>
      <c r="AH53" s="4"/>
      <c r="AI53" s="5">
        <f t="shared" si="6"/>
        <v>94598.05</v>
      </c>
    </row>
    <row r="54" spans="1:35" x14ac:dyDescent="0.25">
      <c r="A54" s="3" t="s">
        <v>82</v>
      </c>
      <c r="B54" s="6">
        <f t="shared" ref="B54:AH54" si="9">(((((B48)+(B49))+(B50))+(B51))+(B52))+(B53)</f>
        <v>77794.25</v>
      </c>
      <c r="C54" s="6">
        <f t="shared" si="9"/>
        <v>0</v>
      </c>
      <c r="D54" s="6">
        <f t="shared" si="9"/>
        <v>0</v>
      </c>
      <c r="E54" s="6">
        <f t="shared" si="9"/>
        <v>1153.1300000000001</v>
      </c>
      <c r="F54" s="6">
        <f t="shared" si="9"/>
        <v>0</v>
      </c>
      <c r="G54" s="6">
        <f t="shared" si="9"/>
        <v>66440.42</v>
      </c>
      <c r="H54" s="6">
        <f t="shared" si="9"/>
        <v>0</v>
      </c>
      <c r="I54" s="6">
        <f t="shared" si="9"/>
        <v>181.98</v>
      </c>
      <c r="J54" s="6">
        <f t="shared" si="9"/>
        <v>50000</v>
      </c>
      <c r="K54" s="6">
        <f t="shared" si="9"/>
        <v>181.98</v>
      </c>
      <c r="L54" s="6">
        <f t="shared" si="9"/>
        <v>549.31999999999994</v>
      </c>
      <c r="M54" s="6">
        <f t="shared" si="9"/>
        <v>0</v>
      </c>
      <c r="N54" s="6">
        <f t="shared" si="9"/>
        <v>0</v>
      </c>
      <c r="O54" s="6">
        <f t="shared" si="9"/>
        <v>800</v>
      </c>
      <c r="P54" s="6">
        <f t="shared" si="9"/>
        <v>58330</v>
      </c>
      <c r="Q54" s="6">
        <f t="shared" si="9"/>
        <v>191.98</v>
      </c>
      <c r="R54" s="6">
        <f t="shared" si="9"/>
        <v>112.5</v>
      </c>
      <c r="S54" s="6">
        <f t="shared" si="9"/>
        <v>15</v>
      </c>
      <c r="T54" s="6">
        <f t="shared" si="9"/>
        <v>831.37000000000012</v>
      </c>
      <c r="U54" s="6">
        <f t="shared" si="9"/>
        <v>235</v>
      </c>
      <c r="V54" s="6">
        <f t="shared" si="9"/>
        <v>0</v>
      </c>
      <c r="W54" s="6">
        <f t="shared" si="9"/>
        <v>0</v>
      </c>
      <c r="X54" s="6">
        <f t="shared" si="9"/>
        <v>9337.57</v>
      </c>
      <c r="Y54" s="6">
        <f t="shared" si="9"/>
        <v>15230.74</v>
      </c>
      <c r="Z54" s="6">
        <f t="shared" si="9"/>
        <v>312.70999999999998</v>
      </c>
      <c r="AA54" s="6">
        <f t="shared" si="9"/>
        <v>617.19000000000005</v>
      </c>
      <c r="AB54" s="6">
        <f t="shared" si="9"/>
        <v>0</v>
      </c>
      <c r="AC54" s="6">
        <f t="shared" si="9"/>
        <v>0</v>
      </c>
      <c r="AD54" s="6">
        <f t="shared" si="9"/>
        <v>0</v>
      </c>
      <c r="AE54" s="6">
        <f t="shared" si="9"/>
        <v>0</v>
      </c>
      <c r="AF54" s="6">
        <f t="shared" si="9"/>
        <v>0</v>
      </c>
      <c r="AG54" s="6">
        <f t="shared" si="9"/>
        <v>60.66</v>
      </c>
      <c r="AH54" s="6">
        <f t="shared" si="9"/>
        <v>0</v>
      </c>
      <c r="AI54" s="6">
        <f t="shared" si="6"/>
        <v>282375.8</v>
      </c>
    </row>
    <row r="55" spans="1:35" x14ac:dyDescent="0.25">
      <c r="A55" s="3" t="s">
        <v>83</v>
      </c>
      <c r="B55" s="5">
        <f>52500.57</f>
        <v>52500.57</v>
      </c>
      <c r="C55" s="4"/>
      <c r="D55" s="4"/>
      <c r="E55" s="5">
        <f>500</f>
        <v>500</v>
      </c>
      <c r="F55" s="4"/>
      <c r="G55" s="5">
        <f>5591.19</f>
        <v>5591.19</v>
      </c>
      <c r="H55" s="4"/>
      <c r="I55" s="5">
        <f>80</f>
        <v>80</v>
      </c>
      <c r="J55" s="4"/>
      <c r="K55" s="5">
        <f>47585.07</f>
        <v>47585.07</v>
      </c>
      <c r="L55" s="5">
        <f>80</f>
        <v>80</v>
      </c>
      <c r="M55" s="4"/>
      <c r="N55" s="4"/>
      <c r="O55" s="4"/>
      <c r="P55" s="4"/>
      <c r="Q55" s="4"/>
      <c r="R55" s="4"/>
      <c r="S55" s="4"/>
      <c r="T55" s="5">
        <f>89918</f>
        <v>89918</v>
      </c>
      <c r="U55" s="4"/>
      <c r="V55" s="4"/>
      <c r="W55" s="4"/>
      <c r="X55" s="4"/>
      <c r="Y55" s="4"/>
      <c r="Z55" s="5">
        <f>80</f>
        <v>80</v>
      </c>
      <c r="AA55" s="5">
        <f>11634.63</f>
        <v>11634.63</v>
      </c>
      <c r="AB55" s="4"/>
      <c r="AC55" s="4"/>
      <c r="AD55" s="4"/>
      <c r="AE55" s="4"/>
      <c r="AF55" s="4"/>
      <c r="AG55" s="5">
        <f>7583</f>
        <v>7583</v>
      </c>
      <c r="AH55" s="5">
        <f>0</f>
        <v>0</v>
      </c>
      <c r="AI55" s="5">
        <f t="shared" si="6"/>
        <v>215552.46000000002</v>
      </c>
    </row>
    <row r="56" spans="1:35" x14ac:dyDescent="0.25">
      <c r="A56" s="3" t="s">
        <v>84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>
        <f t="shared" si="6"/>
        <v>0</v>
      </c>
    </row>
    <row r="57" spans="1:35" x14ac:dyDescent="0.25">
      <c r="A57" s="3" t="s">
        <v>85</v>
      </c>
      <c r="B57" s="5">
        <f>880.42</f>
        <v>880.42</v>
      </c>
      <c r="C57" s="4"/>
      <c r="D57" s="4"/>
      <c r="E57" s="4"/>
      <c r="F57" s="4"/>
      <c r="G57" s="5">
        <f>1787.53</f>
        <v>1787.53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>
        <f t="shared" si="6"/>
        <v>2667.95</v>
      </c>
    </row>
    <row r="58" spans="1:35" x14ac:dyDescent="0.25">
      <c r="A58" s="3" t="s">
        <v>86</v>
      </c>
      <c r="B58" s="5">
        <f>1808.4</f>
        <v>1808.4</v>
      </c>
      <c r="C58" s="4"/>
      <c r="D58" s="4"/>
      <c r="E58" s="4"/>
      <c r="F58" s="4"/>
      <c r="G58" s="5">
        <f>3671.6</f>
        <v>3671.6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>
        <f t="shared" si="6"/>
        <v>5480</v>
      </c>
    </row>
    <row r="59" spans="1:35" x14ac:dyDescent="0.25">
      <c r="A59" s="3" t="s">
        <v>87</v>
      </c>
      <c r="B59" s="5">
        <f>2265.58</f>
        <v>2265.58</v>
      </c>
      <c r="C59" s="4"/>
      <c r="D59" s="4"/>
      <c r="E59" s="4"/>
      <c r="F59" s="4"/>
      <c r="G59" s="5">
        <f>4427.23</f>
        <v>4427.2299999999996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>
        <f t="shared" si="6"/>
        <v>6692.8099999999995</v>
      </c>
    </row>
    <row r="60" spans="1:35" x14ac:dyDescent="0.25">
      <c r="A60" s="3" t="s">
        <v>88</v>
      </c>
      <c r="B60" s="5">
        <f>183813.2</f>
        <v>183813.2</v>
      </c>
      <c r="C60" s="4"/>
      <c r="D60" s="4"/>
      <c r="E60" s="4"/>
      <c r="F60" s="4"/>
      <c r="G60" s="5">
        <f>99543.17</f>
        <v>99543.17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5">
        <f>5000</f>
        <v>5000</v>
      </c>
      <c r="AF60" s="4"/>
      <c r="AG60" s="4"/>
      <c r="AH60" s="4"/>
      <c r="AI60" s="5">
        <f t="shared" si="6"/>
        <v>288356.37</v>
      </c>
    </row>
    <row r="61" spans="1:35" x14ac:dyDescent="0.25">
      <c r="A61" s="3" t="s">
        <v>89</v>
      </c>
      <c r="B61" s="4"/>
      <c r="C61" s="4"/>
      <c r="D61" s="4"/>
      <c r="E61" s="5">
        <f>14000</f>
        <v>14000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5">
        <f>700</f>
        <v>700</v>
      </c>
      <c r="T61" s="4"/>
      <c r="U61" s="4"/>
      <c r="V61" s="4"/>
      <c r="W61" s="4"/>
      <c r="X61" s="5">
        <f>40000</f>
        <v>40000</v>
      </c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5">
        <f t="shared" si="6"/>
        <v>54700</v>
      </c>
    </row>
    <row r="62" spans="1:35" x14ac:dyDescent="0.25">
      <c r="A62" s="3" t="s">
        <v>90</v>
      </c>
      <c r="B62" s="5">
        <f>13978.83</f>
        <v>13978.83</v>
      </c>
      <c r="C62" s="4"/>
      <c r="D62" s="4"/>
      <c r="E62" s="4"/>
      <c r="F62" s="4"/>
      <c r="G62" s="5">
        <f>28381.28</f>
        <v>28381.279999999999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5">
        <f t="shared" si="6"/>
        <v>42360.11</v>
      </c>
    </row>
    <row r="63" spans="1:35" x14ac:dyDescent="0.25">
      <c r="A63" s="3" t="s">
        <v>91</v>
      </c>
      <c r="B63" s="5">
        <f>4266.39</f>
        <v>4266.3900000000003</v>
      </c>
      <c r="C63" s="4"/>
      <c r="D63" s="4"/>
      <c r="E63" s="5">
        <f>170.52</f>
        <v>170.52</v>
      </c>
      <c r="F63" s="4"/>
      <c r="G63" s="5">
        <f>5068.93</f>
        <v>5068.93</v>
      </c>
      <c r="H63" s="4"/>
      <c r="I63" s="4"/>
      <c r="J63" s="4"/>
      <c r="K63" s="4"/>
      <c r="L63" s="5">
        <f>63</f>
        <v>63</v>
      </c>
      <c r="M63" s="4"/>
      <c r="N63" s="4"/>
      <c r="O63" s="4"/>
      <c r="P63" s="5">
        <f>84</f>
        <v>84</v>
      </c>
      <c r="Q63" s="4"/>
      <c r="R63" s="4"/>
      <c r="S63" s="5">
        <f>931.5</f>
        <v>931.5</v>
      </c>
      <c r="T63" s="5">
        <f>81.33</f>
        <v>81.33</v>
      </c>
      <c r="U63" s="4"/>
      <c r="V63" s="4"/>
      <c r="W63" s="4"/>
      <c r="X63" s="5">
        <f>150</f>
        <v>150</v>
      </c>
      <c r="Y63" s="5">
        <f>609.95</f>
        <v>609.95000000000005</v>
      </c>
      <c r="Z63" s="5">
        <f>26.34</f>
        <v>26.34</v>
      </c>
      <c r="AA63" s="5">
        <f>226.07</f>
        <v>226.07</v>
      </c>
      <c r="AB63" s="5">
        <f>1999.96</f>
        <v>1999.96</v>
      </c>
      <c r="AC63" s="5">
        <f>1882.27</f>
        <v>1882.27</v>
      </c>
      <c r="AD63" s="4"/>
      <c r="AE63" s="4"/>
      <c r="AF63" s="4"/>
      <c r="AG63" s="4"/>
      <c r="AH63" s="4"/>
      <c r="AI63" s="5">
        <f t="shared" si="6"/>
        <v>15560.260000000002</v>
      </c>
    </row>
    <row r="64" spans="1:35" x14ac:dyDescent="0.25">
      <c r="A64" s="3" t="s">
        <v>92</v>
      </c>
      <c r="B64" s="5">
        <f>4031.07</f>
        <v>4031.07</v>
      </c>
      <c r="C64" s="4"/>
      <c r="D64" s="4"/>
      <c r="E64" s="5">
        <f>219.99</f>
        <v>219.99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5">
        <f>979.98</f>
        <v>979.98</v>
      </c>
      <c r="T64" s="4"/>
      <c r="U64" s="4"/>
      <c r="V64" s="4"/>
      <c r="W64" s="4"/>
      <c r="X64" s="4"/>
      <c r="Y64" s="4"/>
      <c r="Z64" s="4"/>
      <c r="AA64" s="5">
        <f>4426.13</f>
        <v>4426.13</v>
      </c>
      <c r="AB64" s="4"/>
      <c r="AC64" s="4"/>
      <c r="AD64" s="4"/>
      <c r="AE64" s="4"/>
      <c r="AF64" s="4"/>
      <c r="AG64" s="4"/>
      <c r="AH64" s="4"/>
      <c r="AI64" s="5">
        <f t="shared" ref="AI64:AI95" si="10">((((((((((((((((((((((((((((((((B64)+(C64))+(D64))+(E64))+(F64))+(G64))+(H64))+(I64))+(J64))+(K64))+(L64))+(M64))+(N64))+(O64))+(P64))+(Q64))+(R64))+(S64))+(T64))+(U64))+(V64))+(W64))+(X64))+(Y64))+(Z64))+(AA64))+(AB64))+(AC64))+(AD64))+(AE64))+(AF64))+(AG64))+(AH64)</f>
        <v>9657.1700000000019</v>
      </c>
    </row>
    <row r="65" spans="1:35" x14ac:dyDescent="0.25">
      <c r="A65" s="3" t="s">
        <v>93</v>
      </c>
      <c r="B65" s="5">
        <f>1968.01</f>
        <v>1968.01</v>
      </c>
      <c r="C65" s="4"/>
      <c r="D65" s="4"/>
      <c r="E65" s="4"/>
      <c r="F65" s="4"/>
      <c r="G65" s="5">
        <f>12014</f>
        <v>12014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">
        <f>1242.74</f>
        <v>1242.74</v>
      </c>
      <c r="T65" s="5">
        <f>1752.16</f>
        <v>1752.16</v>
      </c>
      <c r="U65" s="4"/>
      <c r="V65" s="4"/>
      <c r="W65" s="4"/>
      <c r="X65" s="4"/>
      <c r="Y65" s="5">
        <f>95.21</f>
        <v>95.21</v>
      </c>
      <c r="Z65" s="4"/>
      <c r="AA65" s="5">
        <f>1077.27</f>
        <v>1077.27</v>
      </c>
      <c r="AB65" s="4"/>
      <c r="AC65" s="4"/>
      <c r="AD65" s="4"/>
      <c r="AE65" s="4"/>
      <c r="AF65" s="4"/>
      <c r="AG65" s="4"/>
      <c r="AH65" s="4"/>
      <c r="AI65" s="5">
        <f t="shared" si="10"/>
        <v>18149.39</v>
      </c>
    </row>
    <row r="66" spans="1:35" x14ac:dyDescent="0.25">
      <c r="A66" s="3" t="s">
        <v>94</v>
      </c>
      <c r="B66" s="4"/>
      <c r="C66" s="4"/>
      <c r="D66" s="4"/>
      <c r="E66" s="4"/>
      <c r="F66" s="4"/>
      <c r="G66" s="5">
        <f>15676.4</f>
        <v>15676.4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5">
        <f t="shared" si="10"/>
        <v>15676.4</v>
      </c>
    </row>
    <row r="67" spans="1:35" x14ac:dyDescent="0.25">
      <c r="A67" s="3" t="s">
        <v>95</v>
      </c>
      <c r="B67" s="6">
        <f t="shared" ref="B67:AH67" si="11">((((((((((B56)+(B57))+(B58))+(B59))+(B60))+(B61))+(B62))+(B63))+(B64))+(B65))+(B66)</f>
        <v>213011.90000000002</v>
      </c>
      <c r="C67" s="6">
        <f t="shared" si="11"/>
        <v>0</v>
      </c>
      <c r="D67" s="6">
        <f t="shared" si="11"/>
        <v>0</v>
      </c>
      <c r="E67" s="6">
        <f t="shared" si="11"/>
        <v>14390.51</v>
      </c>
      <c r="F67" s="6">
        <f t="shared" si="11"/>
        <v>0</v>
      </c>
      <c r="G67" s="6">
        <f t="shared" si="11"/>
        <v>170570.13999999998</v>
      </c>
      <c r="H67" s="6">
        <f t="shared" si="11"/>
        <v>0</v>
      </c>
      <c r="I67" s="6">
        <f t="shared" si="11"/>
        <v>0</v>
      </c>
      <c r="J67" s="6">
        <f t="shared" si="11"/>
        <v>0</v>
      </c>
      <c r="K67" s="6">
        <f t="shared" si="11"/>
        <v>0</v>
      </c>
      <c r="L67" s="6">
        <f t="shared" si="11"/>
        <v>63</v>
      </c>
      <c r="M67" s="6">
        <f t="shared" si="11"/>
        <v>0</v>
      </c>
      <c r="N67" s="6">
        <f t="shared" si="11"/>
        <v>0</v>
      </c>
      <c r="O67" s="6">
        <f t="shared" si="11"/>
        <v>0</v>
      </c>
      <c r="P67" s="6">
        <f t="shared" si="11"/>
        <v>84</v>
      </c>
      <c r="Q67" s="6">
        <f t="shared" si="11"/>
        <v>0</v>
      </c>
      <c r="R67" s="6">
        <f t="shared" si="11"/>
        <v>0</v>
      </c>
      <c r="S67" s="6">
        <f t="shared" si="11"/>
        <v>3854.2200000000003</v>
      </c>
      <c r="T67" s="6">
        <f t="shared" si="11"/>
        <v>1833.49</v>
      </c>
      <c r="U67" s="6">
        <f t="shared" si="11"/>
        <v>0</v>
      </c>
      <c r="V67" s="6">
        <f t="shared" si="11"/>
        <v>0</v>
      </c>
      <c r="W67" s="6">
        <f t="shared" si="11"/>
        <v>0</v>
      </c>
      <c r="X67" s="6">
        <f t="shared" si="11"/>
        <v>40150</v>
      </c>
      <c r="Y67" s="6">
        <f t="shared" si="11"/>
        <v>705.16000000000008</v>
      </c>
      <c r="Z67" s="6">
        <f t="shared" si="11"/>
        <v>26.34</v>
      </c>
      <c r="AA67" s="6">
        <f t="shared" si="11"/>
        <v>5729.4699999999993</v>
      </c>
      <c r="AB67" s="6">
        <f t="shared" si="11"/>
        <v>1999.96</v>
      </c>
      <c r="AC67" s="6">
        <f t="shared" si="11"/>
        <v>1882.27</v>
      </c>
      <c r="AD67" s="6">
        <f t="shared" si="11"/>
        <v>0</v>
      </c>
      <c r="AE67" s="6">
        <f t="shared" si="11"/>
        <v>5000</v>
      </c>
      <c r="AF67" s="6">
        <f t="shared" si="11"/>
        <v>0</v>
      </c>
      <c r="AG67" s="6">
        <f t="shared" si="11"/>
        <v>0</v>
      </c>
      <c r="AH67" s="6">
        <f t="shared" si="11"/>
        <v>0</v>
      </c>
      <c r="AI67" s="6">
        <f t="shared" si="10"/>
        <v>459300.46</v>
      </c>
    </row>
    <row r="68" spans="1:35" x14ac:dyDescent="0.25">
      <c r="A68" s="3" t="s">
        <v>96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5">
        <f t="shared" si="10"/>
        <v>0</v>
      </c>
    </row>
    <row r="69" spans="1:35" x14ac:dyDescent="0.25">
      <c r="A69" s="3" t="s">
        <v>97</v>
      </c>
      <c r="B69" s="5">
        <f>12135.28</f>
        <v>12135.28</v>
      </c>
      <c r="C69" s="4"/>
      <c r="D69" s="4"/>
      <c r="E69" s="4"/>
      <c r="F69" s="4"/>
      <c r="G69" s="5">
        <f>16393.22</f>
        <v>16393.22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5">
        <f t="shared" si="10"/>
        <v>28528.5</v>
      </c>
    </row>
    <row r="70" spans="1:35" x14ac:dyDescent="0.25">
      <c r="A70" s="3" t="s">
        <v>98</v>
      </c>
      <c r="B70" s="5">
        <f>9186.71</f>
        <v>9186.7099999999991</v>
      </c>
      <c r="C70" s="4"/>
      <c r="D70" s="4"/>
      <c r="E70" s="4"/>
      <c r="F70" s="4"/>
      <c r="G70" s="5">
        <f>18651.79</f>
        <v>18651.79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5">
        <f>52</f>
        <v>52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5">
        <f t="shared" si="10"/>
        <v>27890.5</v>
      </c>
    </row>
    <row r="71" spans="1:35" x14ac:dyDescent="0.25">
      <c r="A71" s="3" t="s">
        <v>99</v>
      </c>
      <c r="B71" s="6">
        <f t="shared" ref="B71:AH71" si="12">((B68)+(B69))+(B70)</f>
        <v>21321.989999999998</v>
      </c>
      <c r="C71" s="6">
        <f t="shared" si="12"/>
        <v>0</v>
      </c>
      <c r="D71" s="6">
        <f t="shared" si="12"/>
        <v>0</v>
      </c>
      <c r="E71" s="6">
        <f t="shared" si="12"/>
        <v>0</v>
      </c>
      <c r="F71" s="6">
        <f t="shared" si="12"/>
        <v>0</v>
      </c>
      <c r="G71" s="6">
        <f t="shared" si="12"/>
        <v>35045.01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0</v>
      </c>
      <c r="P71" s="6">
        <f t="shared" si="12"/>
        <v>0</v>
      </c>
      <c r="Q71" s="6">
        <f t="shared" si="12"/>
        <v>0</v>
      </c>
      <c r="R71" s="6">
        <f t="shared" si="12"/>
        <v>0</v>
      </c>
      <c r="S71" s="6">
        <f t="shared" si="12"/>
        <v>0</v>
      </c>
      <c r="T71" s="6">
        <f t="shared" si="12"/>
        <v>52</v>
      </c>
      <c r="U71" s="6">
        <f t="shared" si="12"/>
        <v>0</v>
      </c>
      <c r="V71" s="6">
        <f t="shared" si="12"/>
        <v>0</v>
      </c>
      <c r="W71" s="6">
        <f t="shared" si="12"/>
        <v>0</v>
      </c>
      <c r="X71" s="6">
        <f t="shared" si="12"/>
        <v>0</v>
      </c>
      <c r="Y71" s="6">
        <f t="shared" si="12"/>
        <v>0</v>
      </c>
      <c r="Z71" s="6">
        <f t="shared" si="12"/>
        <v>0</v>
      </c>
      <c r="AA71" s="6">
        <f t="shared" si="12"/>
        <v>0</v>
      </c>
      <c r="AB71" s="6">
        <f t="shared" si="12"/>
        <v>0</v>
      </c>
      <c r="AC71" s="6">
        <f t="shared" si="12"/>
        <v>0</v>
      </c>
      <c r="AD71" s="6">
        <f t="shared" si="12"/>
        <v>0</v>
      </c>
      <c r="AE71" s="6">
        <f t="shared" si="12"/>
        <v>0</v>
      </c>
      <c r="AF71" s="6">
        <f t="shared" si="12"/>
        <v>0</v>
      </c>
      <c r="AG71" s="6">
        <f t="shared" si="12"/>
        <v>0</v>
      </c>
      <c r="AH71" s="6">
        <f t="shared" si="12"/>
        <v>0</v>
      </c>
      <c r="AI71" s="6">
        <f t="shared" si="10"/>
        <v>56419</v>
      </c>
    </row>
    <row r="72" spans="1:35" x14ac:dyDescent="0.25">
      <c r="A72" s="3" t="s">
        <v>100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5">
        <f t="shared" si="10"/>
        <v>0</v>
      </c>
    </row>
    <row r="73" spans="1:35" x14ac:dyDescent="0.25">
      <c r="A73" s="3" t="s">
        <v>101</v>
      </c>
      <c r="B73" s="5">
        <f>622.29</f>
        <v>622.29</v>
      </c>
      <c r="C73" s="4"/>
      <c r="D73" s="4"/>
      <c r="E73" s="4"/>
      <c r="F73" s="4"/>
      <c r="G73" s="5">
        <f>325.2</f>
        <v>325.2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5">
        <f>72.27</f>
        <v>72.27</v>
      </c>
      <c r="Y73" s="5">
        <f>144.54</f>
        <v>144.54</v>
      </c>
      <c r="Z73" s="4"/>
      <c r="AA73" s="4"/>
      <c r="AB73" s="4"/>
      <c r="AC73" s="4"/>
      <c r="AD73" s="4"/>
      <c r="AE73" s="4"/>
      <c r="AF73" s="4"/>
      <c r="AG73" s="4"/>
      <c r="AH73" s="4"/>
      <c r="AI73" s="5">
        <f t="shared" si="10"/>
        <v>1164.3</v>
      </c>
    </row>
    <row r="74" spans="1:35" x14ac:dyDescent="0.25">
      <c r="A74" s="3" t="s">
        <v>102</v>
      </c>
      <c r="B74" s="5">
        <f>293.12</f>
        <v>293.12</v>
      </c>
      <c r="C74" s="4"/>
      <c r="D74" s="4"/>
      <c r="E74" s="4"/>
      <c r="F74" s="4"/>
      <c r="G74" s="5">
        <f>170.6</f>
        <v>170.6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5">
        <f>53.73</f>
        <v>53.73</v>
      </c>
      <c r="Y74" s="5">
        <f>60</f>
        <v>60</v>
      </c>
      <c r="Z74" s="4"/>
      <c r="AA74" s="4"/>
      <c r="AB74" s="4"/>
      <c r="AC74" s="4"/>
      <c r="AD74" s="4"/>
      <c r="AE74" s="4"/>
      <c r="AF74" s="4"/>
      <c r="AG74" s="4"/>
      <c r="AH74" s="4"/>
      <c r="AI74" s="5">
        <f t="shared" si="10"/>
        <v>577.45000000000005</v>
      </c>
    </row>
    <row r="75" spans="1:35" x14ac:dyDescent="0.25">
      <c r="A75" s="3" t="s">
        <v>103</v>
      </c>
      <c r="B75" s="5">
        <f>8846.51</f>
        <v>8846.51</v>
      </c>
      <c r="C75" s="4"/>
      <c r="D75" s="4"/>
      <c r="E75" s="5">
        <f>2915.57</f>
        <v>2915.57</v>
      </c>
      <c r="F75" s="4"/>
      <c r="G75" s="5">
        <f>9180.41</f>
        <v>9180.41</v>
      </c>
      <c r="H75" s="4"/>
      <c r="I75" s="5">
        <f>70.72</f>
        <v>70.72</v>
      </c>
      <c r="J75" s="4"/>
      <c r="K75" s="4"/>
      <c r="L75" s="4"/>
      <c r="M75" s="4"/>
      <c r="N75" s="4"/>
      <c r="O75" s="4"/>
      <c r="P75" s="4"/>
      <c r="Q75" s="4"/>
      <c r="R75" s="4"/>
      <c r="S75" s="5">
        <f>69</f>
        <v>69</v>
      </c>
      <c r="T75" s="5">
        <f>476.38</f>
        <v>476.38</v>
      </c>
      <c r="U75" s="4"/>
      <c r="V75" s="4"/>
      <c r="W75" s="4"/>
      <c r="X75" s="5">
        <f>1300.15</f>
        <v>1300.1500000000001</v>
      </c>
      <c r="Y75" s="5">
        <f>3285.62</f>
        <v>3285.62</v>
      </c>
      <c r="Z75" s="5">
        <f>814.37</f>
        <v>814.37</v>
      </c>
      <c r="AA75" s="5">
        <f>1441.31</f>
        <v>1441.31</v>
      </c>
      <c r="AB75" s="4"/>
      <c r="AC75" s="4"/>
      <c r="AD75" s="4"/>
      <c r="AE75" s="4"/>
      <c r="AF75" s="4"/>
      <c r="AG75" s="5">
        <f>51.61</f>
        <v>51.61</v>
      </c>
      <c r="AH75" s="4"/>
      <c r="AI75" s="5">
        <f t="shared" si="10"/>
        <v>28451.65</v>
      </c>
    </row>
    <row r="76" spans="1:35" x14ac:dyDescent="0.25">
      <c r="A76" s="3" t="s">
        <v>104</v>
      </c>
      <c r="B76" s="5">
        <f>1891.55</f>
        <v>1891.55</v>
      </c>
      <c r="C76" s="4"/>
      <c r="D76" s="4"/>
      <c r="E76" s="4"/>
      <c r="F76" s="4"/>
      <c r="G76" s="5">
        <f>2683.48</f>
        <v>2683.48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5">
        <f>836.47</f>
        <v>836.47</v>
      </c>
      <c r="Y76" s="5">
        <f>1897.27</f>
        <v>1897.27</v>
      </c>
      <c r="Z76" s="4"/>
      <c r="AA76" s="4"/>
      <c r="AB76" s="4"/>
      <c r="AC76" s="4"/>
      <c r="AD76" s="4"/>
      <c r="AE76" s="4"/>
      <c r="AF76" s="4"/>
      <c r="AG76" s="4"/>
      <c r="AH76" s="4"/>
      <c r="AI76" s="5">
        <f t="shared" si="10"/>
        <v>7308.77</v>
      </c>
    </row>
    <row r="77" spans="1:35" x14ac:dyDescent="0.25">
      <c r="A77" s="3" t="s">
        <v>105</v>
      </c>
      <c r="B77" s="5">
        <f>11348.98</f>
        <v>11348.98</v>
      </c>
      <c r="C77" s="4"/>
      <c r="D77" s="4"/>
      <c r="E77" s="5">
        <f>2026.21</f>
        <v>2026.21</v>
      </c>
      <c r="F77" s="4"/>
      <c r="G77" s="5">
        <f>218.7</f>
        <v>218.7</v>
      </c>
      <c r="H77" s="4"/>
      <c r="I77" s="5">
        <f>66.64</f>
        <v>66.64</v>
      </c>
      <c r="J77" s="4"/>
      <c r="K77" s="4"/>
      <c r="L77" s="5">
        <f>237.56</f>
        <v>237.56</v>
      </c>
      <c r="M77" s="4"/>
      <c r="N77" s="4"/>
      <c r="O77" s="5">
        <f>98.24</f>
        <v>98.24</v>
      </c>
      <c r="P77" s="5">
        <f>1707.27</f>
        <v>1707.27</v>
      </c>
      <c r="Q77" s="4"/>
      <c r="R77" s="4"/>
      <c r="S77" s="5">
        <f>2930.81</f>
        <v>2930.81</v>
      </c>
      <c r="T77" s="5">
        <f>57.23</f>
        <v>57.23</v>
      </c>
      <c r="U77" s="4"/>
      <c r="V77" s="4"/>
      <c r="W77" s="4"/>
      <c r="X77" s="4"/>
      <c r="Y77" s="4"/>
      <c r="Z77" s="5">
        <f>234.43</f>
        <v>234.43</v>
      </c>
      <c r="AA77" s="5">
        <f>946.12</f>
        <v>946.12</v>
      </c>
      <c r="AB77" s="4"/>
      <c r="AC77" s="4"/>
      <c r="AD77" s="4"/>
      <c r="AE77" s="5">
        <f>917.3</f>
        <v>917.3</v>
      </c>
      <c r="AF77" s="4"/>
      <c r="AG77" s="4"/>
      <c r="AH77" s="4"/>
      <c r="AI77" s="5">
        <f t="shared" si="10"/>
        <v>20789.489999999998</v>
      </c>
    </row>
    <row r="78" spans="1:35" x14ac:dyDescent="0.25">
      <c r="A78" s="3" t="s">
        <v>106</v>
      </c>
      <c r="B78" s="5">
        <f>75734.36</f>
        <v>75734.36</v>
      </c>
      <c r="C78" s="5">
        <f>215</f>
        <v>215</v>
      </c>
      <c r="D78" s="5">
        <f>4712</f>
        <v>4712</v>
      </c>
      <c r="E78" s="5">
        <f>15458.42</f>
        <v>15458.42</v>
      </c>
      <c r="F78" s="4"/>
      <c r="G78" s="5">
        <f>13336.17</f>
        <v>13336.17</v>
      </c>
      <c r="H78" s="5">
        <f>81</f>
        <v>81</v>
      </c>
      <c r="I78" s="5">
        <f>202.28</f>
        <v>202.28</v>
      </c>
      <c r="J78" s="4"/>
      <c r="K78" s="5">
        <f>29826.77</f>
        <v>29826.77</v>
      </c>
      <c r="L78" s="5">
        <f>373.82</f>
        <v>373.82</v>
      </c>
      <c r="M78" s="4"/>
      <c r="N78" s="5">
        <f>640.03</f>
        <v>640.03</v>
      </c>
      <c r="O78" s="5">
        <f>201.5</f>
        <v>201.5</v>
      </c>
      <c r="P78" s="5">
        <f>6334.97</f>
        <v>6334.97</v>
      </c>
      <c r="Q78" s="5">
        <f>81</f>
        <v>81</v>
      </c>
      <c r="R78" s="4"/>
      <c r="S78" s="5">
        <f>4245.45</f>
        <v>4245.45</v>
      </c>
      <c r="T78" s="5">
        <f>391183.67</f>
        <v>391183.67</v>
      </c>
      <c r="U78" s="4"/>
      <c r="V78" s="4"/>
      <c r="W78" s="4"/>
      <c r="X78" s="5">
        <f>6916.59</f>
        <v>6916.59</v>
      </c>
      <c r="Y78" s="5">
        <f>14756.97</f>
        <v>14756.97</v>
      </c>
      <c r="Z78" s="5">
        <f>16647.8</f>
        <v>16647.8</v>
      </c>
      <c r="AA78" s="5">
        <f>10152.34</f>
        <v>10152.34</v>
      </c>
      <c r="AB78" s="4"/>
      <c r="AC78" s="4"/>
      <c r="AD78" s="5">
        <f>1079.94</f>
        <v>1079.94</v>
      </c>
      <c r="AE78" s="4"/>
      <c r="AF78" s="5">
        <f>6049.9</f>
        <v>6049.9</v>
      </c>
      <c r="AG78" s="5">
        <f>66108.34</f>
        <v>66108.34</v>
      </c>
      <c r="AH78" s="5">
        <f>0</f>
        <v>0</v>
      </c>
      <c r="AI78" s="5">
        <f t="shared" si="10"/>
        <v>664338.31999999983</v>
      </c>
    </row>
    <row r="79" spans="1:35" x14ac:dyDescent="0.25">
      <c r="A79" s="3" t="s">
        <v>107</v>
      </c>
      <c r="B79" s="5">
        <f>1761.9</f>
        <v>1761.9</v>
      </c>
      <c r="C79" s="4"/>
      <c r="D79" s="4"/>
      <c r="E79" s="4"/>
      <c r="F79" s="4"/>
      <c r="G79" s="5">
        <f>2636.13</f>
        <v>2636.13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5">
        <f>69.15</f>
        <v>69.150000000000006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5">
        <f t="shared" si="10"/>
        <v>4467.18</v>
      </c>
    </row>
    <row r="80" spans="1:35" x14ac:dyDescent="0.25">
      <c r="A80" s="3" t="s">
        <v>108</v>
      </c>
      <c r="B80" s="6">
        <f t="shared" ref="B80:AH80" si="13">(((((((B72)+(B73))+(B74))+(B75))+(B76))+(B77))+(B78))+(B79)</f>
        <v>100498.70999999999</v>
      </c>
      <c r="C80" s="6">
        <f t="shared" si="13"/>
        <v>215</v>
      </c>
      <c r="D80" s="6">
        <f t="shared" si="13"/>
        <v>4712</v>
      </c>
      <c r="E80" s="6">
        <f t="shared" si="13"/>
        <v>20400.2</v>
      </c>
      <c r="F80" s="6">
        <f t="shared" si="13"/>
        <v>0</v>
      </c>
      <c r="G80" s="6">
        <f t="shared" si="13"/>
        <v>28550.69</v>
      </c>
      <c r="H80" s="6">
        <f t="shared" si="13"/>
        <v>81</v>
      </c>
      <c r="I80" s="6">
        <f t="shared" si="13"/>
        <v>339.64</v>
      </c>
      <c r="J80" s="6">
        <f t="shared" si="13"/>
        <v>0</v>
      </c>
      <c r="K80" s="6">
        <f t="shared" si="13"/>
        <v>29826.77</v>
      </c>
      <c r="L80" s="6">
        <f t="shared" si="13"/>
        <v>611.38</v>
      </c>
      <c r="M80" s="6">
        <f t="shared" si="13"/>
        <v>0</v>
      </c>
      <c r="N80" s="6">
        <f t="shared" si="13"/>
        <v>640.03</v>
      </c>
      <c r="O80" s="6">
        <f t="shared" si="13"/>
        <v>299.74</v>
      </c>
      <c r="P80" s="6">
        <f t="shared" si="13"/>
        <v>8042.24</v>
      </c>
      <c r="Q80" s="6">
        <f t="shared" si="13"/>
        <v>81</v>
      </c>
      <c r="R80" s="6">
        <f t="shared" si="13"/>
        <v>0</v>
      </c>
      <c r="S80" s="6">
        <f t="shared" si="13"/>
        <v>7245.26</v>
      </c>
      <c r="T80" s="6">
        <f t="shared" si="13"/>
        <v>391786.43</v>
      </c>
      <c r="U80" s="6">
        <f t="shared" si="13"/>
        <v>0</v>
      </c>
      <c r="V80" s="6">
        <f t="shared" si="13"/>
        <v>0</v>
      </c>
      <c r="W80" s="6">
        <f t="shared" si="13"/>
        <v>0</v>
      </c>
      <c r="X80" s="6">
        <f t="shared" si="13"/>
        <v>9179.2099999999991</v>
      </c>
      <c r="Y80" s="6">
        <f t="shared" si="13"/>
        <v>20144.400000000001</v>
      </c>
      <c r="Z80" s="6">
        <f t="shared" si="13"/>
        <v>17696.599999999999</v>
      </c>
      <c r="AA80" s="6">
        <f t="shared" si="13"/>
        <v>12539.77</v>
      </c>
      <c r="AB80" s="6">
        <f t="shared" si="13"/>
        <v>0</v>
      </c>
      <c r="AC80" s="6">
        <f t="shared" si="13"/>
        <v>0</v>
      </c>
      <c r="AD80" s="6">
        <f t="shared" si="13"/>
        <v>1079.94</v>
      </c>
      <c r="AE80" s="6">
        <f t="shared" si="13"/>
        <v>917.3</v>
      </c>
      <c r="AF80" s="6">
        <f t="shared" si="13"/>
        <v>6049.9</v>
      </c>
      <c r="AG80" s="6">
        <f t="shared" si="13"/>
        <v>66159.95</v>
      </c>
      <c r="AH80" s="6">
        <f t="shared" si="13"/>
        <v>0</v>
      </c>
      <c r="AI80" s="6">
        <f t="shared" si="10"/>
        <v>727097.15999999992</v>
      </c>
    </row>
    <row r="81" spans="1:35" x14ac:dyDescent="0.25">
      <c r="A81" s="3" t="s">
        <v>109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5">
        <f t="shared" si="10"/>
        <v>0</v>
      </c>
    </row>
    <row r="82" spans="1:35" x14ac:dyDescent="0.25">
      <c r="A82" s="3" t="s">
        <v>110</v>
      </c>
      <c r="B82" s="5">
        <f>816.67</f>
        <v>816.67</v>
      </c>
      <c r="C82" s="4"/>
      <c r="D82" s="4"/>
      <c r="E82" s="5">
        <f>5877.36</f>
        <v>5877.36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5">
        <f>125043.56</f>
        <v>125043.56</v>
      </c>
      <c r="S82" s="5">
        <f>5700</f>
        <v>5700</v>
      </c>
      <c r="T82" s="5">
        <f>1237.5</f>
        <v>1237.5</v>
      </c>
      <c r="U82" s="4"/>
      <c r="V82" s="4"/>
      <c r="W82" s="4"/>
      <c r="X82" s="5">
        <f>6874.85</f>
        <v>6874.85</v>
      </c>
      <c r="Y82" s="5">
        <f>10041.08</f>
        <v>10041.08</v>
      </c>
      <c r="Z82" s="4"/>
      <c r="AA82" s="5">
        <f>18036.9</f>
        <v>18036.900000000001</v>
      </c>
      <c r="AB82" s="4"/>
      <c r="AC82" s="4"/>
      <c r="AD82" s="4"/>
      <c r="AE82" s="4"/>
      <c r="AF82" s="4"/>
      <c r="AG82" s="5">
        <f>52506.35</f>
        <v>52506.35</v>
      </c>
      <c r="AH82" s="5">
        <f>0</f>
        <v>0</v>
      </c>
      <c r="AI82" s="5">
        <f t="shared" si="10"/>
        <v>226134.27</v>
      </c>
    </row>
    <row r="83" spans="1:35" x14ac:dyDescent="0.25">
      <c r="A83" s="3" t="s">
        <v>111</v>
      </c>
      <c r="B83" s="5">
        <f>1940</f>
        <v>1940</v>
      </c>
      <c r="C83" s="4"/>
      <c r="D83" s="4"/>
      <c r="E83" s="5">
        <f>3617.23</f>
        <v>3617.23</v>
      </c>
      <c r="F83" s="4"/>
      <c r="G83" s="5">
        <f>260</f>
        <v>260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5">
        <f>2240</f>
        <v>2240</v>
      </c>
      <c r="T83" s="5">
        <f>20230.4</f>
        <v>20230.400000000001</v>
      </c>
      <c r="U83" s="4"/>
      <c r="V83" s="4"/>
      <c r="W83" s="4"/>
      <c r="X83" s="5">
        <f>1120</f>
        <v>1120</v>
      </c>
      <c r="Y83" s="5">
        <f>6011.7</f>
        <v>6011.7</v>
      </c>
      <c r="Z83" s="5">
        <f>4470</f>
        <v>4470</v>
      </c>
      <c r="AA83" s="5">
        <f>8799</f>
        <v>8799</v>
      </c>
      <c r="AB83" s="4"/>
      <c r="AC83" s="5">
        <f>530</f>
        <v>530</v>
      </c>
      <c r="AD83" s="4"/>
      <c r="AE83" s="4"/>
      <c r="AF83" s="4"/>
      <c r="AG83" s="5">
        <f>44904.89</f>
        <v>44904.89</v>
      </c>
      <c r="AH83" s="4"/>
      <c r="AI83" s="5">
        <f t="shared" si="10"/>
        <v>94123.22</v>
      </c>
    </row>
    <row r="84" spans="1:35" x14ac:dyDescent="0.25">
      <c r="A84" s="3" t="s">
        <v>112</v>
      </c>
      <c r="B84" s="5">
        <f>21664.19</f>
        <v>21664.19</v>
      </c>
      <c r="C84" s="4"/>
      <c r="D84" s="4"/>
      <c r="E84" s="5">
        <f>7762.62</f>
        <v>7762.62</v>
      </c>
      <c r="F84" s="4"/>
      <c r="G84" s="5">
        <f>1776.66</f>
        <v>1776.66</v>
      </c>
      <c r="H84" s="4"/>
      <c r="I84" s="5">
        <f>854.95</f>
        <v>854.95</v>
      </c>
      <c r="J84" s="4"/>
      <c r="K84" s="4"/>
      <c r="L84" s="5">
        <f>1019.55</f>
        <v>1019.55</v>
      </c>
      <c r="M84" s="4"/>
      <c r="N84" s="4"/>
      <c r="O84" s="5">
        <f>174.48</f>
        <v>174.48</v>
      </c>
      <c r="P84" s="5">
        <f>35</f>
        <v>35</v>
      </c>
      <c r="Q84" s="4"/>
      <c r="R84" s="5">
        <f>2730</f>
        <v>2730</v>
      </c>
      <c r="S84" s="5">
        <f>32269.38</f>
        <v>32269.38</v>
      </c>
      <c r="T84" s="5">
        <f>13774.96</f>
        <v>13774.96</v>
      </c>
      <c r="U84" s="4"/>
      <c r="V84" s="5">
        <f>161733.4</f>
        <v>161733.4</v>
      </c>
      <c r="W84" s="4"/>
      <c r="X84" s="5">
        <f>4268.15</f>
        <v>4268.1499999999996</v>
      </c>
      <c r="Y84" s="5">
        <f>14389.34</f>
        <v>14389.34</v>
      </c>
      <c r="Z84" s="5">
        <f>10709.41</f>
        <v>10709.41</v>
      </c>
      <c r="AA84" s="5">
        <f>18652.77</f>
        <v>18652.77</v>
      </c>
      <c r="AB84" s="4"/>
      <c r="AC84" s="4"/>
      <c r="AD84" s="4"/>
      <c r="AE84" s="4"/>
      <c r="AF84" s="4"/>
      <c r="AG84" s="5">
        <f>679</f>
        <v>679</v>
      </c>
      <c r="AH84" s="5">
        <f>0</f>
        <v>0</v>
      </c>
      <c r="AI84" s="5">
        <f t="shared" si="10"/>
        <v>292493.86</v>
      </c>
    </row>
    <row r="85" spans="1:35" x14ac:dyDescent="0.25">
      <c r="A85" s="3" t="s">
        <v>113</v>
      </c>
      <c r="B85" s="5">
        <f>708.69</f>
        <v>708.69</v>
      </c>
      <c r="C85" s="4"/>
      <c r="D85" s="4"/>
      <c r="E85" s="5">
        <f>240.09</f>
        <v>240.09</v>
      </c>
      <c r="F85" s="4"/>
      <c r="G85" s="5">
        <f>4499</f>
        <v>4499</v>
      </c>
      <c r="H85" s="4"/>
      <c r="I85" s="4"/>
      <c r="J85" s="4"/>
      <c r="K85" s="4"/>
      <c r="L85" s="4"/>
      <c r="M85" s="4"/>
      <c r="N85" s="4"/>
      <c r="O85" s="5">
        <f>2756.34</f>
        <v>2756.34</v>
      </c>
      <c r="P85" s="5">
        <f>14.98</f>
        <v>14.98</v>
      </c>
      <c r="Q85" s="4"/>
      <c r="R85" s="4"/>
      <c r="S85" s="4"/>
      <c r="T85" s="5">
        <f>629.7</f>
        <v>629.70000000000005</v>
      </c>
      <c r="U85" s="4"/>
      <c r="V85" s="4"/>
      <c r="W85" s="4"/>
      <c r="X85" s="5">
        <f>8664.97</f>
        <v>8664.9699999999993</v>
      </c>
      <c r="Y85" s="5">
        <f>9886.71</f>
        <v>9886.7099999999991</v>
      </c>
      <c r="Z85" s="5">
        <f>274.75</f>
        <v>274.75</v>
      </c>
      <c r="AA85" s="5">
        <f>3674.98</f>
        <v>3674.98</v>
      </c>
      <c r="AB85" s="5">
        <f>663.29</f>
        <v>663.29</v>
      </c>
      <c r="AC85" s="5">
        <f>1196.45</f>
        <v>1196.45</v>
      </c>
      <c r="AD85" s="4"/>
      <c r="AE85" s="5">
        <f>6216.48</f>
        <v>6216.48</v>
      </c>
      <c r="AF85" s="4"/>
      <c r="AG85" s="4"/>
      <c r="AH85" s="4"/>
      <c r="AI85" s="5">
        <f t="shared" si="10"/>
        <v>39426.429999999993</v>
      </c>
    </row>
    <row r="86" spans="1:35" x14ac:dyDescent="0.25">
      <c r="A86" s="3" t="s">
        <v>114</v>
      </c>
      <c r="B86" s="5">
        <f>8354.16</f>
        <v>8354.16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5">
        <f t="shared" si="10"/>
        <v>8354.16</v>
      </c>
    </row>
    <row r="87" spans="1:35" x14ac:dyDescent="0.25">
      <c r="A87" s="3" t="s">
        <v>115</v>
      </c>
      <c r="B87" s="6">
        <f t="shared" ref="B87:AH87" si="14">(((((B81)+(B82))+(B83))+(B84))+(B85))+(B86)</f>
        <v>33483.71</v>
      </c>
      <c r="C87" s="6">
        <f t="shared" si="14"/>
        <v>0</v>
      </c>
      <c r="D87" s="6">
        <f t="shared" si="14"/>
        <v>0</v>
      </c>
      <c r="E87" s="6">
        <f t="shared" si="14"/>
        <v>17497.3</v>
      </c>
      <c r="F87" s="6">
        <f t="shared" si="14"/>
        <v>0</v>
      </c>
      <c r="G87" s="6">
        <f t="shared" si="14"/>
        <v>6535.66</v>
      </c>
      <c r="H87" s="6">
        <f t="shared" si="14"/>
        <v>0</v>
      </c>
      <c r="I87" s="6">
        <f t="shared" si="14"/>
        <v>854.95</v>
      </c>
      <c r="J87" s="6">
        <f t="shared" si="14"/>
        <v>0</v>
      </c>
      <c r="K87" s="6">
        <f t="shared" si="14"/>
        <v>0</v>
      </c>
      <c r="L87" s="6">
        <f t="shared" si="14"/>
        <v>1019.55</v>
      </c>
      <c r="M87" s="6">
        <f t="shared" si="14"/>
        <v>0</v>
      </c>
      <c r="N87" s="6">
        <f t="shared" si="14"/>
        <v>0</v>
      </c>
      <c r="O87" s="6">
        <f t="shared" si="14"/>
        <v>2930.82</v>
      </c>
      <c r="P87" s="6">
        <f t="shared" si="14"/>
        <v>49.980000000000004</v>
      </c>
      <c r="Q87" s="6">
        <f t="shared" si="14"/>
        <v>0</v>
      </c>
      <c r="R87" s="6">
        <f t="shared" si="14"/>
        <v>127773.56</v>
      </c>
      <c r="S87" s="6">
        <f t="shared" si="14"/>
        <v>40209.380000000005</v>
      </c>
      <c r="T87" s="6">
        <f t="shared" si="14"/>
        <v>35872.559999999998</v>
      </c>
      <c r="U87" s="6">
        <f t="shared" si="14"/>
        <v>0</v>
      </c>
      <c r="V87" s="6">
        <f t="shared" si="14"/>
        <v>161733.4</v>
      </c>
      <c r="W87" s="6">
        <f t="shared" si="14"/>
        <v>0</v>
      </c>
      <c r="X87" s="6">
        <f t="shared" si="14"/>
        <v>20927.97</v>
      </c>
      <c r="Y87" s="6">
        <f t="shared" si="14"/>
        <v>40328.83</v>
      </c>
      <c r="Z87" s="6">
        <f t="shared" si="14"/>
        <v>15454.16</v>
      </c>
      <c r="AA87" s="6">
        <f t="shared" si="14"/>
        <v>49163.65</v>
      </c>
      <c r="AB87" s="6">
        <f t="shared" si="14"/>
        <v>663.29</v>
      </c>
      <c r="AC87" s="6">
        <f t="shared" si="14"/>
        <v>1726.45</v>
      </c>
      <c r="AD87" s="6">
        <f t="shared" si="14"/>
        <v>0</v>
      </c>
      <c r="AE87" s="6">
        <f t="shared" si="14"/>
        <v>6216.48</v>
      </c>
      <c r="AF87" s="6">
        <f t="shared" si="14"/>
        <v>0</v>
      </c>
      <c r="AG87" s="6">
        <f t="shared" si="14"/>
        <v>98090.239999999991</v>
      </c>
      <c r="AH87" s="6">
        <f t="shared" si="14"/>
        <v>0</v>
      </c>
      <c r="AI87" s="6">
        <f t="shared" si="10"/>
        <v>660531.93999999994</v>
      </c>
    </row>
    <row r="88" spans="1:35" x14ac:dyDescent="0.25">
      <c r="A88" s="3" t="s">
        <v>116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5">
        <f t="shared" si="10"/>
        <v>0</v>
      </c>
    </row>
    <row r="89" spans="1:35" x14ac:dyDescent="0.25">
      <c r="A89" s="3" t="s">
        <v>117</v>
      </c>
      <c r="B89" s="5">
        <f>5461.7</f>
        <v>5461.7</v>
      </c>
      <c r="C89" s="4"/>
      <c r="D89" s="4"/>
      <c r="E89" s="4"/>
      <c r="F89" s="4"/>
      <c r="G89" s="5">
        <f>388.77</f>
        <v>388.77</v>
      </c>
      <c r="H89" s="4"/>
      <c r="I89" s="5">
        <f>1072</f>
        <v>1072</v>
      </c>
      <c r="J89" s="4"/>
      <c r="K89" s="4"/>
      <c r="L89" s="4"/>
      <c r="M89" s="4"/>
      <c r="N89" s="4"/>
      <c r="O89" s="4"/>
      <c r="P89" s="4"/>
      <c r="Q89" s="4"/>
      <c r="R89" s="4"/>
      <c r="S89" s="5">
        <f>134</f>
        <v>134</v>
      </c>
      <c r="T89" s="5">
        <f>268</f>
        <v>268</v>
      </c>
      <c r="U89" s="4"/>
      <c r="V89" s="4"/>
      <c r="W89" s="4"/>
      <c r="X89" s="5">
        <f>422.9</f>
        <v>422.9</v>
      </c>
      <c r="Y89" s="5">
        <f>4214.96</f>
        <v>4214.96</v>
      </c>
      <c r="Z89" s="5">
        <f>268</f>
        <v>268</v>
      </c>
      <c r="AA89" s="5">
        <f>1551.22</f>
        <v>1551.22</v>
      </c>
      <c r="AB89" s="4"/>
      <c r="AC89" s="5">
        <f>210</f>
        <v>210</v>
      </c>
      <c r="AD89" s="5">
        <f>268</f>
        <v>268</v>
      </c>
      <c r="AE89" s="4"/>
      <c r="AF89" s="5">
        <f>670</f>
        <v>670</v>
      </c>
      <c r="AG89" s="4"/>
      <c r="AH89" s="4"/>
      <c r="AI89" s="5">
        <f t="shared" si="10"/>
        <v>14929.549999999997</v>
      </c>
    </row>
    <row r="90" spans="1:35" x14ac:dyDescent="0.25">
      <c r="A90" s="3" t="s">
        <v>118</v>
      </c>
      <c r="B90" s="4"/>
      <c r="C90" s="4"/>
      <c r="D90" s="4"/>
      <c r="E90" s="4"/>
      <c r="F90" s="4"/>
      <c r="G90" s="5">
        <f>22500</f>
        <v>22500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5">
        <f t="shared" si="10"/>
        <v>22500</v>
      </c>
    </row>
    <row r="91" spans="1:35" x14ac:dyDescent="0.25">
      <c r="A91" s="3" t="s">
        <v>119</v>
      </c>
      <c r="B91" s="5">
        <f>1500</f>
        <v>1500</v>
      </c>
      <c r="C91" s="4"/>
      <c r="D91" s="4"/>
      <c r="E91" s="4"/>
      <c r="F91" s="4"/>
      <c r="G91" s="5">
        <f>1375</f>
        <v>1375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5">
        <f>463.22</f>
        <v>463.22</v>
      </c>
      <c r="Z91" s="4"/>
      <c r="AA91" s="4"/>
      <c r="AB91" s="4"/>
      <c r="AC91" s="4"/>
      <c r="AD91" s="4"/>
      <c r="AE91" s="4"/>
      <c r="AF91" s="4"/>
      <c r="AG91" s="4"/>
      <c r="AH91" s="4"/>
      <c r="AI91" s="5">
        <f t="shared" si="10"/>
        <v>3338.2200000000003</v>
      </c>
    </row>
    <row r="92" spans="1:35" x14ac:dyDescent="0.25">
      <c r="A92" s="3" t="s">
        <v>120</v>
      </c>
      <c r="B92" s="4"/>
      <c r="C92" s="4"/>
      <c r="D92" s="4"/>
      <c r="E92" s="5">
        <f>30840.89</f>
        <v>30840.89</v>
      </c>
      <c r="F92" s="5">
        <f>1857.44</f>
        <v>1857.44</v>
      </c>
      <c r="G92" s="5">
        <f>115726.92</f>
        <v>115726.92</v>
      </c>
      <c r="H92" s="5">
        <f>557.01</f>
        <v>557.01</v>
      </c>
      <c r="I92" s="5">
        <f>8414.72</f>
        <v>8414.7199999999993</v>
      </c>
      <c r="J92" s="5">
        <f>0</f>
        <v>0</v>
      </c>
      <c r="K92" s="5">
        <f>15286.93</f>
        <v>15286.93</v>
      </c>
      <c r="L92" s="5">
        <f>8166</f>
        <v>8166</v>
      </c>
      <c r="M92" s="5">
        <f>6079.57</f>
        <v>6079.57</v>
      </c>
      <c r="N92" s="4"/>
      <c r="O92" s="4"/>
      <c r="P92" s="5">
        <f>6549.69</f>
        <v>6549.69</v>
      </c>
      <c r="Q92" s="5">
        <f>4282.02</f>
        <v>4282.0200000000004</v>
      </c>
      <c r="R92" s="5">
        <f>64819.62</f>
        <v>64819.62</v>
      </c>
      <c r="S92" s="5">
        <f>12455.85</f>
        <v>12455.85</v>
      </c>
      <c r="T92" s="5">
        <f>92378.09</f>
        <v>92378.09</v>
      </c>
      <c r="U92" s="5">
        <f>59203.55</f>
        <v>59203.55</v>
      </c>
      <c r="V92" s="5">
        <f>11571.5</f>
        <v>11571.5</v>
      </c>
      <c r="W92" s="5">
        <f>4850.9</f>
        <v>4850.8999999999996</v>
      </c>
      <c r="X92" s="5">
        <f>22241.28</f>
        <v>22241.279999999999</v>
      </c>
      <c r="Y92" s="5">
        <f>37787.41</f>
        <v>37787.410000000003</v>
      </c>
      <c r="Z92" s="5">
        <f>28404.52</f>
        <v>28404.52</v>
      </c>
      <c r="AA92" s="5">
        <f>34660.2</f>
        <v>34660.199999999997</v>
      </c>
      <c r="AB92" s="5">
        <f>129.97</f>
        <v>129.97</v>
      </c>
      <c r="AC92" s="5">
        <f>176.12</f>
        <v>176.12</v>
      </c>
      <c r="AD92" s="5">
        <f>4313.35</f>
        <v>4313.3500000000004</v>
      </c>
      <c r="AE92" s="5">
        <f>2233.38</f>
        <v>2233.38</v>
      </c>
      <c r="AF92" s="5">
        <f>940.79</f>
        <v>940.79</v>
      </c>
      <c r="AG92" s="5">
        <f>13475.11</f>
        <v>13475.11</v>
      </c>
      <c r="AH92" s="4"/>
      <c r="AI92" s="5">
        <f t="shared" si="10"/>
        <v>587402.82999999996</v>
      </c>
    </row>
    <row r="93" spans="1:35" x14ac:dyDescent="0.25">
      <c r="A93" s="3" t="s">
        <v>121</v>
      </c>
      <c r="B93" s="6">
        <f t="shared" ref="B93:AH93" si="15">((((B88)+(B89))+(B90))+(B91))+(B92)</f>
        <v>6961.7</v>
      </c>
      <c r="C93" s="6">
        <f t="shared" si="15"/>
        <v>0</v>
      </c>
      <c r="D93" s="6">
        <f t="shared" si="15"/>
        <v>0</v>
      </c>
      <c r="E93" s="6">
        <f t="shared" si="15"/>
        <v>30840.89</v>
      </c>
      <c r="F93" s="6">
        <f t="shared" si="15"/>
        <v>1857.44</v>
      </c>
      <c r="G93" s="6">
        <f t="shared" si="15"/>
        <v>139990.69</v>
      </c>
      <c r="H93" s="6">
        <f t="shared" si="15"/>
        <v>557.01</v>
      </c>
      <c r="I93" s="6">
        <f t="shared" si="15"/>
        <v>9486.7199999999993</v>
      </c>
      <c r="J93" s="6">
        <f t="shared" si="15"/>
        <v>0</v>
      </c>
      <c r="K93" s="6">
        <f t="shared" si="15"/>
        <v>15286.93</v>
      </c>
      <c r="L93" s="6">
        <f t="shared" si="15"/>
        <v>8166</v>
      </c>
      <c r="M93" s="6">
        <f t="shared" si="15"/>
        <v>6079.57</v>
      </c>
      <c r="N93" s="6">
        <f t="shared" si="15"/>
        <v>0</v>
      </c>
      <c r="O93" s="6">
        <f t="shared" si="15"/>
        <v>0</v>
      </c>
      <c r="P93" s="6">
        <f t="shared" si="15"/>
        <v>6549.69</v>
      </c>
      <c r="Q93" s="6">
        <f t="shared" si="15"/>
        <v>4282.0200000000004</v>
      </c>
      <c r="R93" s="6">
        <f t="shared" si="15"/>
        <v>64819.62</v>
      </c>
      <c r="S93" s="6">
        <f t="shared" si="15"/>
        <v>12589.85</v>
      </c>
      <c r="T93" s="6">
        <f t="shared" si="15"/>
        <v>92646.09</v>
      </c>
      <c r="U93" s="6">
        <f t="shared" si="15"/>
        <v>59203.55</v>
      </c>
      <c r="V93" s="6">
        <f t="shared" si="15"/>
        <v>11571.5</v>
      </c>
      <c r="W93" s="6">
        <f t="shared" si="15"/>
        <v>4850.8999999999996</v>
      </c>
      <c r="X93" s="6">
        <f t="shared" si="15"/>
        <v>22664.18</v>
      </c>
      <c r="Y93" s="6">
        <f t="shared" si="15"/>
        <v>42465.590000000004</v>
      </c>
      <c r="Z93" s="6">
        <f t="shared" si="15"/>
        <v>28672.52</v>
      </c>
      <c r="AA93" s="6">
        <f t="shared" si="15"/>
        <v>36211.42</v>
      </c>
      <c r="AB93" s="6">
        <f t="shared" si="15"/>
        <v>129.97</v>
      </c>
      <c r="AC93" s="6">
        <f t="shared" si="15"/>
        <v>386.12</v>
      </c>
      <c r="AD93" s="6">
        <f t="shared" si="15"/>
        <v>4581.3500000000004</v>
      </c>
      <c r="AE93" s="6">
        <f t="shared" si="15"/>
        <v>2233.38</v>
      </c>
      <c r="AF93" s="6">
        <f t="shared" si="15"/>
        <v>1610.79</v>
      </c>
      <c r="AG93" s="6">
        <f t="shared" si="15"/>
        <v>13475.11</v>
      </c>
      <c r="AH93" s="6">
        <f t="shared" si="15"/>
        <v>0</v>
      </c>
      <c r="AI93" s="6">
        <f t="shared" si="10"/>
        <v>628170.6</v>
      </c>
    </row>
    <row r="94" spans="1:35" x14ac:dyDescent="0.25">
      <c r="A94" s="3" t="s">
        <v>122</v>
      </c>
      <c r="B94" s="6">
        <f t="shared" ref="B94:AH94" si="16">((((((((B35)+(B47))+(B54))+(B55))+(B67))+(B71))+(B80))+(B87))+(B93)</f>
        <v>965708.32999999984</v>
      </c>
      <c r="C94" s="6">
        <f t="shared" si="16"/>
        <v>215</v>
      </c>
      <c r="D94" s="6">
        <f t="shared" si="16"/>
        <v>4712</v>
      </c>
      <c r="E94" s="6">
        <f t="shared" si="16"/>
        <v>416352.10000000003</v>
      </c>
      <c r="F94" s="6">
        <f t="shared" si="16"/>
        <v>39005.97</v>
      </c>
      <c r="G94" s="6">
        <f t="shared" si="16"/>
        <v>1277996.0599999998</v>
      </c>
      <c r="H94" s="6">
        <f t="shared" si="16"/>
        <v>7528.17</v>
      </c>
      <c r="I94" s="6">
        <f t="shared" si="16"/>
        <v>93090.89</v>
      </c>
      <c r="J94" s="6">
        <f t="shared" si="16"/>
        <v>50000</v>
      </c>
      <c r="K94" s="6">
        <f t="shared" si="16"/>
        <v>168156.28999999998</v>
      </c>
      <c r="L94" s="6">
        <f t="shared" si="16"/>
        <v>89826.020000000019</v>
      </c>
      <c r="M94" s="6">
        <f t="shared" si="16"/>
        <v>82074.429999999993</v>
      </c>
      <c r="N94" s="6">
        <f t="shared" si="16"/>
        <v>640.03</v>
      </c>
      <c r="O94" s="6">
        <f t="shared" si="16"/>
        <v>5660.33</v>
      </c>
      <c r="P94" s="6">
        <f t="shared" si="16"/>
        <v>71853.789999999994</v>
      </c>
      <c r="Q94" s="6">
        <f t="shared" si="16"/>
        <v>47102.180000000008</v>
      </c>
      <c r="R94" s="6">
        <f t="shared" si="16"/>
        <v>713015.71</v>
      </c>
      <c r="S94" s="6">
        <f t="shared" si="16"/>
        <v>137014.32</v>
      </c>
      <c r="T94" s="6">
        <f t="shared" si="16"/>
        <v>798894.36</v>
      </c>
      <c r="U94" s="6">
        <f t="shared" si="16"/>
        <v>552566.49</v>
      </c>
      <c r="V94" s="6">
        <f t="shared" si="16"/>
        <v>259978.96</v>
      </c>
      <c r="W94" s="6">
        <f t="shared" si="16"/>
        <v>65487.25</v>
      </c>
      <c r="X94" s="6">
        <f t="shared" si="16"/>
        <v>295176.14</v>
      </c>
      <c r="Y94" s="6">
        <f t="shared" si="16"/>
        <v>510269.54000000004</v>
      </c>
      <c r="Z94" s="6">
        <f t="shared" si="16"/>
        <v>231293.91999999998</v>
      </c>
      <c r="AA94" s="6">
        <f t="shared" si="16"/>
        <v>381290.03</v>
      </c>
      <c r="AB94" s="6">
        <f t="shared" si="16"/>
        <v>6590</v>
      </c>
      <c r="AC94" s="6">
        <f t="shared" si="16"/>
        <v>8981.9300000000021</v>
      </c>
      <c r="AD94" s="6">
        <f t="shared" si="16"/>
        <v>35123.019999999997</v>
      </c>
      <c r="AE94" s="6">
        <f t="shared" si="16"/>
        <v>24567.16</v>
      </c>
      <c r="AF94" s="6">
        <f t="shared" si="16"/>
        <v>7660.69</v>
      </c>
      <c r="AG94" s="6">
        <f t="shared" si="16"/>
        <v>218751.90999999997</v>
      </c>
      <c r="AH94" s="6">
        <f t="shared" si="16"/>
        <v>0</v>
      </c>
      <c r="AI94" s="6">
        <f t="shared" si="10"/>
        <v>7566583.0200000005</v>
      </c>
    </row>
    <row r="95" spans="1:35" x14ac:dyDescent="0.25">
      <c r="A95" s="3" t="s">
        <v>123</v>
      </c>
      <c r="B95" s="6">
        <f t="shared" ref="B95:AH95" si="17">(B30)-(B94)</f>
        <v>165446.82000000007</v>
      </c>
      <c r="C95" s="6">
        <f t="shared" si="17"/>
        <v>70.920000000000016</v>
      </c>
      <c r="D95" s="6">
        <f t="shared" si="17"/>
        <v>-4712</v>
      </c>
      <c r="E95" s="6">
        <f t="shared" si="17"/>
        <v>-128151.57</v>
      </c>
      <c r="F95" s="6">
        <f t="shared" si="17"/>
        <v>-13119.77</v>
      </c>
      <c r="G95" s="6">
        <f t="shared" si="17"/>
        <v>542717.83000000007</v>
      </c>
      <c r="H95" s="6">
        <f t="shared" si="17"/>
        <v>0</v>
      </c>
      <c r="I95" s="6">
        <f t="shared" si="17"/>
        <v>-74356.94</v>
      </c>
      <c r="J95" s="6">
        <f t="shared" si="17"/>
        <v>0</v>
      </c>
      <c r="K95" s="6">
        <f t="shared" si="17"/>
        <v>-37340.329999999973</v>
      </c>
      <c r="L95" s="6">
        <f t="shared" si="17"/>
        <v>26241.39999999998</v>
      </c>
      <c r="M95" s="6">
        <f t="shared" si="17"/>
        <v>-32646.44999999999</v>
      </c>
      <c r="N95" s="6">
        <f t="shared" si="17"/>
        <v>-640.03</v>
      </c>
      <c r="O95" s="6">
        <f t="shared" si="17"/>
        <v>36389.67</v>
      </c>
      <c r="P95" s="6">
        <f t="shared" si="17"/>
        <v>-54228.789999999994</v>
      </c>
      <c r="Q95" s="6">
        <f t="shared" si="17"/>
        <v>23457.319999999992</v>
      </c>
      <c r="R95" s="6">
        <f t="shared" si="17"/>
        <v>-73737.489999999991</v>
      </c>
      <c r="S95" s="6">
        <f t="shared" si="17"/>
        <v>247643.68</v>
      </c>
      <c r="T95" s="6">
        <f t="shared" si="17"/>
        <v>-158128.24</v>
      </c>
      <c r="U95" s="6">
        <f t="shared" si="17"/>
        <v>-59705.080000000016</v>
      </c>
      <c r="V95" s="6">
        <f t="shared" si="17"/>
        <v>0</v>
      </c>
      <c r="W95" s="6">
        <f t="shared" si="17"/>
        <v>-21991.25</v>
      </c>
      <c r="X95" s="6">
        <f t="shared" si="17"/>
        <v>1686.2699999999604</v>
      </c>
      <c r="Y95" s="6">
        <f t="shared" si="17"/>
        <v>-85447.540000000037</v>
      </c>
      <c r="Z95" s="6">
        <f t="shared" si="17"/>
        <v>-22704.179999999993</v>
      </c>
      <c r="AA95" s="6">
        <f t="shared" si="17"/>
        <v>-151015.18000000002</v>
      </c>
      <c r="AB95" s="6">
        <f t="shared" si="17"/>
        <v>0</v>
      </c>
      <c r="AC95" s="6">
        <f t="shared" si="17"/>
        <v>-1447.9300000000021</v>
      </c>
      <c r="AD95" s="6">
        <f t="shared" si="17"/>
        <v>-35123.019999999997</v>
      </c>
      <c r="AE95" s="6">
        <f t="shared" si="17"/>
        <v>-7312.43</v>
      </c>
      <c r="AF95" s="6">
        <f t="shared" si="17"/>
        <v>-7660.69</v>
      </c>
      <c r="AG95" s="6">
        <f t="shared" si="17"/>
        <v>5093.390000000014</v>
      </c>
      <c r="AH95" s="6">
        <f t="shared" si="17"/>
        <v>0</v>
      </c>
      <c r="AI95" s="6">
        <f t="shared" si="10"/>
        <v>79278.389999999927</v>
      </c>
    </row>
    <row r="96" spans="1:35" x14ac:dyDescent="0.25">
      <c r="A96" s="3" t="s">
        <v>124</v>
      </c>
      <c r="B96" s="7">
        <f t="shared" ref="B96:AH96" si="18">(B95)+(0)</f>
        <v>165446.82000000007</v>
      </c>
      <c r="C96" s="7">
        <f t="shared" si="18"/>
        <v>70.920000000000016</v>
      </c>
      <c r="D96" s="7">
        <f t="shared" si="18"/>
        <v>-4712</v>
      </c>
      <c r="E96" s="7">
        <f t="shared" si="18"/>
        <v>-128151.57</v>
      </c>
      <c r="F96" s="7">
        <f t="shared" si="18"/>
        <v>-13119.77</v>
      </c>
      <c r="G96" s="7">
        <f t="shared" si="18"/>
        <v>542717.83000000007</v>
      </c>
      <c r="H96" s="7">
        <f t="shared" si="18"/>
        <v>0</v>
      </c>
      <c r="I96" s="7">
        <f t="shared" si="18"/>
        <v>-74356.94</v>
      </c>
      <c r="J96" s="7">
        <f t="shared" si="18"/>
        <v>0</v>
      </c>
      <c r="K96" s="7">
        <f t="shared" si="18"/>
        <v>-37340.329999999973</v>
      </c>
      <c r="L96" s="7">
        <f t="shared" si="18"/>
        <v>26241.39999999998</v>
      </c>
      <c r="M96" s="7">
        <f t="shared" si="18"/>
        <v>-32646.44999999999</v>
      </c>
      <c r="N96" s="7">
        <f t="shared" si="18"/>
        <v>-640.03</v>
      </c>
      <c r="O96" s="7">
        <f t="shared" si="18"/>
        <v>36389.67</v>
      </c>
      <c r="P96" s="7">
        <f t="shared" si="18"/>
        <v>-54228.789999999994</v>
      </c>
      <c r="Q96" s="7">
        <f t="shared" si="18"/>
        <v>23457.319999999992</v>
      </c>
      <c r="R96" s="7">
        <f t="shared" si="18"/>
        <v>-73737.489999999991</v>
      </c>
      <c r="S96" s="7">
        <f t="shared" si="18"/>
        <v>247643.68</v>
      </c>
      <c r="T96" s="7">
        <f t="shared" si="18"/>
        <v>-158128.24</v>
      </c>
      <c r="U96" s="7">
        <f t="shared" si="18"/>
        <v>-59705.080000000016</v>
      </c>
      <c r="V96" s="7">
        <f t="shared" si="18"/>
        <v>0</v>
      </c>
      <c r="W96" s="7">
        <f t="shared" si="18"/>
        <v>-21991.25</v>
      </c>
      <c r="X96" s="7">
        <f t="shared" si="18"/>
        <v>1686.2699999999604</v>
      </c>
      <c r="Y96" s="7">
        <f t="shared" si="18"/>
        <v>-85447.540000000037</v>
      </c>
      <c r="Z96" s="7">
        <f t="shared" si="18"/>
        <v>-22704.179999999993</v>
      </c>
      <c r="AA96" s="7">
        <f t="shared" si="18"/>
        <v>-151015.18000000002</v>
      </c>
      <c r="AB96" s="7">
        <f t="shared" si="18"/>
        <v>0</v>
      </c>
      <c r="AC96" s="7">
        <f t="shared" si="18"/>
        <v>-1447.9300000000021</v>
      </c>
      <c r="AD96" s="7">
        <f t="shared" si="18"/>
        <v>-35123.019999999997</v>
      </c>
      <c r="AE96" s="7">
        <f t="shared" si="18"/>
        <v>-7312.43</v>
      </c>
      <c r="AF96" s="7">
        <f t="shared" si="18"/>
        <v>-7660.69</v>
      </c>
      <c r="AG96" s="7">
        <f t="shared" si="18"/>
        <v>5093.390000000014</v>
      </c>
      <c r="AH96" s="7">
        <f t="shared" si="18"/>
        <v>0</v>
      </c>
      <c r="AI96" s="7">
        <f t="shared" ref="AI96" si="19">((((((((((((((((((((((((((((((((B96)+(C96))+(D96))+(E96))+(F96))+(G96))+(H96))+(I96))+(J96))+(K96))+(L96))+(M96))+(N96))+(O96))+(P96))+(Q96))+(R96))+(S96))+(T96))+(U96))+(V96))+(W96))+(X96))+(Y96))+(Z96))+(AA96))+(AB96))+(AC96))+(AD96))+(AE96))+(AF96))+(AG96))+(AH96)</f>
        <v>79278.389999999927</v>
      </c>
    </row>
    <row r="97" spans="1:35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100" spans="1:35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</sheetData>
  <sheetProtection algorithmName="SHA-512" hashValue="gAF6Vi8IF2PQpWBekN/VGXV2m3p6Hh+ABpwPS2he/U/VGfomJw+R7XCRcBH/mUHDcP0aLDwmUXiOuWfVL2ff3g==" saltValue="Se2vDM/KIBy/OxHf9RnzFg==" spinCount="100000" sheet="1" objects="1" scenarios="1"/>
  <mergeCells count="4">
    <mergeCell ref="A100:AI100"/>
    <mergeCell ref="A1:AI1"/>
    <mergeCell ref="A2:AI2"/>
    <mergeCell ref="A3:AI3"/>
  </mergeCells>
  <pageMargins left="0.7" right="0.7" top="0.75" bottom="0.75" header="0.3" footer="0.3"/>
  <pageSetup paperSize="5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Faust</cp:lastModifiedBy>
  <cp:lastPrinted>2023-04-10T19:26:09Z</cp:lastPrinted>
  <dcterms:created xsi:type="dcterms:W3CDTF">2023-04-10T19:25:47Z</dcterms:created>
  <dcterms:modified xsi:type="dcterms:W3CDTF">2023-05-02T18:11:15Z</dcterms:modified>
</cp:coreProperties>
</file>