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ust\Desktop\Board Meeting Attachments\"/>
    </mc:Choice>
  </mc:AlternateContent>
  <xr:revisionPtr revIDLastSave="0" documentId="8_{E5850EB3-6853-40DA-A24B-F6A1B4CCDC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fit and Loss by Clas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G93" i="1" l="1"/>
  <c r="N93" i="1"/>
  <c r="K93" i="1"/>
  <c r="J93" i="1"/>
  <c r="D93" i="1"/>
  <c r="C93" i="1"/>
  <c r="AF92" i="1"/>
  <c r="AF93" i="1" s="1"/>
  <c r="AE92" i="1"/>
  <c r="AE93" i="1" s="1"/>
  <c r="AD92" i="1"/>
  <c r="AD93" i="1" s="1"/>
  <c r="AC92" i="1"/>
  <c r="AB92" i="1"/>
  <c r="AA92" i="1"/>
  <c r="AA93" i="1" s="1"/>
  <c r="Z92" i="1"/>
  <c r="Z93" i="1" s="1"/>
  <c r="Y92" i="1"/>
  <c r="X92" i="1"/>
  <c r="W92" i="1"/>
  <c r="W93" i="1" s="1"/>
  <c r="V92" i="1"/>
  <c r="V93" i="1" s="1"/>
  <c r="U92" i="1"/>
  <c r="U93" i="1" s="1"/>
  <c r="T92" i="1"/>
  <c r="T93" i="1" s="1"/>
  <c r="S92" i="1"/>
  <c r="S93" i="1" s="1"/>
  <c r="R92" i="1"/>
  <c r="R93" i="1" s="1"/>
  <c r="Q92" i="1"/>
  <c r="Q93" i="1" s="1"/>
  <c r="P92" i="1"/>
  <c r="P93" i="1" s="1"/>
  <c r="O92" i="1"/>
  <c r="O93" i="1" s="1"/>
  <c r="M92" i="1"/>
  <c r="M93" i="1" s="1"/>
  <c r="L92" i="1"/>
  <c r="L93" i="1" s="1"/>
  <c r="K92" i="1"/>
  <c r="J92" i="1"/>
  <c r="I92" i="1"/>
  <c r="I93" i="1" s="1"/>
  <c r="H92" i="1"/>
  <c r="H93" i="1" s="1"/>
  <c r="G92" i="1"/>
  <c r="F92" i="1"/>
  <c r="AH92" i="1" s="1"/>
  <c r="E92" i="1"/>
  <c r="E93" i="1" s="1"/>
  <c r="X91" i="1"/>
  <c r="G91" i="1"/>
  <c r="G93" i="1" s="1"/>
  <c r="B91" i="1"/>
  <c r="AH91" i="1" s="1"/>
  <c r="AH90" i="1"/>
  <c r="G90" i="1"/>
  <c r="AE89" i="1"/>
  <c r="AC89" i="1"/>
  <c r="AC93" i="1" s="1"/>
  <c r="AB89" i="1"/>
  <c r="AB93" i="1" s="1"/>
  <c r="Z89" i="1"/>
  <c r="Y89" i="1"/>
  <c r="Y93" i="1" s="1"/>
  <c r="X89" i="1"/>
  <c r="X93" i="1" s="1"/>
  <c r="W89" i="1"/>
  <c r="S89" i="1"/>
  <c r="R89" i="1"/>
  <c r="I89" i="1"/>
  <c r="G89" i="1"/>
  <c r="B89" i="1"/>
  <c r="AH89" i="1" s="1"/>
  <c r="AH88" i="1"/>
  <c r="AE87" i="1"/>
  <c r="AC87" i="1"/>
  <c r="AB87" i="1"/>
  <c r="AA87" i="1"/>
  <c r="Y87" i="1"/>
  <c r="V87" i="1"/>
  <c r="T87" i="1"/>
  <c r="S87" i="1"/>
  <c r="R87" i="1"/>
  <c r="P87" i="1"/>
  <c r="M87" i="1"/>
  <c r="L87" i="1"/>
  <c r="K87" i="1"/>
  <c r="J87" i="1"/>
  <c r="H87" i="1"/>
  <c r="F87" i="1"/>
  <c r="D87" i="1"/>
  <c r="C87" i="1"/>
  <c r="B86" i="1"/>
  <c r="AH86" i="1" s="1"/>
  <c r="AD85" i="1"/>
  <c r="AD87" i="1" s="1"/>
  <c r="AB85" i="1"/>
  <c r="AA85" i="1"/>
  <c r="Z85" i="1"/>
  <c r="X85" i="1"/>
  <c r="W85" i="1"/>
  <c r="S85" i="1"/>
  <c r="O85" i="1"/>
  <c r="N85" i="1"/>
  <c r="G85" i="1"/>
  <c r="E85" i="1"/>
  <c r="B85" i="1"/>
  <c r="B87" i="1" s="1"/>
  <c r="AG84" i="1"/>
  <c r="AF84" i="1"/>
  <c r="Z84" i="1"/>
  <c r="Y84" i="1"/>
  <c r="X84" i="1"/>
  <c r="W84" i="1"/>
  <c r="U84" i="1"/>
  <c r="U87" i="1" s="1"/>
  <c r="S84" i="1"/>
  <c r="R84" i="1"/>
  <c r="Q84" i="1"/>
  <c r="Q87" i="1" s="1"/>
  <c r="O84" i="1"/>
  <c r="O87" i="1" s="1"/>
  <c r="N84" i="1"/>
  <c r="N87" i="1" s="1"/>
  <c r="L84" i="1"/>
  <c r="I84" i="1"/>
  <c r="I87" i="1" s="1"/>
  <c r="G84" i="1"/>
  <c r="E84" i="1"/>
  <c r="AH84" i="1" s="1"/>
  <c r="B84" i="1"/>
  <c r="AF83" i="1"/>
  <c r="Z83" i="1"/>
  <c r="Y83" i="1"/>
  <c r="X83" i="1"/>
  <c r="X87" i="1" s="1"/>
  <c r="W83" i="1"/>
  <c r="S83" i="1"/>
  <c r="R83" i="1"/>
  <c r="G83" i="1"/>
  <c r="AH83" i="1" s="1"/>
  <c r="E83" i="1"/>
  <c r="B83" i="1"/>
  <c r="AG82" i="1"/>
  <c r="AG87" i="1" s="1"/>
  <c r="AF82" i="1"/>
  <c r="AF87" i="1" s="1"/>
  <c r="Z82" i="1"/>
  <c r="Z87" i="1" s="1"/>
  <c r="X82" i="1"/>
  <c r="W82" i="1"/>
  <c r="W87" i="1" s="1"/>
  <c r="S82" i="1"/>
  <c r="R82" i="1"/>
  <c r="Q82" i="1"/>
  <c r="E82" i="1"/>
  <c r="E87" i="1" s="1"/>
  <c r="AH81" i="1"/>
  <c r="AC80" i="1"/>
  <c r="AB80" i="1"/>
  <c r="AA80" i="1"/>
  <c r="V80" i="1"/>
  <c r="U80" i="1"/>
  <c r="T80" i="1"/>
  <c r="Q80" i="1"/>
  <c r="M80" i="1"/>
  <c r="L80" i="1"/>
  <c r="K80" i="1"/>
  <c r="J80" i="1"/>
  <c r="I80" i="1"/>
  <c r="H80" i="1"/>
  <c r="F80" i="1"/>
  <c r="D80" i="1"/>
  <c r="C80" i="1"/>
  <c r="S79" i="1"/>
  <c r="AH79" i="1" s="1"/>
  <c r="G79" i="1"/>
  <c r="B79" i="1"/>
  <c r="AG78" i="1"/>
  <c r="AG80" i="1" s="1"/>
  <c r="AF78" i="1"/>
  <c r="AE78" i="1"/>
  <c r="AE80" i="1" s="1"/>
  <c r="Z78" i="1"/>
  <c r="Y78" i="1"/>
  <c r="X78" i="1"/>
  <c r="W78" i="1"/>
  <c r="S78" i="1"/>
  <c r="R78" i="1"/>
  <c r="P78" i="1"/>
  <c r="P80" i="1" s="1"/>
  <c r="O78" i="1"/>
  <c r="N78" i="1"/>
  <c r="L78" i="1"/>
  <c r="K78" i="1"/>
  <c r="I78" i="1"/>
  <c r="H78" i="1"/>
  <c r="G78" i="1"/>
  <c r="E78" i="1"/>
  <c r="D78" i="1"/>
  <c r="C78" i="1"/>
  <c r="B78" i="1"/>
  <c r="AH78" i="1" s="1"/>
  <c r="AD77" i="1"/>
  <c r="AD80" i="1" s="1"/>
  <c r="Z77" i="1"/>
  <c r="Y77" i="1"/>
  <c r="S77" i="1"/>
  <c r="S80" i="1" s="1"/>
  <c r="R77" i="1"/>
  <c r="R80" i="1" s="1"/>
  <c r="O77" i="1"/>
  <c r="O80" i="1" s="1"/>
  <c r="N77" i="1"/>
  <c r="N80" i="1" s="1"/>
  <c r="L77" i="1"/>
  <c r="I77" i="1"/>
  <c r="G77" i="1"/>
  <c r="E77" i="1"/>
  <c r="B77" i="1"/>
  <c r="AH77" i="1" s="1"/>
  <c r="X76" i="1"/>
  <c r="W76" i="1"/>
  <c r="AH76" i="1" s="1"/>
  <c r="G76" i="1"/>
  <c r="B76" i="1"/>
  <c r="AF75" i="1"/>
  <c r="AF80" i="1" s="1"/>
  <c r="Z75" i="1"/>
  <c r="Z80" i="1" s="1"/>
  <c r="Y75" i="1"/>
  <c r="Y80" i="1" s="1"/>
  <c r="X75" i="1"/>
  <c r="W75" i="1"/>
  <c r="S75" i="1"/>
  <c r="R75" i="1"/>
  <c r="I75" i="1"/>
  <c r="G75" i="1"/>
  <c r="E75" i="1"/>
  <c r="E80" i="1" s="1"/>
  <c r="B75" i="1"/>
  <c r="AH75" i="1" s="1"/>
  <c r="X74" i="1"/>
  <c r="AH74" i="1" s="1"/>
  <c r="W74" i="1"/>
  <c r="G74" i="1"/>
  <c r="B74" i="1"/>
  <c r="X73" i="1"/>
  <c r="AH73" i="1" s="1"/>
  <c r="W73" i="1"/>
  <c r="W80" i="1" s="1"/>
  <c r="G73" i="1"/>
  <c r="G80" i="1" s="1"/>
  <c r="B73" i="1"/>
  <c r="B80" i="1" s="1"/>
  <c r="AH72" i="1"/>
  <c r="AG71" i="1"/>
  <c r="AF71" i="1"/>
  <c r="AE71" i="1"/>
  <c r="AD71" i="1"/>
  <c r="AC71" i="1"/>
  <c r="AB71" i="1"/>
  <c r="AA71" i="1"/>
  <c r="Z71" i="1"/>
  <c r="Y71" i="1"/>
  <c r="X71" i="1"/>
  <c r="W71" i="1"/>
  <c r="V71" i="1"/>
  <c r="U71" i="1"/>
  <c r="T71" i="1"/>
  <c r="S71" i="1"/>
  <c r="R71" i="1"/>
  <c r="Q71" i="1"/>
  <c r="P71" i="1"/>
  <c r="O71" i="1"/>
  <c r="N71" i="1"/>
  <c r="M71" i="1"/>
  <c r="L71" i="1"/>
  <c r="K71" i="1"/>
  <c r="J71" i="1"/>
  <c r="I71" i="1"/>
  <c r="H71" i="1"/>
  <c r="G71" i="1"/>
  <c r="F71" i="1"/>
  <c r="E71" i="1"/>
  <c r="D71" i="1"/>
  <c r="C71" i="1"/>
  <c r="G70" i="1"/>
  <c r="B70" i="1"/>
  <c r="AH70" i="1" s="1"/>
  <c r="G69" i="1"/>
  <c r="B69" i="1"/>
  <c r="B71" i="1" s="1"/>
  <c r="AH71" i="1" s="1"/>
  <c r="AH68" i="1"/>
  <c r="AG67" i="1"/>
  <c r="AF67" i="1"/>
  <c r="AE67" i="1"/>
  <c r="AD67" i="1"/>
  <c r="AC67" i="1"/>
  <c r="AB67" i="1"/>
  <c r="Y67" i="1"/>
  <c r="W67" i="1"/>
  <c r="V67" i="1"/>
  <c r="U67" i="1"/>
  <c r="T67" i="1"/>
  <c r="S67" i="1"/>
  <c r="Q67" i="1"/>
  <c r="P67" i="1"/>
  <c r="O67" i="1"/>
  <c r="N67" i="1"/>
  <c r="M67" i="1"/>
  <c r="L67" i="1"/>
  <c r="K67" i="1"/>
  <c r="J67" i="1"/>
  <c r="I67" i="1"/>
  <c r="H67" i="1"/>
  <c r="F67" i="1"/>
  <c r="D67" i="1"/>
  <c r="C67" i="1"/>
  <c r="G66" i="1"/>
  <c r="AH66" i="1" s="1"/>
  <c r="AH65" i="1"/>
  <c r="Z65" i="1"/>
  <c r="X65" i="1"/>
  <c r="R65" i="1"/>
  <c r="G65" i="1"/>
  <c r="B65" i="1"/>
  <c r="Z64" i="1"/>
  <c r="R64" i="1"/>
  <c r="E64" i="1"/>
  <c r="E67" i="1" s="1"/>
  <c r="B64" i="1"/>
  <c r="AH64" i="1" s="1"/>
  <c r="AB63" i="1"/>
  <c r="AA63" i="1"/>
  <c r="AA67" i="1" s="1"/>
  <c r="Z63" i="1"/>
  <c r="Z67" i="1" s="1"/>
  <c r="X63" i="1"/>
  <c r="X67" i="1" s="1"/>
  <c r="W63" i="1"/>
  <c r="R63" i="1"/>
  <c r="O63" i="1"/>
  <c r="G63" i="1"/>
  <c r="AH63" i="1" s="1"/>
  <c r="E63" i="1"/>
  <c r="B63" i="1"/>
  <c r="G62" i="1"/>
  <c r="B62" i="1"/>
  <c r="AH62" i="1" s="1"/>
  <c r="W61" i="1"/>
  <c r="R61" i="1"/>
  <c r="R67" i="1" s="1"/>
  <c r="E61" i="1"/>
  <c r="AD60" i="1"/>
  <c r="G60" i="1"/>
  <c r="B60" i="1"/>
  <c r="AH60" i="1" s="1"/>
  <c r="G59" i="1"/>
  <c r="B59" i="1"/>
  <c r="AH59" i="1" s="1"/>
  <c r="G58" i="1"/>
  <c r="B58" i="1"/>
  <c r="AH58" i="1" s="1"/>
  <c r="G57" i="1"/>
  <c r="G67" i="1" s="1"/>
  <c r="B57" i="1"/>
  <c r="B67" i="1" s="1"/>
  <c r="AH56" i="1"/>
  <c r="AG55" i="1"/>
  <c r="AF55" i="1"/>
  <c r="Z55" i="1"/>
  <c r="Y55" i="1"/>
  <c r="S55" i="1"/>
  <c r="AH55" i="1" s="1"/>
  <c r="L55" i="1"/>
  <c r="K55" i="1"/>
  <c r="I55" i="1"/>
  <c r="G55" i="1"/>
  <c r="E55" i="1"/>
  <c r="B55" i="1"/>
  <c r="AG54" i="1"/>
  <c r="AG94" i="1" s="1"/>
  <c r="AE54" i="1"/>
  <c r="AD54" i="1"/>
  <c r="AC54" i="1"/>
  <c r="AB54" i="1"/>
  <c r="AA54" i="1"/>
  <c r="V54" i="1"/>
  <c r="U54" i="1"/>
  <c r="R54" i="1"/>
  <c r="Q54" i="1"/>
  <c r="N54" i="1"/>
  <c r="M54" i="1"/>
  <c r="J54" i="1"/>
  <c r="J94" i="1" s="1"/>
  <c r="I54" i="1"/>
  <c r="H54" i="1"/>
  <c r="F54" i="1"/>
  <c r="D54" i="1"/>
  <c r="C54" i="1"/>
  <c r="AH53" i="1"/>
  <c r="AF53" i="1"/>
  <c r="AF54" i="1" s="1"/>
  <c r="Z53" i="1"/>
  <c r="Y53" i="1"/>
  <c r="X53" i="1"/>
  <c r="W53" i="1"/>
  <c r="S53" i="1"/>
  <c r="P53" i="1"/>
  <c r="L53" i="1"/>
  <c r="K53" i="1"/>
  <c r="K54" i="1" s="1"/>
  <c r="I53" i="1"/>
  <c r="G53" i="1"/>
  <c r="E53" i="1"/>
  <c r="B53" i="1"/>
  <c r="G52" i="1"/>
  <c r="G54" i="1" s="1"/>
  <c r="B52" i="1"/>
  <c r="AH52" i="1" s="1"/>
  <c r="AH51" i="1"/>
  <c r="X51" i="1"/>
  <c r="AH50" i="1"/>
  <c r="AG50" i="1"/>
  <c r="B50" i="1"/>
  <c r="Z49" i="1"/>
  <c r="Z54" i="1" s="1"/>
  <c r="Y49" i="1"/>
  <c r="Y54" i="1" s="1"/>
  <c r="X49" i="1"/>
  <c r="X54" i="1" s="1"/>
  <c r="W49" i="1"/>
  <c r="W54" i="1" s="1"/>
  <c r="T49" i="1"/>
  <c r="T54" i="1" s="1"/>
  <c r="S49" i="1"/>
  <c r="S54" i="1" s="1"/>
  <c r="R49" i="1"/>
  <c r="Q49" i="1"/>
  <c r="P49" i="1"/>
  <c r="P54" i="1" s="1"/>
  <c r="O49" i="1"/>
  <c r="O54" i="1" s="1"/>
  <c r="N49" i="1"/>
  <c r="L49" i="1"/>
  <c r="L54" i="1" s="1"/>
  <c r="J49" i="1"/>
  <c r="I49" i="1"/>
  <c r="G49" i="1"/>
  <c r="E49" i="1"/>
  <c r="E54" i="1" s="1"/>
  <c r="B49" i="1"/>
  <c r="AH49" i="1" s="1"/>
  <c r="AH48" i="1"/>
  <c r="AG47" i="1"/>
  <c r="AE47" i="1"/>
  <c r="AD47" i="1"/>
  <c r="L47" i="1"/>
  <c r="K47" i="1"/>
  <c r="J47" i="1"/>
  <c r="D47" i="1"/>
  <c r="C47" i="1"/>
  <c r="AF46" i="1"/>
  <c r="AF47" i="1" s="1"/>
  <c r="AC46" i="1"/>
  <c r="AB46" i="1"/>
  <c r="AA46" i="1"/>
  <c r="Z46" i="1"/>
  <c r="Y46" i="1"/>
  <c r="X46" i="1"/>
  <c r="W46" i="1"/>
  <c r="U46" i="1"/>
  <c r="S46" i="1"/>
  <c r="O46" i="1"/>
  <c r="N46" i="1"/>
  <c r="K46" i="1"/>
  <c r="I46" i="1"/>
  <c r="H46" i="1"/>
  <c r="E46" i="1"/>
  <c r="AH46" i="1" s="1"/>
  <c r="AC45" i="1"/>
  <c r="Z45" i="1"/>
  <c r="Y45" i="1"/>
  <c r="U45" i="1"/>
  <c r="S45" i="1"/>
  <c r="AH45" i="1" s="1"/>
  <c r="R45" i="1"/>
  <c r="Q45" i="1"/>
  <c r="P45" i="1"/>
  <c r="I45" i="1"/>
  <c r="G45" i="1"/>
  <c r="E45" i="1"/>
  <c r="AC44" i="1"/>
  <c r="AB44" i="1"/>
  <c r="Z44" i="1"/>
  <c r="Y44" i="1"/>
  <c r="X44" i="1"/>
  <c r="V44" i="1"/>
  <c r="U44" i="1"/>
  <c r="T44" i="1"/>
  <c r="S44" i="1"/>
  <c r="S47" i="1" s="1"/>
  <c r="R44" i="1"/>
  <c r="Q44" i="1"/>
  <c r="P44" i="1"/>
  <c r="M44" i="1"/>
  <c r="L44" i="1"/>
  <c r="K44" i="1"/>
  <c r="I44" i="1"/>
  <c r="G44" i="1"/>
  <c r="AH44" i="1" s="1"/>
  <c r="F44" i="1"/>
  <c r="E44" i="1"/>
  <c r="B44" i="1"/>
  <c r="Z43" i="1"/>
  <c r="Y43" i="1"/>
  <c r="X43" i="1"/>
  <c r="T43" i="1"/>
  <c r="T47" i="1" s="1"/>
  <c r="S43" i="1"/>
  <c r="Q43" i="1"/>
  <c r="P43" i="1"/>
  <c r="P47" i="1" s="1"/>
  <c r="L43" i="1"/>
  <c r="I43" i="1"/>
  <c r="G43" i="1"/>
  <c r="B43" i="1"/>
  <c r="AH43" i="1" s="1"/>
  <c r="AF42" i="1"/>
  <c r="AC42" i="1"/>
  <c r="AB42" i="1"/>
  <c r="AA42" i="1"/>
  <c r="Z42" i="1"/>
  <c r="Y42" i="1"/>
  <c r="X42" i="1"/>
  <c r="W42" i="1"/>
  <c r="U42" i="1"/>
  <c r="T42" i="1"/>
  <c r="S42" i="1"/>
  <c r="O42" i="1"/>
  <c r="N42" i="1"/>
  <c r="K42" i="1"/>
  <c r="I42" i="1"/>
  <c r="H42" i="1"/>
  <c r="AH42" i="1" s="1"/>
  <c r="E42" i="1"/>
  <c r="X41" i="1"/>
  <c r="W41" i="1"/>
  <c r="V41" i="1"/>
  <c r="T41" i="1"/>
  <c r="S41" i="1"/>
  <c r="Q41" i="1"/>
  <c r="M41" i="1"/>
  <c r="G41" i="1"/>
  <c r="B41" i="1"/>
  <c r="AH41" i="1" s="1"/>
  <c r="AF40" i="1"/>
  <c r="AC40" i="1"/>
  <c r="AB40" i="1"/>
  <c r="AB47" i="1" s="1"/>
  <c r="AA40" i="1"/>
  <c r="AA47" i="1" s="1"/>
  <c r="Z40" i="1"/>
  <c r="Y40" i="1"/>
  <c r="X40" i="1"/>
  <c r="W40" i="1"/>
  <c r="U40" i="1"/>
  <c r="S40" i="1"/>
  <c r="R40" i="1"/>
  <c r="Q40" i="1"/>
  <c r="P40" i="1"/>
  <c r="O40" i="1"/>
  <c r="N40" i="1"/>
  <c r="L40" i="1"/>
  <c r="K40" i="1"/>
  <c r="I40" i="1"/>
  <c r="H40" i="1"/>
  <c r="G40" i="1"/>
  <c r="E40" i="1"/>
  <c r="B40" i="1"/>
  <c r="AH40" i="1" s="1"/>
  <c r="AF39" i="1"/>
  <c r="AC39" i="1"/>
  <c r="AB39" i="1"/>
  <c r="AA39" i="1"/>
  <c r="Z39" i="1"/>
  <c r="Y39" i="1"/>
  <c r="X39" i="1"/>
  <c r="W39" i="1"/>
  <c r="V39" i="1"/>
  <c r="U39" i="1"/>
  <c r="T39" i="1"/>
  <c r="S39" i="1"/>
  <c r="R39" i="1"/>
  <c r="R47" i="1" s="1"/>
  <c r="Q39" i="1"/>
  <c r="P39" i="1"/>
  <c r="O39" i="1"/>
  <c r="N39" i="1"/>
  <c r="M39" i="1"/>
  <c r="L39" i="1"/>
  <c r="K39" i="1"/>
  <c r="I39" i="1"/>
  <c r="H39" i="1"/>
  <c r="G39" i="1"/>
  <c r="F39" i="1"/>
  <c r="AH39" i="1" s="1"/>
  <c r="E39" i="1"/>
  <c r="B39" i="1"/>
  <c r="X38" i="1"/>
  <c r="W38" i="1"/>
  <c r="V38" i="1"/>
  <c r="V47" i="1" s="1"/>
  <c r="T38" i="1"/>
  <c r="S38" i="1"/>
  <c r="Q38" i="1"/>
  <c r="Q47" i="1" s="1"/>
  <c r="M38" i="1"/>
  <c r="M47" i="1" s="1"/>
  <c r="G38" i="1"/>
  <c r="G47" i="1" s="1"/>
  <c r="F38" i="1"/>
  <c r="F47" i="1" s="1"/>
  <c r="B38" i="1"/>
  <c r="AH38" i="1" s="1"/>
  <c r="AF37" i="1"/>
  <c r="AC37" i="1"/>
  <c r="AC47" i="1" s="1"/>
  <c r="AB37" i="1"/>
  <c r="AA37" i="1"/>
  <c r="Z37" i="1"/>
  <c r="Z47" i="1" s="1"/>
  <c r="Y37" i="1"/>
  <c r="Y47" i="1" s="1"/>
  <c r="X37" i="1"/>
  <c r="X47" i="1" s="1"/>
  <c r="W37" i="1"/>
  <c r="W47" i="1" s="1"/>
  <c r="U37" i="1"/>
  <c r="U47" i="1" s="1"/>
  <c r="S37" i="1"/>
  <c r="O37" i="1"/>
  <c r="O47" i="1" s="1"/>
  <c r="N37" i="1"/>
  <c r="N47" i="1" s="1"/>
  <c r="K37" i="1"/>
  <c r="I37" i="1"/>
  <c r="I47" i="1" s="1"/>
  <c r="H37" i="1"/>
  <c r="H47" i="1" s="1"/>
  <c r="E37" i="1"/>
  <c r="E47" i="1" s="1"/>
  <c r="S36" i="1"/>
  <c r="AH36" i="1" s="1"/>
  <c r="B36" i="1"/>
  <c r="B47" i="1" s="1"/>
  <c r="AH47" i="1" s="1"/>
  <c r="AG35" i="1"/>
  <c r="AF35" i="1"/>
  <c r="AE35" i="1"/>
  <c r="AD35" i="1"/>
  <c r="AB35" i="1"/>
  <c r="T35" i="1"/>
  <c r="T94" i="1" s="1"/>
  <c r="P35" i="1"/>
  <c r="O35" i="1"/>
  <c r="O94" i="1" s="1"/>
  <c r="L35" i="1"/>
  <c r="L94" i="1" s="1"/>
  <c r="J35" i="1"/>
  <c r="H35" i="1"/>
  <c r="H94" i="1" s="1"/>
  <c r="G35" i="1"/>
  <c r="D35" i="1"/>
  <c r="D94" i="1" s="1"/>
  <c r="C35" i="1"/>
  <c r="C94" i="1" s="1"/>
  <c r="X34" i="1"/>
  <c r="W34" i="1"/>
  <c r="W35" i="1" s="1"/>
  <c r="V34" i="1"/>
  <c r="V35" i="1" s="1"/>
  <c r="T34" i="1"/>
  <c r="S34" i="1"/>
  <c r="Q34" i="1"/>
  <c r="M34" i="1"/>
  <c r="M35" i="1" s="1"/>
  <c r="G34" i="1"/>
  <c r="F34" i="1"/>
  <c r="F35" i="1" s="1"/>
  <c r="B34" i="1"/>
  <c r="AH34" i="1" s="1"/>
  <c r="AF33" i="1"/>
  <c r="AC33" i="1"/>
  <c r="AC35" i="1" s="1"/>
  <c r="AB33" i="1"/>
  <c r="AA33" i="1"/>
  <c r="AA35" i="1" s="1"/>
  <c r="Z33" i="1"/>
  <c r="Z35" i="1" s="1"/>
  <c r="Y33" i="1"/>
  <c r="Y35" i="1" s="1"/>
  <c r="X33" i="1"/>
  <c r="X35" i="1" s="1"/>
  <c r="W33" i="1"/>
  <c r="U33" i="1"/>
  <c r="U35" i="1" s="1"/>
  <c r="S33" i="1"/>
  <c r="S35" i="1" s="1"/>
  <c r="R33" i="1"/>
  <c r="R35" i="1" s="1"/>
  <c r="Q33" i="1"/>
  <c r="Q35" i="1" s="1"/>
  <c r="Q94" i="1" s="1"/>
  <c r="P33" i="1"/>
  <c r="O33" i="1"/>
  <c r="N33" i="1"/>
  <c r="N35" i="1" s="1"/>
  <c r="N94" i="1" s="1"/>
  <c r="L33" i="1"/>
  <c r="K33" i="1"/>
  <c r="K35" i="1" s="1"/>
  <c r="K94" i="1" s="1"/>
  <c r="I33" i="1"/>
  <c r="I35" i="1" s="1"/>
  <c r="H33" i="1"/>
  <c r="G33" i="1"/>
  <c r="E33" i="1"/>
  <c r="E35" i="1" s="1"/>
  <c r="B33" i="1"/>
  <c r="B35" i="1" s="1"/>
  <c r="AH32" i="1"/>
  <c r="D29" i="1"/>
  <c r="D30" i="1" s="1"/>
  <c r="D95" i="1" s="1"/>
  <c r="D96" i="1" s="1"/>
  <c r="AG28" i="1"/>
  <c r="AF28" i="1"/>
  <c r="AE28" i="1"/>
  <c r="AD28" i="1"/>
  <c r="AC28" i="1"/>
  <c r="U28" i="1"/>
  <c r="P28" i="1"/>
  <c r="O28" i="1"/>
  <c r="N28" i="1"/>
  <c r="M28" i="1"/>
  <c r="L28" i="1"/>
  <c r="J28" i="1"/>
  <c r="G28" i="1"/>
  <c r="F28" i="1"/>
  <c r="E28" i="1"/>
  <c r="D28" i="1"/>
  <c r="C28" i="1"/>
  <c r="B28" i="1"/>
  <c r="AB27" i="1"/>
  <c r="AB28" i="1" s="1"/>
  <c r="AB29" i="1" s="1"/>
  <c r="AB30" i="1" s="1"/>
  <c r="AA27" i="1"/>
  <c r="AA28" i="1" s="1"/>
  <c r="Z27" i="1"/>
  <c r="Z28" i="1" s="1"/>
  <c r="Y27" i="1"/>
  <c r="Y28" i="1" s="1"/>
  <c r="X27" i="1"/>
  <c r="X28" i="1" s="1"/>
  <c r="W27" i="1"/>
  <c r="W28" i="1" s="1"/>
  <c r="U27" i="1"/>
  <c r="S27" i="1"/>
  <c r="S28" i="1" s="1"/>
  <c r="K27" i="1"/>
  <c r="K28" i="1" s="1"/>
  <c r="J27" i="1"/>
  <c r="I27" i="1"/>
  <c r="I28" i="1" s="1"/>
  <c r="I29" i="1" s="1"/>
  <c r="I30" i="1" s="1"/>
  <c r="H27" i="1"/>
  <c r="H28" i="1" s="1"/>
  <c r="E27" i="1"/>
  <c r="AH27" i="1" s="1"/>
  <c r="V26" i="1"/>
  <c r="V28" i="1" s="1"/>
  <c r="T26" i="1"/>
  <c r="T28" i="1" s="1"/>
  <c r="T29" i="1" s="1"/>
  <c r="T30" i="1" s="1"/>
  <c r="Q26" i="1"/>
  <c r="Q28" i="1" s="1"/>
  <c r="Q29" i="1" s="1"/>
  <c r="Q30" i="1" s="1"/>
  <c r="R25" i="1"/>
  <c r="AH25" i="1" s="1"/>
  <c r="AH24" i="1"/>
  <c r="B24" i="1"/>
  <c r="B23" i="1"/>
  <c r="AH23" i="1" s="1"/>
  <c r="AG22" i="1"/>
  <c r="AF22" i="1"/>
  <c r="AE22" i="1"/>
  <c r="AD22" i="1"/>
  <c r="AC22" i="1"/>
  <c r="AB22" i="1"/>
  <c r="AA22" i="1"/>
  <c r="Z22" i="1"/>
  <c r="Y22" i="1"/>
  <c r="X22" i="1"/>
  <c r="W22" i="1"/>
  <c r="V22" i="1"/>
  <c r="U22" i="1"/>
  <c r="T22" i="1"/>
  <c r="S22" i="1"/>
  <c r="R22" i="1"/>
  <c r="Q22" i="1"/>
  <c r="O22" i="1"/>
  <c r="N22" i="1"/>
  <c r="M22" i="1"/>
  <c r="K22" i="1"/>
  <c r="J22" i="1"/>
  <c r="I22" i="1"/>
  <c r="H22" i="1"/>
  <c r="G22" i="1"/>
  <c r="F22" i="1"/>
  <c r="E22" i="1"/>
  <c r="D22" i="1"/>
  <c r="C22" i="1"/>
  <c r="B22" i="1"/>
  <c r="AH22" i="1" s="1"/>
  <c r="G21" i="1"/>
  <c r="AH21" i="1" s="1"/>
  <c r="P20" i="1"/>
  <c r="P22" i="1" s="1"/>
  <c r="L20" i="1"/>
  <c r="L22" i="1" s="1"/>
  <c r="L29" i="1" s="1"/>
  <c r="L30" i="1" s="1"/>
  <c r="L95" i="1" s="1"/>
  <c r="L96" i="1" s="1"/>
  <c r="G20" i="1"/>
  <c r="AE19" i="1"/>
  <c r="AE29" i="1" s="1"/>
  <c r="AE30" i="1" s="1"/>
  <c r="AD19" i="1"/>
  <c r="AD29" i="1" s="1"/>
  <c r="AD30" i="1" s="1"/>
  <c r="AC19" i="1"/>
  <c r="AC29" i="1" s="1"/>
  <c r="AC30" i="1" s="1"/>
  <c r="AB19" i="1"/>
  <c r="AA19" i="1"/>
  <c r="Z19" i="1"/>
  <c r="Z29" i="1" s="1"/>
  <c r="Z30" i="1" s="1"/>
  <c r="X19" i="1"/>
  <c r="X29" i="1" s="1"/>
  <c r="X30" i="1" s="1"/>
  <c r="W19" i="1"/>
  <c r="W29" i="1" s="1"/>
  <c r="W30" i="1" s="1"/>
  <c r="V19" i="1"/>
  <c r="U19" i="1"/>
  <c r="U29" i="1" s="1"/>
  <c r="U30" i="1" s="1"/>
  <c r="T19" i="1"/>
  <c r="S19" i="1"/>
  <c r="S29" i="1" s="1"/>
  <c r="S30" i="1" s="1"/>
  <c r="Q19" i="1"/>
  <c r="P19" i="1"/>
  <c r="P29" i="1" s="1"/>
  <c r="P30" i="1" s="1"/>
  <c r="N19" i="1"/>
  <c r="N29" i="1" s="1"/>
  <c r="N30" i="1" s="1"/>
  <c r="N95" i="1" s="1"/>
  <c r="N96" i="1" s="1"/>
  <c r="L19" i="1"/>
  <c r="K19" i="1"/>
  <c r="K29" i="1" s="1"/>
  <c r="K30" i="1" s="1"/>
  <c r="K95" i="1" s="1"/>
  <c r="K96" i="1" s="1"/>
  <c r="J19" i="1"/>
  <c r="J29" i="1" s="1"/>
  <c r="J30" i="1" s="1"/>
  <c r="I19" i="1"/>
  <c r="H19" i="1"/>
  <c r="H29" i="1" s="1"/>
  <c r="H30" i="1" s="1"/>
  <c r="H95" i="1" s="1"/>
  <c r="H96" i="1" s="1"/>
  <c r="F19" i="1"/>
  <c r="F29" i="1" s="1"/>
  <c r="F30" i="1" s="1"/>
  <c r="E19" i="1"/>
  <c r="E29" i="1" s="1"/>
  <c r="E30" i="1" s="1"/>
  <c r="D19" i="1"/>
  <c r="G18" i="1"/>
  <c r="AH18" i="1" s="1"/>
  <c r="C17" i="1"/>
  <c r="C19" i="1" s="1"/>
  <c r="C29" i="1" s="1"/>
  <c r="C30" i="1" s="1"/>
  <c r="B17" i="1"/>
  <c r="AH17" i="1" s="1"/>
  <c r="AH16" i="1"/>
  <c r="B16" i="1"/>
  <c r="AH15" i="1"/>
  <c r="M15" i="1"/>
  <c r="B15" i="1"/>
  <c r="B14" i="1"/>
  <c r="AH14" i="1" s="1"/>
  <c r="AH13" i="1"/>
  <c r="B13" i="1"/>
  <c r="Y12" i="1"/>
  <c r="AH12" i="1" s="1"/>
  <c r="B12" i="1"/>
  <c r="AF11" i="1"/>
  <c r="AF19" i="1" s="1"/>
  <c r="AF29" i="1" s="1"/>
  <c r="AF30" i="1" s="1"/>
  <c r="R11" i="1"/>
  <c r="R19" i="1" s="1"/>
  <c r="M11" i="1"/>
  <c r="M19" i="1" s="1"/>
  <c r="M29" i="1" s="1"/>
  <c r="M30" i="1" s="1"/>
  <c r="F11" i="1"/>
  <c r="B11" i="1"/>
  <c r="AH11" i="1" s="1"/>
  <c r="AH10" i="1"/>
  <c r="O10" i="1"/>
  <c r="O19" i="1" s="1"/>
  <c r="O29" i="1" s="1"/>
  <c r="O30" i="1" s="1"/>
  <c r="N10" i="1"/>
  <c r="B9" i="1"/>
  <c r="AH9" i="1" s="1"/>
  <c r="AH8" i="1"/>
  <c r="AG8" i="1"/>
  <c r="AG19" i="1" s="1"/>
  <c r="AG29" i="1" s="1"/>
  <c r="AG30" i="1" s="1"/>
  <c r="N8" i="1"/>
  <c r="B8" i="1"/>
  <c r="B19" i="1" s="1"/>
  <c r="G7" i="1"/>
  <c r="G19" i="1" s="1"/>
  <c r="G29" i="1" s="1"/>
  <c r="G30" i="1" s="1"/>
  <c r="E95" i="1" l="1"/>
  <c r="E96" i="1" s="1"/>
  <c r="W94" i="1"/>
  <c r="W95" i="1" s="1"/>
  <c r="W96" i="1" s="1"/>
  <c r="T95" i="1"/>
  <c r="T96" i="1" s="1"/>
  <c r="E94" i="1"/>
  <c r="AH67" i="1"/>
  <c r="C95" i="1"/>
  <c r="C96" i="1" s="1"/>
  <c r="M95" i="1"/>
  <c r="M96" i="1" s="1"/>
  <c r="P94" i="1"/>
  <c r="P95" i="1" s="1"/>
  <c r="P96" i="1" s="1"/>
  <c r="AG95" i="1"/>
  <c r="AG96" i="1" s="1"/>
  <c r="AH35" i="1"/>
  <c r="Y94" i="1"/>
  <c r="AA29" i="1"/>
  <c r="AA30" i="1" s="1"/>
  <c r="AA95" i="1" s="1"/>
  <c r="AA96" i="1" s="1"/>
  <c r="Z94" i="1"/>
  <c r="Z95" i="1" s="1"/>
  <c r="Z96" i="1" s="1"/>
  <c r="M94" i="1"/>
  <c r="AB94" i="1"/>
  <c r="AB95" i="1" s="1"/>
  <c r="AB96" i="1" s="1"/>
  <c r="O95" i="1"/>
  <c r="O96" i="1" s="1"/>
  <c r="R94" i="1"/>
  <c r="AE94" i="1"/>
  <c r="AE95" i="1" s="1"/>
  <c r="AE96" i="1" s="1"/>
  <c r="AA94" i="1"/>
  <c r="J95" i="1"/>
  <c r="J96" i="1" s="1"/>
  <c r="Q95" i="1"/>
  <c r="Q96" i="1" s="1"/>
  <c r="I94" i="1"/>
  <c r="I95" i="1" s="1"/>
  <c r="I96" i="1" s="1"/>
  <c r="S94" i="1"/>
  <c r="S95" i="1" s="1"/>
  <c r="S96" i="1" s="1"/>
  <c r="AC94" i="1"/>
  <c r="AC95" i="1" s="1"/>
  <c r="AC96" i="1" s="1"/>
  <c r="AF94" i="1"/>
  <c r="AF95" i="1" s="1"/>
  <c r="AF96" i="1" s="1"/>
  <c r="AD94" i="1"/>
  <c r="AD95" i="1" s="1"/>
  <c r="AD96" i="1" s="1"/>
  <c r="B29" i="1"/>
  <c r="V29" i="1"/>
  <c r="V30" i="1" s="1"/>
  <c r="U94" i="1"/>
  <c r="U95" i="1" s="1"/>
  <c r="U96" i="1" s="1"/>
  <c r="V94" i="1"/>
  <c r="B93" i="1"/>
  <c r="AH57" i="1"/>
  <c r="AH7" i="1"/>
  <c r="Y19" i="1"/>
  <c r="Y29" i="1" s="1"/>
  <c r="Y30" i="1" s="1"/>
  <c r="AH85" i="1"/>
  <c r="G87" i="1"/>
  <c r="G94" i="1" s="1"/>
  <c r="G95" i="1" s="1"/>
  <c r="G96" i="1" s="1"/>
  <c r="F93" i="1"/>
  <c r="F94" i="1" s="1"/>
  <c r="F95" i="1" s="1"/>
  <c r="F96" i="1" s="1"/>
  <c r="R28" i="1"/>
  <c r="AH28" i="1" s="1"/>
  <c r="X80" i="1"/>
  <c r="X94" i="1" s="1"/>
  <c r="X95" i="1" s="1"/>
  <c r="X96" i="1" s="1"/>
  <c r="AH26" i="1"/>
  <c r="AH33" i="1"/>
  <c r="AH37" i="1"/>
  <c r="AH61" i="1"/>
  <c r="AH69" i="1"/>
  <c r="AH20" i="1"/>
  <c r="B54" i="1"/>
  <c r="AH54" i="1" s="1"/>
  <c r="AH82" i="1"/>
  <c r="R29" i="1" l="1"/>
  <c r="R30" i="1" s="1"/>
  <c r="R95" i="1" s="1"/>
  <c r="R96" i="1" s="1"/>
  <c r="Y95" i="1"/>
  <c r="Y96" i="1" s="1"/>
  <c r="V95" i="1"/>
  <c r="V96" i="1" s="1"/>
  <c r="AH93" i="1"/>
  <c r="AH87" i="1"/>
  <c r="AH80" i="1"/>
  <c r="B30" i="1"/>
  <c r="B94" i="1"/>
  <c r="AH94" i="1" s="1"/>
  <c r="AH19" i="1"/>
  <c r="AH29" i="1" l="1"/>
  <c r="B95" i="1"/>
  <c r="AH30" i="1"/>
  <c r="B96" i="1" l="1"/>
  <c r="AH96" i="1" s="1"/>
  <c r="AH95" i="1"/>
</calcChain>
</file>

<file path=xl/sharedStrings.xml><?xml version="1.0" encoding="utf-8"?>
<sst xmlns="http://schemas.openxmlformats.org/spreadsheetml/2006/main" count="127" uniqueCount="127">
  <si>
    <t>0010 - Operations</t>
  </si>
  <si>
    <t>0025 - Staff Account</t>
  </si>
  <si>
    <t>0060 - WHS Crusade for Children</t>
  </si>
  <si>
    <t>0065 - CRRSA</t>
  </si>
  <si>
    <t>0110 - NKYEC</t>
  </si>
  <si>
    <t>1100 - RSP</t>
  </si>
  <si>
    <t>1130 - DEI Support</t>
  </si>
  <si>
    <t>1135 - DEI Grant</t>
  </si>
  <si>
    <t>1140 - DEI Training</t>
  </si>
  <si>
    <t>1260- Positive Action</t>
  </si>
  <si>
    <t>1310 - EL Local</t>
  </si>
  <si>
    <t>1415 - NKU Regional Consultant</t>
  </si>
  <si>
    <t>1509 - Professional Development</t>
  </si>
  <si>
    <t>1550 - Special Ed PD</t>
  </si>
  <si>
    <t>1975 - YSA</t>
  </si>
  <si>
    <t>2010 - FRYSC State</t>
  </si>
  <si>
    <t>2200 - Mandarin Program</t>
  </si>
  <si>
    <t>2800 - Arts in Education</t>
  </si>
  <si>
    <t>2910 - DAIL</t>
  </si>
  <si>
    <t>3010 - FRYSC - Fed</t>
  </si>
  <si>
    <t>3220 - PERS Effectiveness Coach</t>
  </si>
  <si>
    <t>336I - IDEA-B 21-22</t>
  </si>
  <si>
    <t>336J - IDEA B 22-23</t>
  </si>
  <si>
    <t>3416- SPF</t>
  </si>
  <si>
    <t>3425 - Deeper Learning</t>
  </si>
  <si>
    <t>345I - Title III EL 21-22</t>
  </si>
  <si>
    <t>345J - Title III  EL 22-23</t>
  </si>
  <si>
    <t>3800 - Trauma Informed</t>
  </si>
  <si>
    <t>3900 - New Teacher</t>
  </si>
  <si>
    <t>3925 - Mental Health</t>
  </si>
  <si>
    <t>4101C - Arts Grant</t>
  </si>
  <si>
    <t>Not Specified</t>
  </si>
  <si>
    <t>TOTAL</t>
  </si>
  <si>
    <t>Income</t>
  </si>
  <si>
    <t xml:space="preserve">   31100 UNRESTRICTED INCOME</t>
  </si>
  <si>
    <t xml:space="preserve">      31111 MEMBERSHIPS</t>
  </si>
  <si>
    <t xml:space="preserve">      31510 INTEREST</t>
  </si>
  <si>
    <t xml:space="preserve">      31636 REGISTRATIONS</t>
  </si>
  <si>
    <t xml:space="preserve">      31800 LOCAL GRANT RECEIPTS</t>
  </si>
  <si>
    <t xml:space="preserve">      31913 SPONSORSHIP</t>
  </si>
  <si>
    <t xml:space="preserve">      31980 REFUNDS &amp; REIMBURSEMENTS</t>
  </si>
  <si>
    <t xml:space="preserve">      31981 KEDC REBATE (KPC) &amp;GRREC (AEPA)</t>
  </si>
  <si>
    <t xml:space="preserve">      31996 INDIRECT COSTS RECEIPTS</t>
  </si>
  <si>
    <t xml:space="preserve">      31997 RENT</t>
  </si>
  <si>
    <t xml:space="preserve">      31999 MISC. REVENUES</t>
  </si>
  <si>
    <t xml:space="preserve">      33111 SEEK FUNDS/ADA</t>
  </si>
  <si>
    <t xml:space="preserve">   Total 31100 UNRESTRICTED INCOME</t>
  </si>
  <si>
    <t xml:space="preserve">   31310 SLOTS/TUITION/BUY-IN</t>
  </si>
  <si>
    <t xml:space="preserve">      31311 NKCES/MENTAL HEALTH THERAPY</t>
  </si>
  <si>
    <t xml:space="preserve">   Total 31310 SLOTS/TUITION/BUY-IN</t>
  </si>
  <si>
    <t xml:space="preserve">   31970 Partner Services</t>
  </si>
  <si>
    <t xml:space="preserve">   31985 SICK LEAVE ESCROW</t>
  </si>
  <si>
    <t xml:space="preserve">   33000 RESTRICTED RECEIPTS</t>
  </si>
  <si>
    <t xml:space="preserve">      33200 STATE  RECEIPTS</t>
  </si>
  <si>
    <t xml:space="preserve">      34500 FEDERAL RECEIPTS</t>
  </si>
  <si>
    <t xml:space="preserve">   Total 33000 RESTRICTED RECEIPTS</t>
  </si>
  <si>
    <t>Total Income</t>
  </si>
  <si>
    <t>Gross Profit</t>
  </si>
  <si>
    <t>Expenses</t>
  </si>
  <si>
    <t xml:space="preserve">   40100 PERSONNEL</t>
  </si>
  <si>
    <t xml:space="preserve">      40110 CERTIFIED PERSONNEL</t>
  </si>
  <si>
    <t xml:space="preserve">      40130 CLASSIFIED PERSONNEL</t>
  </si>
  <si>
    <t xml:space="preserve">   Total 40100 PERSONNEL</t>
  </si>
  <si>
    <t xml:space="preserve">   40200 FRINGE</t>
  </si>
  <si>
    <t xml:space="preserve">      40211 LIFE INSURANCE</t>
  </si>
  <si>
    <t xml:space="preserve">      40221 SOC SEC TAX</t>
  </si>
  <si>
    <t xml:space="preserve">      40222 MEDICARE TAX</t>
  </si>
  <si>
    <t xml:space="preserve">      40231 TEACHER RETIREMENT</t>
  </si>
  <si>
    <t xml:space="preserve">      40232 COUNTY RETIREMENT</t>
  </si>
  <si>
    <t xml:space="preserve">      40233 HEALTH INSURANCE</t>
  </si>
  <si>
    <t xml:space="preserve">      40253 UNEMPLOYMENT</t>
  </si>
  <si>
    <t xml:space="preserve">      40260 WORKERS COMPENSATION</t>
  </si>
  <si>
    <t xml:space="preserve">      40291 SICK LEAVE PROGRAM</t>
  </si>
  <si>
    <t xml:space="preserve">      40294 ADMININSTRATIVE COST - INS</t>
  </si>
  <si>
    <t xml:space="preserve">   Total 40200 FRINGE</t>
  </si>
  <si>
    <t xml:space="preserve">   40300 PROFESSIONAL SERVICES</t>
  </si>
  <si>
    <t xml:space="preserve">      40330 OTHER PROFESSIONAL SERVICES</t>
  </si>
  <si>
    <t xml:space="preserve">      40331 AUDIT</t>
  </si>
  <si>
    <t xml:space="preserve">      40332 SPECIAL INITIATIVE</t>
  </si>
  <si>
    <t xml:space="preserve">      40333 PAYROLL SERVICES</t>
  </si>
  <si>
    <t xml:space="preserve">      40340 TECHNICAL SERVICES</t>
  </si>
  <si>
    <t xml:space="preserve">   Total 40300 PROFESSIONAL SERVICES</t>
  </si>
  <si>
    <t xml:space="preserve">   40335 CONTRACTED SERVICE</t>
  </si>
  <si>
    <t xml:space="preserve">   40400 REPAIR/MAINTENANCE</t>
  </si>
  <si>
    <t xml:space="preserve">      40411 WATER</t>
  </si>
  <si>
    <t xml:space="preserve">      40420 MOWING</t>
  </si>
  <si>
    <t xml:space="preserve">      40421 SANITATION SERVICE</t>
  </si>
  <si>
    <t xml:space="preserve">      40430 FACILITIES/REPAIR/MAINTENANCE</t>
  </si>
  <si>
    <t xml:space="preserve">      40441 RENT</t>
  </si>
  <si>
    <t xml:space="preserve">      40620 UTILITIES - GAS/ELECTRIC</t>
  </si>
  <si>
    <t xml:space="preserve">      40648 SOFTWARE/SOFTWARE MAINT</t>
  </si>
  <si>
    <t xml:space="preserve">      40733 FURNITURE</t>
  </si>
  <si>
    <t xml:space="preserve">      40734 COMPUTERS</t>
  </si>
  <si>
    <t xml:space="preserve">      40850 BUILDING REPAIR FUND</t>
  </si>
  <si>
    <t xml:space="preserve">   Total 40400 REPAIR/MAINTENANCE</t>
  </si>
  <si>
    <t xml:space="preserve">   40500 INSURANCE</t>
  </si>
  <si>
    <t xml:space="preserve">      40520 LIABILITY INSURANCE</t>
  </si>
  <si>
    <t xml:space="preserve">      40522 PROPERTY INSURANCE</t>
  </si>
  <si>
    <t xml:space="preserve">   Total 40500 INSURANCE</t>
  </si>
  <si>
    <t xml:space="preserve">   40600 OFFICE EXPENSE</t>
  </si>
  <si>
    <t xml:space="preserve">      40440 POSTAGE MACHINE RENTAL</t>
  </si>
  <si>
    <t xml:space="preserve">      40531 POSTAGE</t>
  </si>
  <si>
    <t xml:space="preserve">      40532 TELEPHONE</t>
  </si>
  <si>
    <t xml:space="preserve">      40550 PRINTING</t>
  </si>
  <si>
    <t xml:space="preserve">      40605 FOOD</t>
  </si>
  <si>
    <t xml:space="preserve">      40610 SUPPLIES</t>
  </si>
  <si>
    <t xml:space="preserve">      40615 JANITORIAL SUPPLIES</t>
  </si>
  <si>
    <t xml:space="preserve">   Total 40600 OFFICE EXPENSE</t>
  </si>
  <si>
    <t xml:space="preserve">   40700 PROGRAM EXPENSES</t>
  </si>
  <si>
    <t xml:space="preserve">      40320 EDUCATIONAL SERVICES</t>
  </si>
  <si>
    <t xml:space="preserve">      40339 REGISTRATION FEE</t>
  </si>
  <si>
    <t xml:space="preserve">      40580 TRAVEL</t>
  </si>
  <si>
    <t xml:space="preserve">      40640 BOOKS/PERIODICALS</t>
  </si>
  <si>
    <t xml:space="preserve">      40720 Interest on Loan</t>
  </si>
  <si>
    <t xml:space="preserve">   Total 40700 PROGRAM EXPENSES</t>
  </si>
  <si>
    <t xml:space="preserve">   40800 OTHER EXPENSES</t>
  </si>
  <si>
    <t xml:space="preserve">      40810 DUES AND FEES</t>
  </si>
  <si>
    <t xml:space="preserve">      40830 DISTRICT RECORD FEE</t>
  </si>
  <si>
    <t xml:space="preserve">      40899 OTHER MIISCELLANEOUS EXPENSES</t>
  </si>
  <si>
    <t xml:space="preserve">      40933 INDIRECT COSTS</t>
  </si>
  <si>
    <t xml:space="preserve">   Total 40800 OTHER EXPENSES</t>
  </si>
  <si>
    <t>Total Expenses</t>
  </si>
  <si>
    <t>Net Operating Income</t>
  </si>
  <si>
    <t>Net Income</t>
  </si>
  <si>
    <t>Northern Kentucky Cooperative For Educational Services</t>
  </si>
  <si>
    <t>Profit and Loss by Class</t>
  </si>
  <si>
    <t>July 2022 - February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</si>
</sst>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&quot;$&quot;* #,##0.00\ _€"/>
  </numFmts>
  <fonts count="6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100"/>
  <sheetViews>
    <sheetView tabSelected="1" workbookViewId="0">
      <pane xSplit="1" topLeftCell="B1" activePane="topRight" state="frozen"/>
      <selection pane="topRight" activeCell="A5" sqref="A5"/>
    </sheetView>
  </sheetViews>
  <sheetFormatPr defaultRowHeight="15" x14ac:dyDescent="0.25"/>
  <cols>
    <col min="1" max="1" width="37.85546875" customWidth="1"/>
    <col min="2" max="2" width="12" customWidth="1"/>
    <col min="3" max="3" width="7.7109375" customWidth="1"/>
    <col min="4" max="4" width="10.28515625" customWidth="1"/>
    <col min="5" max="5" width="11.140625" customWidth="1"/>
    <col min="6" max="6" width="10.28515625" customWidth="1"/>
    <col min="7" max="7" width="12" customWidth="1"/>
    <col min="8" max="8" width="8.5703125" customWidth="1"/>
    <col min="9" max="9" width="11.140625" customWidth="1"/>
    <col min="10" max="10" width="9.42578125" customWidth="1"/>
    <col min="11" max="11" width="11.140625" customWidth="1"/>
    <col min="12" max="12" width="9.42578125" customWidth="1"/>
    <col min="13" max="13" width="11.140625" customWidth="1"/>
    <col min="14" max="14" width="8.5703125" customWidth="1"/>
    <col min="15" max="15" width="11.140625" customWidth="1"/>
    <col min="16" max="16" width="9.42578125" customWidth="1"/>
    <col min="17" max="17" width="10.28515625" customWidth="1"/>
    <col min="18" max="18" width="11.7109375" customWidth="1"/>
    <col min="19" max="19" width="11.140625" customWidth="1"/>
    <col min="20" max="21" width="10.28515625" customWidth="1"/>
    <col min="22" max="22" width="11.140625" customWidth="1"/>
    <col min="23" max="24" width="10.28515625" customWidth="1"/>
    <col min="25" max="25" width="11.140625" customWidth="1"/>
    <col min="26" max="26" width="12" customWidth="1"/>
    <col min="27" max="28" width="8.5703125" customWidth="1"/>
    <col min="29" max="30" width="11.140625" customWidth="1"/>
    <col min="31" max="32" width="10.28515625" customWidth="1"/>
    <col min="33" max="33" width="7.7109375" customWidth="1"/>
    <col min="34" max="34" width="12" customWidth="1"/>
  </cols>
  <sheetData>
    <row r="1" spans="1:34" ht="18" x14ac:dyDescent="0.25">
      <c r="A1" s="10" t="s">
        <v>124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</row>
    <row r="2" spans="1:34" ht="18" x14ac:dyDescent="0.25">
      <c r="A2" s="10" t="s">
        <v>125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</row>
    <row r="3" spans="1:34" x14ac:dyDescent="0.25">
      <c r="A3" s="11" t="s">
        <v>126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</row>
    <row r="5" spans="1:34" ht="60.75" x14ac:dyDescent="0.25">
      <c r="A5" s="1"/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2" t="s">
        <v>11</v>
      </c>
      <c r="N5" s="2" t="s">
        <v>12</v>
      </c>
      <c r="O5" s="2" t="s">
        <v>13</v>
      </c>
      <c r="P5" s="2" t="s">
        <v>14</v>
      </c>
      <c r="Q5" s="2" t="s">
        <v>15</v>
      </c>
      <c r="R5" s="2" t="s">
        <v>16</v>
      </c>
      <c r="S5" s="2" t="s">
        <v>17</v>
      </c>
      <c r="T5" s="2" t="s">
        <v>18</v>
      </c>
      <c r="U5" s="2" t="s">
        <v>19</v>
      </c>
      <c r="V5" s="2" t="s">
        <v>20</v>
      </c>
      <c r="W5" s="2" t="s">
        <v>21</v>
      </c>
      <c r="X5" s="2" t="s">
        <v>22</v>
      </c>
      <c r="Y5" s="2" t="s">
        <v>23</v>
      </c>
      <c r="Z5" s="2" t="s">
        <v>24</v>
      </c>
      <c r="AA5" s="2" t="s">
        <v>25</v>
      </c>
      <c r="AB5" s="2" t="s">
        <v>26</v>
      </c>
      <c r="AC5" s="2" t="s">
        <v>27</v>
      </c>
      <c r="AD5" s="2" t="s">
        <v>28</v>
      </c>
      <c r="AE5" s="2" t="s">
        <v>29</v>
      </c>
      <c r="AF5" s="2" t="s">
        <v>30</v>
      </c>
      <c r="AG5" s="2" t="s">
        <v>31</v>
      </c>
      <c r="AH5" s="2" t="s">
        <v>32</v>
      </c>
    </row>
    <row r="6" spans="1:34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</row>
    <row r="7" spans="1:34" x14ac:dyDescent="0.25">
      <c r="A7" s="3" t="s">
        <v>34</v>
      </c>
      <c r="B7" s="4"/>
      <c r="C7" s="4"/>
      <c r="D7" s="4"/>
      <c r="E7" s="4"/>
      <c r="F7" s="4"/>
      <c r="G7" s="5">
        <f>7500</f>
        <v>7500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5">
        <f t="shared" ref="AH7:AH30" si="0">(((((((((((((((((((((((((((((((B7)+(C7))+(D7))+(E7))+(F7))+(G7))+(H7))+(I7))+(J7))+(K7))+(L7))+(M7))+(N7))+(O7))+(P7))+(Q7))+(R7))+(S7))+(T7))+(U7))+(V7))+(W7))+(X7))+(Y7))+(Z7))+(AA7))+(AB7))+(AC7))+(AD7))+(AE7))+(AF7))+(AG7)</f>
        <v>7500</v>
      </c>
    </row>
    <row r="8" spans="1:34" x14ac:dyDescent="0.25">
      <c r="A8" s="3" t="s">
        <v>35</v>
      </c>
      <c r="B8" s="5">
        <f>252924.07</f>
        <v>252924.07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5">
        <f>400</f>
        <v>400</v>
      </c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5">
        <f>0</f>
        <v>0</v>
      </c>
      <c r="AH8" s="5">
        <f t="shared" si="0"/>
        <v>253324.07</v>
      </c>
    </row>
    <row r="9" spans="1:34" x14ac:dyDescent="0.25">
      <c r="A9" s="3" t="s">
        <v>36</v>
      </c>
      <c r="B9" s="5">
        <f>42628.05</f>
        <v>42628.05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5">
        <f t="shared" si="0"/>
        <v>42628.05</v>
      </c>
    </row>
    <row r="10" spans="1:34" x14ac:dyDescent="0.25">
      <c r="A10" s="3" t="s">
        <v>37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5">
        <f>7600</f>
        <v>7600</v>
      </c>
      <c r="O10" s="5">
        <f>16775</f>
        <v>16775</v>
      </c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5">
        <f t="shared" si="0"/>
        <v>24375</v>
      </c>
    </row>
    <row r="11" spans="1:34" x14ac:dyDescent="0.25">
      <c r="A11" s="3" t="s">
        <v>38</v>
      </c>
      <c r="B11" s="5">
        <f>50000</f>
        <v>50000</v>
      </c>
      <c r="C11" s="4"/>
      <c r="D11" s="4"/>
      <c r="E11" s="4"/>
      <c r="F11" s="5">
        <f>25886.2</f>
        <v>25886.2</v>
      </c>
      <c r="G11" s="4"/>
      <c r="H11" s="4"/>
      <c r="I11" s="4"/>
      <c r="J11" s="4"/>
      <c r="K11" s="4"/>
      <c r="L11" s="4"/>
      <c r="M11" s="5">
        <f>45766.66</f>
        <v>45766.66</v>
      </c>
      <c r="N11" s="4"/>
      <c r="O11" s="4"/>
      <c r="P11" s="4"/>
      <c r="Q11" s="4"/>
      <c r="R11" s="5">
        <f>518363</f>
        <v>518363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5">
        <f>226410.85</f>
        <v>226410.85</v>
      </c>
      <c r="AG11" s="4"/>
      <c r="AH11" s="5">
        <f t="shared" si="0"/>
        <v>866426.71</v>
      </c>
    </row>
    <row r="12" spans="1:34" x14ac:dyDescent="0.25">
      <c r="A12" s="3" t="s">
        <v>39</v>
      </c>
      <c r="B12" s="5">
        <f>750</f>
        <v>750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5">
        <f>500</f>
        <v>500</v>
      </c>
      <c r="Z12" s="4"/>
      <c r="AA12" s="4"/>
      <c r="AB12" s="4"/>
      <c r="AC12" s="4"/>
      <c r="AD12" s="4"/>
      <c r="AE12" s="4"/>
      <c r="AF12" s="4"/>
      <c r="AG12" s="4"/>
      <c r="AH12" s="5">
        <f t="shared" si="0"/>
        <v>1250</v>
      </c>
    </row>
    <row r="13" spans="1:34" x14ac:dyDescent="0.25">
      <c r="A13" s="3" t="s">
        <v>40</v>
      </c>
      <c r="B13" s="5">
        <f>11257.45</f>
        <v>11257.45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5">
        <f t="shared" si="0"/>
        <v>11257.45</v>
      </c>
    </row>
    <row r="14" spans="1:34" x14ac:dyDescent="0.25">
      <c r="A14" s="3" t="s">
        <v>41</v>
      </c>
      <c r="B14" s="5">
        <f>55908.53</f>
        <v>55908.53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5">
        <f t="shared" si="0"/>
        <v>55908.53</v>
      </c>
    </row>
    <row r="15" spans="1:34" x14ac:dyDescent="0.25">
      <c r="A15" s="3" t="s">
        <v>42</v>
      </c>
      <c r="B15" s="5">
        <f>505865.82</f>
        <v>505865.82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5">
        <f>3661.32</f>
        <v>3661.32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5">
        <f t="shared" si="0"/>
        <v>509527.14</v>
      </c>
    </row>
    <row r="16" spans="1:34" x14ac:dyDescent="0.25">
      <c r="A16" s="3" t="s">
        <v>43</v>
      </c>
      <c r="B16" s="5">
        <f>54700</f>
        <v>54700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5">
        <f t="shared" si="0"/>
        <v>54700</v>
      </c>
    </row>
    <row r="17" spans="1:34" x14ac:dyDescent="0.25">
      <c r="A17" s="3" t="s">
        <v>44</v>
      </c>
      <c r="B17" s="5">
        <f>1824.96</f>
        <v>1824.96</v>
      </c>
      <c r="C17" s="5">
        <f>215</f>
        <v>215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5">
        <f t="shared" si="0"/>
        <v>2039.96</v>
      </c>
    </row>
    <row r="18" spans="1:34" x14ac:dyDescent="0.25">
      <c r="A18" s="3" t="s">
        <v>45</v>
      </c>
      <c r="B18" s="4"/>
      <c r="C18" s="4"/>
      <c r="D18" s="4"/>
      <c r="E18" s="4"/>
      <c r="F18" s="4"/>
      <c r="G18" s="5">
        <f>97757.98</f>
        <v>97757.98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5">
        <f t="shared" si="0"/>
        <v>97757.98</v>
      </c>
    </row>
    <row r="19" spans="1:34" x14ac:dyDescent="0.25">
      <c r="A19" s="3" t="s">
        <v>46</v>
      </c>
      <c r="B19" s="6">
        <f t="shared" ref="B19:AG19" si="1">(((((((((((B7)+(B8))+(B9))+(B10))+(B11))+(B12))+(B13))+(B14))+(B15))+(B16))+(B17))+(B18)</f>
        <v>975858.87999999989</v>
      </c>
      <c r="C19" s="6">
        <f t="shared" si="1"/>
        <v>215</v>
      </c>
      <c r="D19" s="6">
        <f t="shared" si="1"/>
        <v>0</v>
      </c>
      <c r="E19" s="6">
        <f t="shared" si="1"/>
        <v>0</v>
      </c>
      <c r="F19" s="6">
        <f t="shared" si="1"/>
        <v>25886.2</v>
      </c>
      <c r="G19" s="6">
        <f t="shared" si="1"/>
        <v>105257.98</v>
      </c>
      <c r="H19" s="6">
        <f t="shared" si="1"/>
        <v>0</v>
      </c>
      <c r="I19" s="6">
        <f t="shared" si="1"/>
        <v>0</v>
      </c>
      <c r="J19" s="6">
        <f t="shared" si="1"/>
        <v>0</v>
      </c>
      <c r="K19" s="6">
        <f t="shared" si="1"/>
        <v>0</v>
      </c>
      <c r="L19" s="6">
        <f t="shared" si="1"/>
        <v>0</v>
      </c>
      <c r="M19" s="6">
        <f t="shared" si="1"/>
        <v>49427.98</v>
      </c>
      <c r="N19" s="6">
        <f t="shared" si="1"/>
        <v>8000</v>
      </c>
      <c r="O19" s="6">
        <f t="shared" si="1"/>
        <v>16775</v>
      </c>
      <c r="P19" s="6">
        <f t="shared" si="1"/>
        <v>0</v>
      </c>
      <c r="Q19" s="6">
        <f t="shared" si="1"/>
        <v>0</v>
      </c>
      <c r="R19" s="6">
        <f t="shared" si="1"/>
        <v>518363</v>
      </c>
      <c r="S19" s="6">
        <f t="shared" si="1"/>
        <v>0</v>
      </c>
      <c r="T19" s="6">
        <f t="shared" si="1"/>
        <v>0</v>
      </c>
      <c r="U19" s="6">
        <f t="shared" si="1"/>
        <v>0</v>
      </c>
      <c r="V19" s="6">
        <f t="shared" si="1"/>
        <v>0</v>
      </c>
      <c r="W19" s="6">
        <f t="shared" si="1"/>
        <v>0</v>
      </c>
      <c r="X19" s="6">
        <f t="shared" si="1"/>
        <v>0</v>
      </c>
      <c r="Y19" s="6">
        <f t="shared" si="1"/>
        <v>500</v>
      </c>
      <c r="Z19" s="6">
        <f t="shared" si="1"/>
        <v>0</v>
      </c>
      <c r="AA19" s="6">
        <f t="shared" si="1"/>
        <v>0</v>
      </c>
      <c r="AB19" s="6">
        <f t="shared" si="1"/>
        <v>0</v>
      </c>
      <c r="AC19" s="6">
        <f t="shared" si="1"/>
        <v>0</v>
      </c>
      <c r="AD19" s="6">
        <f t="shared" si="1"/>
        <v>0</v>
      </c>
      <c r="AE19" s="6">
        <f t="shared" si="1"/>
        <v>0</v>
      </c>
      <c r="AF19" s="6">
        <f t="shared" si="1"/>
        <v>226410.85</v>
      </c>
      <c r="AG19" s="6">
        <f t="shared" si="1"/>
        <v>0</v>
      </c>
      <c r="AH19" s="6">
        <f t="shared" si="0"/>
        <v>1926694.89</v>
      </c>
    </row>
    <row r="20" spans="1:34" x14ac:dyDescent="0.25">
      <c r="A20" s="3" t="s">
        <v>47</v>
      </c>
      <c r="B20" s="4"/>
      <c r="C20" s="4"/>
      <c r="D20" s="4"/>
      <c r="E20" s="4"/>
      <c r="F20" s="4"/>
      <c r="G20" s="5">
        <f>1665483.78</f>
        <v>1665483.78</v>
      </c>
      <c r="H20" s="4"/>
      <c r="I20" s="4"/>
      <c r="J20" s="4"/>
      <c r="K20" s="4"/>
      <c r="L20" s="5">
        <f>90274.66</f>
        <v>90274.66</v>
      </c>
      <c r="M20" s="4"/>
      <c r="N20" s="4"/>
      <c r="O20" s="4"/>
      <c r="P20" s="5">
        <f>70559.5</f>
        <v>70559.5</v>
      </c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5">
        <f t="shared" si="0"/>
        <v>1826317.94</v>
      </c>
    </row>
    <row r="21" spans="1:34" x14ac:dyDescent="0.25">
      <c r="A21" s="3" t="s">
        <v>48</v>
      </c>
      <c r="B21" s="4"/>
      <c r="C21" s="4"/>
      <c r="D21" s="4"/>
      <c r="E21" s="4"/>
      <c r="F21" s="4"/>
      <c r="G21" s="5">
        <f>27093.14</f>
        <v>27093.14</v>
      </c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5">
        <f t="shared" si="0"/>
        <v>27093.14</v>
      </c>
    </row>
    <row r="22" spans="1:34" x14ac:dyDescent="0.25">
      <c r="A22" s="3" t="s">
        <v>49</v>
      </c>
      <c r="B22" s="6">
        <f t="shared" ref="B22:AG22" si="2">(B20)+(B21)</f>
        <v>0</v>
      </c>
      <c r="C22" s="6">
        <f t="shared" si="2"/>
        <v>0</v>
      </c>
      <c r="D22" s="6">
        <f t="shared" si="2"/>
        <v>0</v>
      </c>
      <c r="E22" s="6">
        <f t="shared" si="2"/>
        <v>0</v>
      </c>
      <c r="F22" s="6">
        <f t="shared" si="2"/>
        <v>0</v>
      </c>
      <c r="G22" s="6">
        <f t="shared" si="2"/>
        <v>1692576.92</v>
      </c>
      <c r="H22" s="6">
        <f t="shared" si="2"/>
        <v>0</v>
      </c>
      <c r="I22" s="6">
        <f t="shared" si="2"/>
        <v>0</v>
      </c>
      <c r="J22" s="6">
        <f t="shared" si="2"/>
        <v>0</v>
      </c>
      <c r="K22" s="6">
        <f t="shared" si="2"/>
        <v>0</v>
      </c>
      <c r="L22" s="6">
        <f t="shared" si="2"/>
        <v>90274.66</v>
      </c>
      <c r="M22" s="6">
        <f t="shared" si="2"/>
        <v>0</v>
      </c>
      <c r="N22" s="6">
        <f t="shared" si="2"/>
        <v>0</v>
      </c>
      <c r="O22" s="6">
        <f t="shared" si="2"/>
        <v>0</v>
      </c>
      <c r="P22" s="6">
        <f t="shared" si="2"/>
        <v>70559.5</v>
      </c>
      <c r="Q22" s="6">
        <f t="shared" si="2"/>
        <v>0</v>
      </c>
      <c r="R22" s="6">
        <f t="shared" si="2"/>
        <v>0</v>
      </c>
      <c r="S22" s="6">
        <f t="shared" si="2"/>
        <v>0</v>
      </c>
      <c r="T22" s="6">
        <f t="shared" si="2"/>
        <v>0</v>
      </c>
      <c r="U22" s="6">
        <f t="shared" si="2"/>
        <v>0</v>
      </c>
      <c r="V22" s="6">
        <f t="shared" si="2"/>
        <v>0</v>
      </c>
      <c r="W22" s="6">
        <f t="shared" si="2"/>
        <v>0</v>
      </c>
      <c r="X22" s="6">
        <f t="shared" si="2"/>
        <v>0</v>
      </c>
      <c r="Y22" s="6">
        <f t="shared" si="2"/>
        <v>0</v>
      </c>
      <c r="Z22" s="6">
        <f t="shared" si="2"/>
        <v>0</v>
      </c>
      <c r="AA22" s="6">
        <f t="shared" si="2"/>
        <v>0</v>
      </c>
      <c r="AB22" s="6">
        <f t="shared" si="2"/>
        <v>0</v>
      </c>
      <c r="AC22" s="6">
        <f t="shared" si="2"/>
        <v>0</v>
      </c>
      <c r="AD22" s="6">
        <f t="shared" si="2"/>
        <v>0</v>
      </c>
      <c r="AE22" s="6">
        <f t="shared" si="2"/>
        <v>0</v>
      </c>
      <c r="AF22" s="6">
        <f t="shared" si="2"/>
        <v>0</v>
      </c>
      <c r="AG22" s="6">
        <f t="shared" si="2"/>
        <v>0</v>
      </c>
      <c r="AH22" s="6">
        <f t="shared" si="0"/>
        <v>1853411.0799999998</v>
      </c>
    </row>
    <row r="23" spans="1:34" x14ac:dyDescent="0.25">
      <c r="A23" s="3" t="s">
        <v>50</v>
      </c>
      <c r="B23" s="5">
        <f>52920</f>
        <v>52920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5">
        <f t="shared" si="0"/>
        <v>52920</v>
      </c>
    </row>
    <row r="24" spans="1:34" x14ac:dyDescent="0.25">
      <c r="A24" s="3" t="s">
        <v>51</v>
      </c>
      <c r="B24" s="5">
        <f>28956.6</f>
        <v>28956.6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5">
        <f t="shared" si="0"/>
        <v>28956.6</v>
      </c>
    </row>
    <row r="25" spans="1:34" x14ac:dyDescent="0.25">
      <c r="A25" s="3" t="s">
        <v>52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5">
        <f>-133705</f>
        <v>-133705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5">
        <f t="shared" si="0"/>
        <v>-133705</v>
      </c>
    </row>
    <row r="26" spans="1:34" x14ac:dyDescent="0.25">
      <c r="A26" s="3" t="s">
        <v>53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5">
        <f>639278.22</f>
        <v>639278.22</v>
      </c>
      <c r="R26" s="4"/>
      <c r="S26" s="4"/>
      <c r="T26" s="5">
        <f>492804.01</f>
        <v>492804.01</v>
      </c>
      <c r="U26" s="4"/>
      <c r="V26" s="5">
        <f>43496</f>
        <v>43496</v>
      </c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5">
        <f t="shared" si="0"/>
        <v>1175578.23</v>
      </c>
    </row>
    <row r="27" spans="1:34" x14ac:dyDescent="0.25">
      <c r="A27" s="3" t="s">
        <v>54</v>
      </c>
      <c r="B27" s="4"/>
      <c r="C27" s="4"/>
      <c r="D27" s="4"/>
      <c r="E27" s="5">
        <f>288200.53</f>
        <v>288200.53000000003</v>
      </c>
      <c r="F27" s="4"/>
      <c r="G27" s="4"/>
      <c r="H27" s="5">
        <f>7528.17</f>
        <v>7528.17</v>
      </c>
      <c r="I27" s="5">
        <f>18733.95</f>
        <v>18733.95</v>
      </c>
      <c r="J27" s="5">
        <f>50000</f>
        <v>50000</v>
      </c>
      <c r="K27" s="5">
        <f>130815.96</f>
        <v>130815.96</v>
      </c>
      <c r="L27" s="4"/>
      <c r="M27" s="4"/>
      <c r="N27" s="4"/>
      <c r="O27" s="4"/>
      <c r="P27" s="4"/>
      <c r="Q27" s="4"/>
      <c r="R27" s="4"/>
      <c r="S27" s="5">
        <f>640766.12</f>
        <v>640766.12</v>
      </c>
      <c r="T27" s="4"/>
      <c r="U27" s="5">
        <f>259978.96</f>
        <v>259978.96</v>
      </c>
      <c r="V27" s="4"/>
      <c r="W27" s="5">
        <f>296862.41</f>
        <v>296862.40999999997</v>
      </c>
      <c r="X27" s="5">
        <f>424822</f>
        <v>424822</v>
      </c>
      <c r="Y27" s="5">
        <f>187615.86</f>
        <v>187615.86</v>
      </c>
      <c r="Z27" s="5">
        <f>230274.85</f>
        <v>230274.85</v>
      </c>
      <c r="AA27" s="5">
        <f>6590</f>
        <v>6590</v>
      </c>
      <c r="AB27" s="5">
        <f>7534</f>
        <v>7534</v>
      </c>
      <c r="AC27" s="4"/>
      <c r="AD27" s="4"/>
      <c r="AE27" s="4"/>
      <c r="AF27" s="4"/>
      <c r="AG27" s="4"/>
      <c r="AH27" s="5">
        <f t="shared" si="0"/>
        <v>2549722.8099999996</v>
      </c>
    </row>
    <row r="28" spans="1:34" x14ac:dyDescent="0.25">
      <c r="A28" s="3" t="s">
        <v>55</v>
      </c>
      <c r="B28" s="6">
        <f t="shared" ref="B28:AG28" si="3">((B25)+(B26))+(B27)</f>
        <v>0</v>
      </c>
      <c r="C28" s="6">
        <f t="shared" si="3"/>
        <v>0</v>
      </c>
      <c r="D28" s="6">
        <f t="shared" si="3"/>
        <v>0</v>
      </c>
      <c r="E28" s="6">
        <f t="shared" si="3"/>
        <v>288200.53000000003</v>
      </c>
      <c r="F28" s="6">
        <f t="shared" si="3"/>
        <v>0</v>
      </c>
      <c r="G28" s="6">
        <f t="shared" si="3"/>
        <v>0</v>
      </c>
      <c r="H28" s="6">
        <f t="shared" si="3"/>
        <v>7528.17</v>
      </c>
      <c r="I28" s="6">
        <f t="shared" si="3"/>
        <v>18733.95</v>
      </c>
      <c r="J28" s="6">
        <f t="shared" si="3"/>
        <v>50000</v>
      </c>
      <c r="K28" s="6">
        <f t="shared" si="3"/>
        <v>130815.96</v>
      </c>
      <c r="L28" s="6">
        <f t="shared" si="3"/>
        <v>0</v>
      </c>
      <c r="M28" s="6">
        <f t="shared" si="3"/>
        <v>0</v>
      </c>
      <c r="N28" s="6">
        <f t="shared" si="3"/>
        <v>0</v>
      </c>
      <c r="O28" s="6">
        <f t="shared" si="3"/>
        <v>0</v>
      </c>
      <c r="P28" s="6">
        <f t="shared" si="3"/>
        <v>0</v>
      </c>
      <c r="Q28" s="6">
        <f t="shared" si="3"/>
        <v>639278.22</v>
      </c>
      <c r="R28" s="6">
        <f t="shared" si="3"/>
        <v>-133705</v>
      </c>
      <c r="S28" s="6">
        <f t="shared" si="3"/>
        <v>640766.12</v>
      </c>
      <c r="T28" s="6">
        <f t="shared" si="3"/>
        <v>492804.01</v>
      </c>
      <c r="U28" s="6">
        <f t="shared" si="3"/>
        <v>259978.96</v>
      </c>
      <c r="V28" s="6">
        <f t="shared" si="3"/>
        <v>43496</v>
      </c>
      <c r="W28" s="6">
        <f t="shared" si="3"/>
        <v>296862.40999999997</v>
      </c>
      <c r="X28" s="6">
        <f t="shared" si="3"/>
        <v>424822</v>
      </c>
      <c r="Y28" s="6">
        <f t="shared" si="3"/>
        <v>187615.86</v>
      </c>
      <c r="Z28" s="6">
        <f t="shared" si="3"/>
        <v>230274.85</v>
      </c>
      <c r="AA28" s="6">
        <f t="shared" si="3"/>
        <v>6590</v>
      </c>
      <c r="AB28" s="6">
        <f t="shared" si="3"/>
        <v>7534</v>
      </c>
      <c r="AC28" s="6">
        <f t="shared" si="3"/>
        <v>0</v>
      </c>
      <c r="AD28" s="6">
        <f t="shared" si="3"/>
        <v>0</v>
      </c>
      <c r="AE28" s="6">
        <f t="shared" si="3"/>
        <v>0</v>
      </c>
      <c r="AF28" s="6">
        <f t="shared" si="3"/>
        <v>0</v>
      </c>
      <c r="AG28" s="6">
        <f t="shared" si="3"/>
        <v>0</v>
      </c>
      <c r="AH28" s="6">
        <f t="shared" si="0"/>
        <v>3591596.04</v>
      </c>
    </row>
    <row r="29" spans="1:34" x14ac:dyDescent="0.25">
      <c r="A29" s="3" t="s">
        <v>56</v>
      </c>
      <c r="B29" s="6">
        <f t="shared" ref="B29:AG29" si="4">((((B19)+(B22))+(B23))+(B24))+(B28)</f>
        <v>1057735.48</v>
      </c>
      <c r="C29" s="6">
        <f t="shared" si="4"/>
        <v>215</v>
      </c>
      <c r="D29" s="6">
        <f t="shared" si="4"/>
        <v>0</v>
      </c>
      <c r="E29" s="6">
        <f t="shared" si="4"/>
        <v>288200.53000000003</v>
      </c>
      <c r="F29" s="6">
        <f t="shared" si="4"/>
        <v>25886.2</v>
      </c>
      <c r="G29" s="6">
        <f t="shared" si="4"/>
        <v>1797834.9</v>
      </c>
      <c r="H29" s="6">
        <f t="shared" si="4"/>
        <v>7528.17</v>
      </c>
      <c r="I29" s="6">
        <f t="shared" si="4"/>
        <v>18733.95</v>
      </c>
      <c r="J29" s="6">
        <f t="shared" si="4"/>
        <v>50000</v>
      </c>
      <c r="K29" s="6">
        <f t="shared" si="4"/>
        <v>130815.96</v>
      </c>
      <c r="L29" s="6">
        <f t="shared" si="4"/>
        <v>90274.66</v>
      </c>
      <c r="M29" s="6">
        <f t="shared" si="4"/>
        <v>49427.98</v>
      </c>
      <c r="N29" s="6">
        <f t="shared" si="4"/>
        <v>8000</v>
      </c>
      <c r="O29" s="6">
        <f t="shared" si="4"/>
        <v>16775</v>
      </c>
      <c r="P29" s="6">
        <f t="shared" si="4"/>
        <v>70559.5</v>
      </c>
      <c r="Q29" s="6">
        <f t="shared" si="4"/>
        <v>639278.22</v>
      </c>
      <c r="R29" s="6">
        <f t="shared" si="4"/>
        <v>384658</v>
      </c>
      <c r="S29" s="6">
        <f t="shared" si="4"/>
        <v>640766.12</v>
      </c>
      <c r="T29" s="6">
        <f t="shared" si="4"/>
        <v>492804.01</v>
      </c>
      <c r="U29" s="6">
        <f t="shared" si="4"/>
        <v>259978.96</v>
      </c>
      <c r="V29" s="6">
        <f t="shared" si="4"/>
        <v>43496</v>
      </c>
      <c r="W29" s="6">
        <f t="shared" si="4"/>
        <v>296862.40999999997</v>
      </c>
      <c r="X29" s="6">
        <f t="shared" si="4"/>
        <v>424822</v>
      </c>
      <c r="Y29" s="6">
        <f t="shared" si="4"/>
        <v>188115.86</v>
      </c>
      <c r="Z29" s="6">
        <f t="shared" si="4"/>
        <v>230274.85</v>
      </c>
      <c r="AA29" s="6">
        <f t="shared" si="4"/>
        <v>6590</v>
      </c>
      <c r="AB29" s="6">
        <f t="shared" si="4"/>
        <v>7534</v>
      </c>
      <c r="AC29" s="6">
        <f t="shared" si="4"/>
        <v>0</v>
      </c>
      <c r="AD29" s="6">
        <f t="shared" si="4"/>
        <v>0</v>
      </c>
      <c r="AE29" s="6">
        <f t="shared" si="4"/>
        <v>0</v>
      </c>
      <c r="AF29" s="6">
        <f t="shared" si="4"/>
        <v>226410.85</v>
      </c>
      <c r="AG29" s="6">
        <f t="shared" si="4"/>
        <v>0</v>
      </c>
      <c r="AH29" s="6">
        <f t="shared" si="0"/>
        <v>7453578.6099999994</v>
      </c>
    </row>
    <row r="30" spans="1:34" x14ac:dyDescent="0.25">
      <c r="A30" s="3" t="s">
        <v>57</v>
      </c>
      <c r="B30" s="6">
        <f t="shared" ref="B30:AG30" si="5">(B29)-(0)</f>
        <v>1057735.48</v>
      </c>
      <c r="C30" s="6">
        <f t="shared" si="5"/>
        <v>215</v>
      </c>
      <c r="D30" s="6">
        <f t="shared" si="5"/>
        <v>0</v>
      </c>
      <c r="E30" s="6">
        <f t="shared" si="5"/>
        <v>288200.53000000003</v>
      </c>
      <c r="F30" s="6">
        <f t="shared" si="5"/>
        <v>25886.2</v>
      </c>
      <c r="G30" s="6">
        <f t="shared" si="5"/>
        <v>1797834.9</v>
      </c>
      <c r="H30" s="6">
        <f t="shared" si="5"/>
        <v>7528.17</v>
      </c>
      <c r="I30" s="6">
        <f t="shared" si="5"/>
        <v>18733.95</v>
      </c>
      <c r="J30" s="6">
        <f t="shared" si="5"/>
        <v>50000</v>
      </c>
      <c r="K30" s="6">
        <f t="shared" si="5"/>
        <v>130815.96</v>
      </c>
      <c r="L30" s="6">
        <f t="shared" si="5"/>
        <v>90274.66</v>
      </c>
      <c r="M30" s="6">
        <f t="shared" si="5"/>
        <v>49427.98</v>
      </c>
      <c r="N30" s="6">
        <f t="shared" si="5"/>
        <v>8000</v>
      </c>
      <c r="O30" s="6">
        <f t="shared" si="5"/>
        <v>16775</v>
      </c>
      <c r="P30" s="6">
        <f t="shared" si="5"/>
        <v>70559.5</v>
      </c>
      <c r="Q30" s="6">
        <f t="shared" si="5"/>
        <v>639278.22</v>
      </c>
      <c r="R30" s="6">
        <f t="shared" si="5"/>
        <v>384658</v>
      </c>
      <c r="S30" s="6">
        <f t="shared" si="5"/>
        <v>640766.12</v>
      </c>
      <c r="T30" s="6">
        <f t="shared" si="5"/>
        <v>492804.01</v>
      </c>
      <c r="U30" s="6">
        <f t="shared" si="5"/>
        <v>259978.96</v>
      </c>
      <c r="V30" s="6">
        <f t="shared" si="5"/>
        <v>43496</v>
      </c>
      <c r="W30" s="6">
        <f t="shared" si="5"/>
        <v>296862.40999999997</v>
      </c>
      <c r="X30" s="6">
        <f t="shared" si="5"/>
        <v>424822</v>
      </c>
      <c r="Y30" s="6">
        <f t="shared" si="5"/>
        <v>188115.86</v>
      </c>
      <c r="Z30" s="6">
        <f t="shared" si="5"/>
        <v>230274.85</v>
      </c>
      <c r="AA30" s="6">
        <f t="shared" si="5"/>
        <v>6590</v>
      </c>
      <c r="AB30" s="6">
        <f t="shared" si="5"/>
        <v>7534</v>
      </c>
      <c r="AC30" s="6">
        <f t="shared" si="5"/>
        <v>0</v>
      </c>
      <c r="AD30" s="6">
        <f t="shared" si="5"/>
        <v>0</v>
      </c>
      <c r="AE30" s="6">
        <f t="shared" si="5"/>
        <v>0</v>
      </c>
      <c r="AF30" s="6">
        <f t="shared" si="5"/>
        <v>226410.85</v>
      </c>
      <c r="AG30" s="6">
        <f t="shared" si="5"/>
        <v>0</v>
      </c>
      <c r="AH30" s="6">
        <f t="shared" si="0"/>
        <v>7453578.6099999994</v>
      </c>
    </row>
    <row r="31" spans="1:34" x14ac:dyDescent="0.25">
      <c r="A31" s="3" t="s">
        <v>58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</row>
    <row r="32" spans="1:34" x14ac:dyDescent="0.25">
      <c r="A32" s="3" t="s">
        <v>59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5">
        <f t="shared" ref="AH32:AH63" si="6">(((((((((((((((((((((((((((((((B32)+(C32))+(D32))+(E32))+(F32))+(G32))+(H32))+(I32))+(J32))+(K32))+(L32))+(M32))+(N32))+(O32))+(P32))+(Q32))+(R32))+(S32))+(T32))+(U32))+(V32))+(W32))+(X32))+(Y32))+(Z32))+(AA32))+(AB32))+(AC32))+(AD32))+(AE32))+(AF32))+(AG32)</f>
        <v>0</v>
      </c>
    </row>
    <row r="33" spans="1:34" x14ac:dyDescent="0.25">
      <c r="A33" s="3" t="s">
        <v>60</v>
      </c>
      <c r="B33" s="5">
        <f>171804.35</f>
        <v>171804.35</v>
      </c>
      <c r="C33" s="4"/>
      <c r="D33" s="4"/>
      <c r="E33" s="5">
        <f>227672.11</f>
        <v>227672.11</v>
      </c>
      <c r="F33" s="4"/>
      <c r="G33" s="5">
        <f>520874.16</f>
        <v>520874.16</v>
      </c>
      <c r="H33" s="5">
        <f>5121.44</f>
        <v>5121.4399999999996</v>
      </c>
      <c r="I33" s="5">
        <f>52183.84</f>
        <v>52183.839999999997</v>
      </c>
      <c r="J33" s="4"/>
      <c r="K33" s="5">
        <f>60465.04</f>
        <v>60465.04</v>
      </c>
      <c r="L33" s="5">
        <f>66521.1</f>
        <v>66521.100000000006</v>
      </c>
      <c r="M33" s="4"/>
      <c r="N33" s="5">
        <f>1203.93</f>
        <v>1203.93</v>
      </c>
      <c r="O33" s="5">
        <f>-887.11</f>
        <v>-887.11</v>
      </c>
      <c r="P33" s="5">
        <f>35647.04</f>
        <v>35647.040000000001</v>
      </c>
      <c r="Q33" s="5">
        <f>392498.12</f>
        <v>392498.12</v>
      </c>
      <c r="R33" s="5">
        <f>65640</f>
        <v>65640</v>
      </c>
      <c r="S33" s="5">
        <f>114840.68</f>
        <v>114840.68</v>
      </c>
      <c r="T33" s="4"/>
      <c r="U33" s="5">
        <f>63734.65</f>
        <v>63734.65</v>
      </c>
      <c r="V33" s="4"/>
      <c r="W33" s="5">
        <f>136876.84</f>
        <v>136876.84</v>
      </c>
      <c r="X33" s="5">
        <f>229627.71</f>
        <v>229627.71</v>
      </c>
      <c r="Y33" s="5">
        <f>121203</f>
        <v>121203</v>
      </c>
      <c r="Z33" s="5">
        <f>192211.08</f>
        <v>192211.08</v>
      </c>
      <c r="AA33" s="5">
        <f>2410.4</f>
        <v>2410.4</v>
      </c>
      <c r="AB33" s="5">
        <f>3812.02</f>
        <v>3812.02</v>
      </c>
      <c r="AC33" s="5">
        <f>14512.81</f>
        <v>14512.81</v>
      </c>
      <c r="AD33" s="4"/>
      <c r="AE33" s="4"/>
      <c r="AF33" s="5">
        <f>25404.42</f>
        <v>25404.42</v>
      </c>
      <c r="AG33" s="4"/>
      <c r="AH33" s="5">
        <f t="shared" si="6"/>
        <v>2503377.6299999994</v>
      </c>
    </row>
    <row r="34" spans="1:34" x14ac:dyDescent="0.25">
      <c r="A34" s="3" t="s">
        <v>61</v>
      </c>
      <c r="B34" s="5">
        <f>171678.31</f>
        <v>171678.31</v>
      </c>
      <c r="C34" s="4"/>
      <c r="D34" s="4"/>
      <c r="E34" s="4"/>
      <c r="F34" s="5">
        <f>30750.08</f>
        <v>30750.080000000002</v>
      </c>
      <c r="G34" s="5">
        <f>131606.19</f>
        <v>131606.19</v>
      </c>
      <c r="H34" s="4"/>
      <c r="I34" s="4"/>
      <c r="J34" s="4"/>
      <c r="K34" s="4"/>
      <c r="L34" s="4"/>
      <c r="M34" s="5">
        <f>49064.28</f>
        <v>49064.28</v>
      </c>
      <c r="N34" s="4"/>
      <c r="O34" s="4"/>
      <c r="P34" s="4"/>
      <c r="Q34" s="5">
        <f>25418.72</f>
        <v>25418.720000000001</v>
      </c>
      <c r="R34" s="4"/>
      <c r="S34" s="5">
        <f>20451.78</f>
        <v>20451.78</v>
      </c>
      <c r="T34" s="5">
        <f>326481.35</f>
        <v>326481.34999999998</v>
      </c>
      <c r="U34" s="4"/>
      <c r="V34" s="5">
        <f>40000</f>
        <v>40000</v>
      </c>
      <c r="W34" s="5">
        <f>14322.48</f>
        <v>14322.48</v>
      </c>
      <c r="X34" s="5">
        <f>23563.33</f>
        <v>23563.33</v>
      </c>
      <c r="Y34" s="4"/>
      <c r="Z34" s="4"/>
      <c r="AA34" s="4"/>
      <c r="AB34" s="4"/>
      <c r="AC34" s="4"/>
      <c r="AD34" s="4"/>
      <c r="AE34" s="4"/>
      <c r="AF34" s="4"/>
      <c r="AG34" s="4"/>
      <c r="AH34" s="5">
        <f t="shared" si="6"/>
        <v>833336.5199999999</v>
      </c>
    </row>
    <row r="35" spans="1:34" x14ac:dyDescent="0.25">
      <c r="A35" s="3" t="s">
        <v>62</v>
      </c>
      <c r="B35" s="6">
        <f t="shared" ref="B35:AG35" si="7">((B32)+(B33))+(B34)</f>
        <v>343482.66000000003</v>
      </c>
      <c r="C35" s="6">
        <f t="shared" si="7"/>
        <v>0</v>
      </c>
      <c r="D35" s="6">
        <f t="shared" si="7"/>
        <v>0</v>
      </c>
      <c r="E35" s="6">
        <f t="shared" si="7"/>
        <v>227672.11</v>
      </c>
      <c r="F35" s="6">
        <f t="shared" si="7"/>
        <v>30750.080000000002</v>
      </c>
      <c r="G35" s="6">
        <f t="shared" si="7"/>
        <v>652480.35</v>
      </c>
      <c r="H35" s="6">
        <f t="shared" si="7"/>
        <v>5121.4399999999996</v>
      </c>
      <c r="I35" s="6">
        <f t="shared" si="7"/>
        <v>52183.839999999997</v>
      </c>
      <c r="J35" s="6">
        <f t="shared" si="7"/>
        <v>0</v>
      </c>
      <c r="K35" s="6">
        <f t="shared" si="7"/>
        <v>60465.04</v>
      </c>
      <c r="L35" s="6">
        <f t="shared" si="7"/>
        <v>66521.100000000006</v>
      </c>
      <c r="M35" s="6">
        <f t="shared" si="7"/>
        <v>49064.28</v>
      </c>
      <c r="N35" s="6">
        <f t="shared" si="7"/>
        <v>1203.93</v>
      </c>
      <c r="O35" s="6">
        <f t="shared" si="7"/>
        <v>-887.11</v>
      </c>
      <c r="P35" s="6">
        <f t="shared" si="7"/>
        <v>35647.040000000001</v>
      </c>
      <c r="Q35" s="6">
        <f t="shared" si="7"/>
        <v>417916.83999999997</v>
      </c>
      <c r="R35" s="6">
        <f t="shared" si="7"/>
        <v>65640</v>
      </c>
      <c r="S35" s="6">
        <f t="shared" si="7"/>
        <v>135292.46</v>
      </c>
      <c r="T35" s="6">
        <f t="shared" si="7"/>
        <v>326481.34999999998</v>
      </c>
      <c r="U35" s="6">
        <f t="shared" si="7"/>
        <v>63734.65</v>
      </c>
      <c r="V35" s="6">
        <f t="shared" si="7"/>
        <v>40000</v>
      </c>
      <c r="W35" s="6">
        <f t="shared" si="7"/>
        <v>151199.32</v>
      </c>
      <c r="X35" s="6">
        <f t="shared" si="7"/>
        <v>253191.03999999998</v>
      </c>
      <c r="Y35" s="6">
        <f t="shared" si="7"/>
        <v>121203</v>
      </c>
      <c r="Z35" s="6">
        <f t="shared" si="7"/>
        <v>192211.08</v>
      </c>
      <c r="AA35" s="6">
        <f t="shared" si="7"/>
        <v>2410.4</v>
      </c>
      <c r="AB35" s="6">
        <f t="shared" si="7"/>
        <v>3812.02</v>
      </c>
      <c r="AC35" s="6">
        <f t="shared" si="7"/>
        <v>14512.81</v>
      </c>
      <c r="AD35" s="6">
        <f t="shared" si="7"/>
        <v>0</v>
      </c>
      <c r="AE35" s="6">
        <f t="shared" si="7"/>
        <v>0</v>
      </c>
      <c r="AF35" s="6">
        <f t="shared" si="7"/>
        <v>25404.42</v>
      </c>
      <c r="AG35" s="6">
        <f t="shared" si="7"/>
        <v>0</v>
      </c>
      <c r="AH35" s="6">
        <f t="shared" si="6"/>
        <v>3336714.15</v>
      </c>
    </row>
    <row r="36" spans="1:34" x14ac:dyDescent="0.25">
      <c r="A36" s="3" t="s">
        <v>63</v>
      </c>
      <c r="B36" s="5">
        <f>0</f>
        <v>0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5">
        <f>0</f>
        <v>0</v>
      </c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5">
        <f t="shared" si="6"/>
        <v>0</v>
      </c>
    </row>
    <row r="37" spans="1:34" x14ac:dyDescent="0.25">
      <c r="A37" s="3" t="s">
        <v>64</v>
      </c>
      <c r="B37" s="4"/>
      <c r="C37" s="4"/>
      <c r="D37" s="4"/>
      <c r="E37" s="5">
        <f>167.13</f>
        <v>167.13</v>
      </c>
      <c r="F37" s="4"/>
      <c r="G37" s="4"/>
      <c r="H37" s="5">
        <f>0.69</f>
        <v>0.69</v>
      </c>
      <c r="I37" s="5">
        <f>7.31</f>
        <v>7.31</v>
      </c>
      <c r="J37" s="4"/>
      <c r="K37" s="5">
        <f>8.56</f>
        <v>8.56</v>
      </c>
      <c r="L37" s="4"/>
      <c r="M37" s="4"/>
      <c r="N37" s="5">
        <f>0.19</f>
        <v>0.19</v>
      </c>
      <c r="O37" s="5">
        <f>-134.41</f>
        <v>-134.41</v>
      </c>
      <c r="P37" s="4"/>
      <c r="Q37" s="4"/>
      <c r="R37" s="4"/>
      <c r="S37" s="5">
        <f>7.2</f>
        <v>7.2</v>
      </c>
      <c r="T37" s="4"/>
      <c r="U37" s="5">
        <f>14</f>
        <v>14</v>
      </c>
      <c r="V37" s="4"/>
      <c r="W37" s="5">
        <f>19.71</f>
        <v>19.71</v>
      </c>
      <c r="X37" s="5">
        <f>36.42</f>
        <v>36.42</v>
      </c>
      <c r="Y37" s="5">
        <f>12.92</f>
        <v>12.92</v>
      </c>
      <c r="Z37" s="5">
        <f>21.04</f>
        <v>21.04</v>
      </c>
      <c r="AA37" s="5">
        <f>1</f>
        <v>1</v>
      </c>
      <c r="AB37" s="5">
        <f>0</f>
        <v>0</v>
      </c>
      <c r="AC37" s="5">
        <f>1.2</f>
        <v>1.2</v>
      </c>
      <c r="AD37" s="4"/>
      <c r="AE37" s="4"/>
      <c r="AF37" s="5">
        <f>3.72</f>
        <v>3.72</v>
      </c>
      <c r="AG37" s="4"/>
      <c r="AH37" s="5">
        <f t="shared" si="6"/>
        <v>166.67999999999998</v>
      </c>
    </row>
    <row r="38" spans="1:34" x14ac:dyDescent="0.25">
      <c r="A38" s="3" t="s">
        <v>65</v>
      </c>
      <c r="B38" s="5">
        <f>9753.35</f>
        <v>9753.35</v>
      </c>
      <c r="C38" s="4"/>
      <c r="D38" s="4"/>
      <c r="E38" s="4"/>
      <c r="F38" s="5">
        <f>1713.94</f>
        <v>1713.94</v>
      </c>
      <c r="G38" s="5">
        <f>7220.16</f>
        <v>7220.16</v>
      </c>
      <c r="H38" s="4"/>
      <c r="I38" s="4"/>
      <c r="J38" s="4"/>
      <c r="K38" s="4"/>
      <c r="L38" s="4"/>
      <c r="M38" s="5">
        <f>2864.33</f>
        <v>2864.33</v>
      </c>
      <c r="N38" s="4"/>
      <c r="O38" s="4"/>
      <c r="P38" s="4"/>
      <c r="Q38" s="5">
        <f>1499.52</f>
        <v>1499.52</v>
      </c>
      <c r="R38" s="4"/>
      <c r="S38" s="5">
        <f>1257.48</f>
        <v>1257.48</v>
      </c>
      <c r="T38" s="5">
        <f>19427.07</f>
        <v>19427.07</v>
      </c>
      <c r="U38" s="4"/>
      <c r="V38" s="5">
        <f>2413.79</f>
        <v>2413.79</v>
      </c>
      <c r="W38" s="5">
        <f>879.92</f>
        <v>879.92</v>
      </c>
      <c r="X38" s="5">
        <f>1447.19</f>
        <v>1447.19</v>
      </c>
      <c r="Y38" s="4"/>
      <c r="Z38" s="4"/>
      <c r="AA38" s="4"/>
      <c r="AB38" s="4"/>
      <c r="AC38" s="4"/>
      <c r="AD38" s="4"/>
      <c r="AE38" s="4"/>
      <c r="AF38" s="4"/>
      <c r="AG38" s="4"/>
      <c r="AH38" s="5">
        <f t="shared" si="6"/>
        <v>48476.75</v>
      </c>
    </row>
    <row r="39" spans="1:34" x14ac:dyDescent="0.25">
      <c r="A39" s="3" t="s">
        <v>66</v>
      </c>
      <c r="B39" s="5">
        <f>4714.84</f>
        <v>4714.84</v>
      </c>
      <c r="C39" s="4"/>
      <c r="D39" s="4"/>
      <c r="E39" s="5">
        <f>3214.39</f>
        <v>3214.39</v>
      </c>
      <c r="F39" s="5">
        <f>400.83</f>
        <v>400.83</v>
      </c>
      <c r="G39" s="5">
        <f>8931.12</f>
        <v>8931.1200000000008</v>
      </c>
      <c r="H39" s="5">
        <f>71.66</f>
        <v>71.66</v>
      </c>
      <c r="I39" s="5">
        <f>725.29</f>
        <v>725.29</v>
      </c>
      <c r="J39" s="4"/>
      <c r="K39" s="5">
        <f>542.52</f>
        <v>542.52</v>
      </c>
      <c r="L39" s="5">
        <f>864.51</f>
        <v>864.51</v>
      </c>
      <c r="M39" s="5">
        <f>669.92</f>
        <v>669.92</v>
      </c>
      <c r="N39" s="5">
        <f>17.46</f>
        <v>17.46</v>
      </c>
      <c r="O39" s="5">
        <f>-12.82</f>
        <v>-12.82</v>
      </c>
      <c r="P39" s="5">
        <f>510.66</f>
        <v>510.66</v>
      </c>
      <c r="Q39" s="5">
        <f>4331.01</f>
        <v>4331.01</v>
      </c>
      <c r="R39" s="5">
        <f>499.97</f>
        <v>499.97</v>
      </c>
      <c r="S39" s="5">
        <f>1900.21</f>
        <v>1900.21</v>
      </c>
      <c r="T39" s="5">
        <f>4543.53</f>
        <v>4543.53</v>
      </c>
      <c r="U39" s="5">
        <f>901.59</f>
        <v>901.59</v>
      </c>
      <c r="V39" s="5">
        <f>564.53</f>
        <v>564.53</v>
      </c>
      <c r="W39" s="5">
        <f>2109.15</f>
        <v>2109.15</v>
      </c>
      <c r="X39" s="5">
        <f>3527.61</f>
        <v>3527.61</v>
      </c>
      <c r="Y39" s="5">
        <f>1532.87</f>
        <v>1532.87</v>
      </c>
      <c r="Z39" s="5">
        <f>2613.45</f>
        <v>2613.4499999999998</v>
      </c>
      <c r="AA39" s="5">
        <f>32.96</f>
        <v>32.96</v>
      </c>
      <c r="AB39" s="5">
        <f>50.61</f>
        <v>50.61</v>
      </c>
      <c r="AC39" s="5">
        <f>207.68</f>
        <v>207.68</v>
      </c>
      <c r="AD39" s="4"/>
      <c r="AE39" s="4"/>
      <c r="AF39" s="5">
        <f>343.86</f>
        <v>343.86</v>
      </c>
      <c r="AG39" s="4"/>
      <c r="AH39" s="5">
        <f t="shared" si="6"/>
        <v>43809.409999999996</v>
      </c>
    </row>
    <row r="40" spans="1:34" x14ac:dyDescent="0.25">
      <c r="A40" s="3" t="s">
        <v>67</v>
      </c>
      <c r="B40" s="5">
        <f>8546.84</f>
        <v>8546.84</v>
      </c>
      <c r="C40" s="4"/>
      <c r="D40" s="4"/>
      <c r="E40" s="5">
        <f>37309.36</f>
        <v>37309.360000000001</v>
      </c>
      <c r="F40" s="4"/>
      <c r="G40" s="5">
        <f>15821</f>
        <v>15821</v>
      </c>
      <c r="H40" s="5">
        <f>845.42</f>
        <v>845.42</v>
      </c>
      <c r="I40" s="5">
        <f>8956.66</f>
        <v>8956.66</v>
      </c>
      <c r="J40" s="4"/>
      <c r="K40" s="5">
        <f>6181.12</f>
        <v>6181.12</v>
      </c>
      <c r="L40" s="5">
        <f>2741.52</f>
        <v>2741.52</v>
      </c>
      <c r="M40" s="4"/>
      <c r="N40" s="5">
        <f>193.89</f>
        <v>193.89</v>
      </c>
      <c r="O40" s="5">
        <f>-22.64</f>
        <v>-22.64</v>
      </c>
      <c r="P40" s="5">
        <f>1069.44</f>
        <v>1069.44</v>
      </c>
      <c r="Q40" s="5">
        <f>12051.42</f>
        <v>12051.42</v>
      </c>
      <c r="R40" s="5">
        <f>1069.28</f>
        <v>1069.28</v>
      </c>
      <c r="S40" s="5">
        <f>16113.92</f>
        <v>16113.92</v>
      </c>
      <c r="T40" s="4"/>
      <c r="U40" s="5">
        <f>10533.49</f>
        <v>10533.49</v>
      </c>
      <c r="V40" s="4"/>
      <c r="W40" s="5">
        <f>22159.36</f>
        <v>22159.360000000001</v>
      </c>
      <c r="X40" s="5">
        <f>37173.79</f>
        <v>37173.79</v>
      </c>
      <c r="Y40" s="5">
        <f>15865.46</f>
        <v>15865.46</v>
      </c>
      <c r="Z40" s="5">
        <f>30033.74</f>
        <v>30033.74</v>
      </c>
      <c r="AA40" s="5">
        <f>119.4</f>
        <v>119.4</v>
      </c>
      <c r="AB40" s="5">
        <f>198.92</f>
        <v>198.92</v>
      </c>
      <c r="AC40" s="5">
        <f>1689.19</f>
        <v>1689.19</v>
      </c>
      <c r="AD40" s="4"/>
      <c r="AE40" s="4"/>
      <c r="AF40" s="5">
        <f>3657.48</f>
        <v>3657.48</v>
      </c>
      <c r="AG40" s="4"/>
      <c r="AH40" s="5">
        <f t="shared" si="6"/>
        <v>232308.06000000003</v>
      </c>
    </row>
    <row r="41" spans="1:34" x14ac:dyDescent="0.25">
      <c r="A41" s="3" t="s">
        <v>68</v>
      </c>
      <c r="B41" s="5">
        <f>45671.27</f>
        <v>45671.27</v>
      </c>
      <c r="C41" s="4"/>
      <c r="D41" s="4"/>
      <c r="E41" s="4"/>
      <c r="F41" s="4"/>
      <c r="G41" s="5">
        <f>33356.72</f>
        <v>33356.720000000001</v>
      </c>
      <c r="H41" s="4"/>
      <c r="I41" s="4"/>
      <c r="J41" s="4"/>
      <c r="K41" s="4"/>
      <c r="L41" s="4"/>
      <c r="M41" s="5">
        <f>13144.27</f>
        <v>13144.27</v>
      </c>
      <c r="N41" s="4"/>
      <c r="O41" s="4"/>
      <c r="P41" s="4"/>
      <c r="Q41" s="5">
        <f>6809.6</f>
        <v>6809.6</v>
      </c>
      <c r="R41" s="4"/>
      <c r="S41" s="5">
        <f>3616.32</f>
        <v>3616.32</v>
      </c>
      <c r="T41" s="5">
        <f>82699.92</f>
        <v>82699.92</v>
      </c>
      <c r="U41" s="4"/>
      <c r="V41" s="5">
        <f>10716</f>
        <v>10716</v>
      </c>
      <c r="W41" s="5">
        <f>2395.32</f>
        <v>2395.3200000000002</v>
      </c>
      <c r="X41" s="5">
        <f>2395.26</f>
        <v>2395.2600000000002</v>
      </c>
      <c r="Y41" s="4"/>
      <c r="Z41" s="4"/>
      <c r="AA41" s="4"/>
      <c r="AB41" s="4"/>
      <c r="AC41" s="4"/>
      <c r="AD41" s="4"/>
      <c r="AE41" s="4"/>
      <c r="AF41" s="4"/>
      <c r="AG41" s="4"/>
      <c r="AH41" s="5">
        <f t="shared" si="6"/>
        <v>200804.68000000002</v>
      </c>
    </row>
    <row r="42" spans="1:34" x14ac:dyDescent="0.25">
      <c r="A42" s="3" t="s">
        <v>69</v>
      </c>
      <c r="B42" s="4"/>
      <c r="C42" s="4"/>
      <c r="D42" s="4"/>
      <c r="E42" s="5">
        <f>25259.9</f>
        <v>25259.9</v>
      </c>
      <c r="F42" s="4"/>
      <c r="G42" s="4"/>
      <c r="H42" s="5">
        <f>845.43</f>
        <v>845.43</v>
      </c>
      <c r="I42" s="5">
        <f>8956.65</f>
        <v>8956.65</v>
      </c>
      <c r="J42" s="4"/>
      <c r="K42" s="5">
        <f>1836.72</f>
        <v>1836.72</v>
      </c>
      <c r="L42" s="4"/>
      <c r="M42" s="4"/>
      <c r="N42" s="5">
        <f>212.78</f>
        <v>212.78</v>
      </c>
      <c r="O42" s="5">
        <f>-144.86</f>
        <v>-144.86000000000001</v>
      </c>
      <c r="P42" s="4"/>
      <c r="Q42" s="4"/>
      <c r="R42" s="4"/>
      <c r="S42" s="5">
        <f>7319.87</f>
        <v>7319.87</v>
      </c>
      <c r="T42" s="5">
        <f>4632.96</f>
        <v>4632.96</v>
      </c>
      <c r="U42" s="5">
        <f>9659.02</f>
        <v>9659.02</v>
      </c>
      <c r="V42" s="4"/>
      <c r="W42" s="5">
        <f>13996.75</f>
        <v>13996.75</v>
      </c>
      <c r="X42" s="5">
        <f>26590.75</f>
        <v>26590.75</v>
      </c>
      <c r="Y42" s="5">
        <f>9456.92</f>
        <v>9456.92</v>
      </c>
      <c r="Z42" s="5">
        <f>14437.26</f>
        <v>14437.26</v>
      </c>
      <c r="AA42" s="5">
        <f>1225.02</f>
        <v>1225.02</v>
      </c>
      <c r="AB42" s="5">
        <f>0</f>
        <v>0</v>
      </c>
      <c r="AC42" s="5">
        <f>210</f>
        <v>210</v>
      </c>
      <c r="AD42" s="4"/>
      <c r="AE42" s="4"/>
      <c r="AF42" s="5">
        <f>3943.71</f>
        <v>3943.71</v>
      </c>
      <c r="AG42" s="4"/>
      <c r="AH42" s="5">
        <f t="shared" si="6"/>
        <v>128438.88</v>
      </c>
    </row>
    <row r="43" spans="1:34" x14ac:dyDescent="0.25">
      <c r="A43" s="3" t="s">
        <v>70</v>
      </c>
      <c r="B43" s="5">
        <f>337.42</f>
        <v>337.42</v>
      </c>
      <c r="C43" s="4"/>
      <c r="D43" s="4"/>
      <c r="E43" s="4"/>
      <c r="F43" s="4"/>
      <c r="G43" s="5">
        <f>442.76</f>
        <v>442.76</v>
      </c>
      <c r="H43" s="4"/>
      <c r="I43" s="5">
        <f>60</f>
        <v>60</v>
      </c>
      <c r="J43" s="4"/>
      <c r="K43" s="4"/>
      <c r="L43" s="5">
        <f>60</f>
        <v>60</v>
      </c>
      <c r="M43" s="4"/>
      <c r="N43" s="4"/>
      <c r="O43" s="4"/>
      <c r="P43" s="5">
        <f>60</f>
        <v>60</v>
      </c>
      <c r="Q43" s="5">
        <f>60</f>
        <v>60</v>
      </c>
      <c r="R43" s="4"/>
      <c r="S43" s="5">
        <f>45</f>
        <v>45</v>
      </c>
      <c r="T43" s="5">
        <f>135</f>
        <v>135</v>
      </c>
      <c r="U43" s="4"/>
      <c r="V43" s="4"/>
      <c r="W43" s="4"/>
      <c r="X43" s="5">
        <f>70.06</f>
        <v>70.06</v>
      </c>
      <c r="Y43" s="5">
        <f>120</f>
        <v>120</v>
      </c>
      <c r="Z43" s="5">
        <f>120</f>
        <v>120</v>
      </c>
      <c r="AA43" s="4"/>
      <c r="AB43" s="4"/>
      <c r="AC43" s="4"/>
      <c r="AD43" s="4"/>
      <c r="AE43" s="4"/>
      <c r="AF43" s="4"/>
      <c r="AG43" s="4"/>
      <c r="AH43" s="5">
        <f t="shared" si="6"/>
        <v>1510.24</v>
      </c>
    </row>
    <row r="44" spans="1:34" x14ac:dyDescent="0.25">
      <c r="A44" s="3" t="s">
        <v>71</v>
      </c>
      <c r="B44" s="5">
        <f>2047</f>
        <v>2047</v>
      </c>
      <c r="C44" s="4"/>
      <c r="D44" s="4"/>
      <c r="E44" s="5">
        <f>1346</f>
        <v>1346</v>
      </c>
      <c r="F44" s="5">
        <f>178</f>
        <v>178</v>
      </c>
      <c r="G44" s="5">
        <f>3665</f>
        <v>3665</v>
      </c>
      <c r="H44" s="4"/>
      <c r="I44" s="5">
        <f>292</f>
        <v>292</v>
      </c>
      <c r="J44" s="4"/>
      <c r="K44" s="5">
        <f>394</f>
        <v>394</v>
      </c>
      <c r="L44" s="5">
        <f>385</f>
        <v>385</v>
      </c>
      <c r="M44" s="5">
        <f>264</f>
        <v>264</v>
      </c>
      <c r="N44" s="4"/>
      <c r="O44" s="4"/>
      <c r="P44" s="5">
        <f>206</f>
        <v>206</v>
      </c>
      <c r="Q44" s="5">
        <f>2364</f>
        <v>2364</v>
      </c>
      <c r="R44" s="5">
        <f>438</f>
        <v>438</v>
      </c>
      <c r="S44" s="5">
        <f>713.25</f>
        <v>713.25</v>
      </c>
      <c r="T44" s="5">
        <f>1900</f>
        <v>1900</v>
      </c>
      <c r="U44" s="5">
        <f>436</f>
        <v>436</v>
      </c>
      <c r="V44" s="5">
        <f>232</f>
        <v>232</v>
      </c>
      <c r="W44" s="4"/>
      <c r="X44" s="5">
        <f>2239</f>
        <v>2239</v>
      </c>
      <c r="Y44" s="5">
        <f>721</f>
        <v>721</v>
      </c>
      <c r="Z44" s="5">
        <f>1058</f>
        <v>1058</v>
      </c>
      <c r="AA44" s="4"/>
      <c r="AB44" s="5">
        <f>36</f>
        <v>36</v>
      </c>
      <c r="AC44" s="5">
        <f>66</f>
        <v>66</v>
      </c>
      <c r="AD44" s="4"/>
      <c r="AE44" s="4"/>
      <c r="AF44" s="4"/>
      <c r="AG44" s="4"/>
      <c r="AH44" s="5">
        <f t="shared" si="6"/>
        <v>18980.25</v>
      </c>
    </row>
    <row r="45" spans="1:34" x14ac:dyDescent="0.25">
      <c r="A45" s="3" t="s">
        <v>72</v>
      </c>
      <c r="B45" s="4"/>
      <c r="C45" s="4"/>
      <c r="D45" s="4"/>
      <c r="E45" s="5">
        <f>4553.47</f>
        <v>4553.47</v>
      </c>
      <c r="F45" s="4"/>
      <c r="G45" s="5">
        <f>5000</f>
        <v>5000</v>
      </c>
      <c r="H45" s="4"/>
      <c r="I45" s="5">
        <f>1043.65</f>
        <v>1043.6500000000001</v>
      </c>
      <c r="J45" s="4"/>
      <c r="K45" s="4"/>
      <c r="L45" s="4"/>
      <c r="M45" s="4"/>
      <c r="N45" s="4"/>
      <c r="O45" s="4"/>
      <c r="P45" s="5">
        <f>356.48</f>
        <v>356.48</v>
      </c>
      <c r="Q45" s="5">
        <f>8294.81</f>
        <v>8294.81</v>
      </c>
      <c r="R45" s="5">
        <f>712.8</f>
        <v>712.8</v>
      </c>
      <c r="S45" s="5">
        <f>1153.54</f>
        <v>1153.54</v>
      </c>
      <c r="T45" s="4"/>
      <c r="U45" s="5">
        <f>1283.31</f>
        <v>1283.31</v>
      </c>
      <c r="V45" s="4"/>
      <c r="W45" s="4"/>
      <c r="X45" s="4"/>
      <c r="Y45" s="5">
        <f>2424.04</f>
        <v>2424.04</v>
      </c>
      <c r="Z45" s="5">
        <f>3844.25</f>
        <v>3844.25</v>
      </c>
      <c r="AA45" s="4"/>
      <c r="AB45" s="4"/>
      <c r="AC45" s="5">
        <f>290.25</f>
        <v>290.25</v>
      </c>
      <c r="AD45" s="4"/>
      <c r="AE45" s="4"/>
      <c r="AF45" s="4"/>
      <c r="AG45" s="4"/>
      <c r="AH45" s="5">
        <f t="shared" si="6"/>
        <v>28956.600000000002</v>
      </c>
    </row>
    <row r="46" spans="1:34" x14ac:dyDescent="0.25">
      <c r="A46" s="3" t="s">
        <v>73</v>
      </c>
      <c r="B46" s="4"/>
      <c r="C46" s="4"/>
      <c r="D46" s="4"/>
      <c r="E46" s="5">
        <f>262.04</f>
        <v>262.04000000000002</v>
      </c>
      <c r="F46" s="4"/>
      <c r="G46" s="4"/>
      <c r="H46" s="5">
        <f>5.52</f>
        <v>5.52</v>
      </c>
      <c r="I46" s="5">
        <f>58.48</f>
        <v>58.48</v>
      </c>
      <c r="J46" s="4"/>
      <c r="K46" s="5">
        <f>68.48</f>
        <v>68.48</v>
      </c>
      <c r="L46" s="4"/>
      <c r="M46" s="4"/>
      <c r="N46" s="5">
        <f>1.52</f>
        <v>1.52</v>
      </c>
      <c r="O46" s="5">
        <f>-0.28</f>
        <v>-0.28000000000000003</v>
      </c>
      <c r="P46" s="4"/>
      <c r="Q46" s="4"/>
      <c r="R46" s="4"/>
      <c r="S46" s="5">
        <f>57.6</f>
        <v>57.6</v>
      </c>
      <c r="T46" s="4"/>
      <c r="U46" s="5">
        <f>112</f>
        <v>112</v>
      </c>
      <c r="V46" s="4"/>
      <c r="W46" s="5">
        <f>157.68</f>
        <v>157.68</v>
      </c>
      <c r="X46" s="5">
        <f>291.36</f>
        <v>291.36</v>
      </c>
      <c r="Y46" s="5">
        <f>103.36</f>
        <v>103.36</v>
      </c>
      <c r="Z46" s="5">
        <f>168.32</f>
        <v>168.32</v>
      </c>
      <c r="AA46" s="5">
        <f>8</f>
        <v>8</v>
      </c>
      <c r="AB46" s="5">
        <f>0</f>
        <v>0</v>
      </c>
      <c r="AC46" s="5">
        <f>9.6</f>
        <v>9.6</v>
      </c>
      <c r="AD46" s="4"/>
      <c r="AE46" s="4"/>
      <c r="AF46" s="5">
        <f>29.76</f>
        <v>29.76</v>
      </c>
      <c r="AG46" s="4"/>
      <c r="AH46" s="5">
        <f t="shared" si="6"/>
        <v>1333.44</v>
      </c>
    </row>
    <row r="47" spans="1:34" x14ac:dyDescent="0.25">
      <c r="A47" s="3" t="s">
        <v>74</v>
      </c>
      <c r="B47" s="6">
        <f t="shared" ref="B47:AG47" si="8">((((((((((B36)+(B37))+(B38))+(B39))+(B40))+(B41))+(B42))+(B43))+(B44))+(B45))+(B46)</f>
        <v>71070.719999999987</v>
      </c>
      <c r="C47" s="6">
        <f t="shared" si="8"/>
        <v>0</v>
      </c>
      <c r="D47" s="6">
        <f t="shared" si="8"/>
        <v>0</v>
      </c>
      <c r="E47" s="6">
        <f t="shared" si="8"/>
        <v>72112.289999999994</v>
      </c>
      <c r="F47" s="6">
        <f t="shared" si="8"/>
        <v>2292.77</v>
      </c>
      <c r="G47" s="6">
        <f t="shared" si="8"/>
        <v>74436.759999999995</v>
      </c>
      <c r="H47" s="6">
        <f t="shared" si="8"/>
        <v>1768.7199999999998</v>
      </c>
      <c r="I47" s="6">
        <f t="shared" si="8"/>
        <v>20100.04</v>
      </c>
      <c r="J47" s="6">
        <f t="shared" si="8"/>
        <v>0</v>
      </c>
      <c r="K47" s="6">
        <f t="shared" si="8"/>
        <v>9031.4</v>
      </c>
      <c r="L47" s="6">
        <f t="shared" si="8"/>
        <v>4051.0299999999997</v>
      </c>
      <c r="M47" s="6">
        <f t="shared" si="8"/>
        <v>16942.52</v>
      </c>
      <c r="N47" s="6">
        <f t="shared" si="8"/>
        <v>425.84</v>
      </c>
      <c r="O47" s="6">
        <f t="shared" si="8"/>
        <v>-315.01</v>
      </c>
      <c r="P47" s="6">
        <f t="shared" si="8"/>
        <v>2202.58</v>
      </c>
      <c r="Q47" s="6">
        <f t="shared" si="8"/>
        <v>35410.36</v>
      </c>
      <c r="R47" s="6">
        <f t="shared" si="8"/>
        <v>2720.05</v>
      </c>
      <c r="S47" s="6">
        <f t="shared" si="8"/>
        <v>32184.39</v>
      </c>
      <c r="T47" s="6">
        <f t="shared" si="8"/>
        <v>113338.48</v>
      </c>
      <c r="U47" s="6">
        <f t="shared" si="8"/>
        <v>22939.41</v>
      </c>
      <c r="V47" s="6">
        <f t="shared" si="8"/>
        <v>13926.32</v>
      </c>
      <c r="W47" s="6">
        <f t="shared" si="8"/>
        <v>41717.89</v>
      </c>
      <c r="X47" s="6">
        <f t="shared" si="8"/>
        <v>73771.44</v>
      </c>
      <c r="Y47" s="6">
        <f t="shared" si="8"/>
        <v>30236.57</v>
      </c>
      <c r="Z47" s="6">
        <f t="shared" si="8"/>
        <v>52296.060000000005</v>
      </c>
      <c r="AA47" s="6">
        <f t="shared" si="8"/>
        <v>1386.38</v>
      </c>
      <c r="AB47" s="6">
        <f t="shared" si="8"/>
        <v>285.52999999999997</v>
      </c>
      <c r="AC47" s="6">
        <f t="shared" si="8"/>
        <v>2473.92</v>
      </c>
      <c r="AD47" s="6">
        <f t="shared" si="8"/>
        <v>0</v>
      </c>
      <c r="AE47" s="6">
        <f t="shared" si="8"/>
        <v>0</v>
      </c>
      <c r="AF47" s="6">
        <f t="shared" si="8"/>
        <v>7978.5300000000007</v>
      </c>
      <c r="AG47" s="6">
        <f t="shared" si="8"/>
        <v>0</v>
      </c>
      <c r="AH47" s="6">
        <f t="shared" si="6"/>
        <v>704784.99000000011</v>
      </c>
    </row>
    <row r="48" spans="1:34" x14ac:dyDescent="0.25">
      <c r="A48" s="3" t="s">
        <v>75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5">
        <f t="shared" si="6"/>
        <v>0</v>
      </c>
    </row>
    <row r="49" spans="1:34" x14ac:dyDescent="0.25">
      <c r="A49" s="3" t="s">
        <v>76</v>
      </c>
      <c r="B49" s="5">
        <f>17769.8</f>
        <v>17769.8</v>
      </c>
      <c r="C49" s="4"/>
      <c r="D49" s="4"/>
      <c r="E49" s="5">
        <f>61.25</f>
        <v>61.25</v>
      </c>
      <c r="F49" s="4"/>
      <c r="G49" s="5">
        <f>2873.8</f>
        <v>2873.8</v>
      </c>
      <c r="H49" s="4"/>
      <c r="I49" s="5">
        <f>0</f>
        <v>0</v>
      </c>
      <c r="J49" s="5">
        <f>50000</f>
        <v>50000</v>
      </c>
      <c r="K49" s="4"/>
      <c r="L49" s="5">
        <f>185.36</f>
        <v>185.36</v>
      </c>
      <c r="M49" s="4"/>
      <c r="N49" s="5">
        <f>700</f>
        <v>700</v>
      </c>
      <c r="O49" s="5">
        <f>58330</f>
        <v>58330</v>
      </c>
      <c r="P49" s="5">
        <f>10</f>
        <v>10</v>
      </c>
      <c r="Q49" s="5">
        <f>61.25</f>
        <v>61.25</v>
      </c>
      <c r="R49" s="5">
        <f>15</f>
        <v>15</v>
      </c>
      <c r="S49" s="5">
        <f>170.05</f>
        <v>170.05</v>
      </c>
      <c r="T49" s="5">
        <f>183.75</f>
        <v>183.75</v>
      </c>
      <c r="U49" s="4"/>
      <c r="V49" s="4"/>
      <c r="W49" s="5">
        <f>8609.65</f>
        <v>8609.65</v>
      </c>
      <c r="X49" s="5">
        <f>7384.04</f>
        <v>7384.04</v>
      </c>
      <c r="Y49" s="5">
        <f>-51.25</f>
        <v>-51.25</v>
      </c>
      <c r="Z49" s="5">
        <f>71.25</f>
        <v>71.25</v>
      </c>
      <c r="AA49" s="4"/>
      <c r="AB49" s="4"/>
      <c r="AC49" s="4"/>
      <c r="AD49" s="4"/>
      <c r="AE49" s="4"/>
      <c r="AF49" s="4"/>
      <c r="AG49" s="4"/>
      <c r="AH49" s="5">
        <f t="shared" si="6"/>
        <v>146373.95000000001</v>
      </c>
    </row>
    <row r="50" spans="1:34" x14ac:dyDescent="0.25">
      <c r="A50" s="3" t="s">
        <v>77</v>
      </c>
      <c r="B50" s="5">
        <f>17600</f>
        <v>17600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5">
        <f>0</f>
        <v>0</v>
      </c>
      <c r="AH50" s="5">
        <f t="shared" si="6"/>
        <v>17600</v>
      </c>
    </row>
    <row r="51" spans="1:34" x14ac:dyDescent="0.25">
      <c r="A51" s="3" t="s">
        <v>78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5">
        <f>1514.51</f>
        <v>1514.51</v>
      </c>
      <c r="Y51" s="4"/>
      <c r="Z51" s="4"/>
      <c r="AA51" s="4"/>
      <c r="AB51" s="4"/>
      <c r="AC51" s="4"/>
      <c r="AD51" s="4"/>
      <c r="AE51" s="4"/>
      <c r="AF51" s="4"/>
      <c r="AG51" s="4"/>
      <c r="AH51" s="5">
        <f t="shared" si="6"/>
        <v>1514.51</v>
      </c>
    </row>
    <row r="52" spans="1:34" x14ac:dyDescent="0.25">
      <c r="A52" s="3" t="s">
        <v>79</v>
      </c>
      <c r="B52" s="5">
        <f>6179.99</f>
        <v>6179.99</v>
      </c>
      <c r="C52" s="4"/>
      <c r="D52" s="4"/>
      <c r="E52" s="4"/>
      <c r="F52" s="4"/>
      <c r="G52" s="5">
        <f>4734.75</f>
        <v>4734.75</v>
      </c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5">
        <f t="shared" si="6"/>
        <v>10914.74</v>
      </c>
    </row>
    <row r="53" spans="1:34" x14ac:dyDescent="0.25">
      <c r="A53" s="3" t="s">
        <v>80</v>
      </c>
      <c r="B53" s="5">
        <f>4076.04</f>
        <v>4076.04</v>
      </c>
      <c r="C53" s="4"/>
      <c r="D53" s="4"/>
      <c r="E53" s="5">
        <f>970.56</f>
        <v>970.56</v>
      </c>
      <c r="F53" s="4"/>
      <c r="G53" s="5">
        <f>8896.8</f>
        <v>8896.7999999999993</v>
      </c>
      <c r="H53" s="4"/>
      <c r="I53" s="5">
        <f>161.76</f>
        <v>161.76</v>
      </c>
      <c r="J53" s="4"/>
      <c r="K53" s="5">
        <f>161.76</f>
        <v>161.76</v>
      </c>
      <c r="L53" s="5">
        <f>323.52</f>
        <v>323.52</v>
      </c>
      <c r="M53" s="4"/>
      <c r="N53" s="4"/>
      <c r="O53" s="4"/>
      <c r="P53" s="5">
        <f>161.76</f>
        <v>161.76</v>
      </c>
      <c r="Q53" s="4"/>
      <c r="R53" s="4"/>
      <c r="S53" s="5">
        <f>641.1</f>
        <v>641.1</v>
      </c>
      <c r="T53" s="4"/>
      <c r="U53" s="4"/>
      <c r="V53" s="4"/>
      <c r="W53" s="5">
        <f>727.92</f>
        <v>727.92</v>
      </c>
      <c r="X53" s="5">
        <f>727.92</f>
        <v>727.92</v>
      </c>
      <c r="Y53" s="5">
        <f>323.52</f>
        <v>323.52</v>
      </c>
      <c r="Z53" s="5">
        <f>485.28</f>
        <v>485.28</v>
      </c>
      <c r="AA53" s="4"/>
      <c r="AB53" s="4"/>
      <c r="AC53" s="4"/>
      <c r="AD53" s="4"/>
      <c r="AE53" s="4"/>
      <c r="AF53" s="5">
        <f>60.66</f>
        <v>60.66</v>
      </c>
      <c r="AG53" s="4"/>
      <c r="AH53" s="5">
        <f t="shared" si="6"/>
        <v>17718.599999999999</v>
      </c>
    </row>
    <row r="54" spans="1:34" x14ac:dyDescent="0.25">
      <c r="A54" s="3" t="s">
        <v>81</v>
      </c>
      <c r="B54" s="6">
        <f t="shared" ref="B54:AG54" si="9">(((((B48)+(B49))+(B50))+(B51))+(B52))+(B53)</f>
        <v>45625.83</v>
      </c>
      <c r="C54" s="6">
        <f t="shared" si="9"/>
        <v>0</v>
      </c>
      <c r="D54" s="6">
        <f t="shared" si="9"/>
        <v>0</v>
      </c>
      <c r="E54" s="6">
        <f t="shared" si="9"/>
        <v>1031.81</v>
      </c>
      <c r="F54" s="6">
        <f t="shared" si="9"/>
        <v>0</v>
      </c>
      <c r="G54" s="6">
        <f t="shared" si="9"/>
        <v>16505.349999999999</v>
      </c>
      <c r="H54" s="6">
        <f t="shared" si="9"/>
        <v>0</v>
      </c>
      <c r="I54" s="6">
        <f t="shared" si="9"/>
        <v>161.76</v>
      </c>
      <c r="J54" s="6">
        <f t="shared" si="9"/>
        <v>50000</v>
      </c>
      <c r="K54" s="6">
        <f t="shared" si="9"/>
        <v>161.76</v>
      </c>
      <c r="L54" s="6">
        <f t="shared" si="9"/>
        <v>508.88</v>
      </c>
      <c r="M54" s="6">
        <f t="shared" si="9"/>
        <v>0</v>
      </c>
      <c r="N54" s="6">
        <f t="shared" si="9"/>
        <v>700</v>
      </c>
      <c r="O54" s="6">
        <f t="shared" si="9"/>
        <v>58330</v>
      </c>
      <c r="P54" s="6">
        <f t="shared" si="9"/>
        <v>171.76</v>
      </c>
      <c r="Q54" s="6">
        <f t="shared" si="9"/>
        <v>61.25</v>
      </c>
      <c r="R54" s="6">
        <f t="shared" si="9"/>
        <v>15</v>
      </c>
      <c r="S54" s="6">
        <f t="shared" si="9"/>
        <v>811.15000000000009</v>
      </c>
      <c r="T54" s="6">
        <f t="shared" si="9"/>
        <v>183.75</v>
      </c>
      <c r="U54" s="6">
        <f t="shared" si="9"/>
        <v>0</v>
      </c>
      <c r="V54" s="6">
        <f t="shared" si="9"/>
        <v>0</v>
      </c>
      <c r="W54" s="6">
        <f t="shared" si="9"/>
        <v>9337.57</v>
      </c>
      <c r="X54" s="6">
        <f t="shared" si="9"/>
        <v>9626.4699999999993</v>
      </c>
      <c r="Y54" s="6">
        <f t="shared" si="9"/>
        <v>272.27</v>
      </c>
      <c r="Z54" s="6">
        <f t="shared" si="9"/>
        <v>556.53</v>
      </c>
      <c r="AA54" s="6">
        <f t="shared" si="9"/>
        <v>0</v>
      </c>
      <c r="AB54" s="6">
        <f t="shared" si="9"/>
        <v>0</v>
      </c>
      <c r="AC54" s="6">
        <f t="shared" si="9"/>
        <v>0</v>
      </c>
      <c r="AD54" s="6">
        <f t="shared" si="9"/>
        <v>0</v>
      </c>
      <c r="AE54" s="6">
        <f t="shared" si="9"/>
        <v>0</v>
      </c>
      <c r="AF54" s="6">
        <f t="shared" si="9"/>
        <v>60.66</v>
      </c>
      <c r="AG54" s="6">
        <f t="shared" si="9"/>
        <v>0</v>
      </c>
      <c r="AH54" s="6">
        <f t="shared" si="6"/>
        <v>194121.80000000002</v>
      </c>
    </row>
    <row r="55" spans="1:34" x14ac:dyDescent="0.25">
      <c r="A55" s="3" t="s">
        <v>82</v>
      </c>
      <c r="B55" s="5">
        <f>35681.57</f>
        <v>35681.57</v>
      </c>
      <c r="C55" s="4"/>
      <c r="D55" s="4"/>
      <c r="E55" s="5">
        <f>500</f>
        <v>500</v>
      </c>
      <c r="F55" s="4"/>
      <c r="G55" s="5">
        <f>5113.69</f>
        <v>5113.6899999999996</v>
      </c>
      <c r="H55" s="4"/>
      <c r="I55" s="5">
        <f>80</f>
        <v>80</v>
      </c>
      <c r="J55" s="4"/>
      <c r="K55" s="5">
        <f>47390.1</f>
        <v>47390.1</v>
      </c>
      <c r="L55" s="5">
        <f>80</f>
        <v>80</v>
      </c>
      <c r="M55" s="4"/>
      <c r="N55" s="4"/>
      <c r="O55" s="4"/>
      <c r="P55" s="4"/>
      <c r="Q55" s="4"/>
      <c r="R55" s="4"/>
      <c r="S55" s="5">
        <f>71980</f>
        <v>71980</v>
      </c>
      <c r="T55" s="4"/>
      <c r="U55" s="4"/>
      <c r="V55" s="4"/>
      <c r="W55" s="4"/>
      <c r="X55" s="4"/>
      <c r="Y55" s="5">
        <f>80</f>
        <v>80</v>
      </c>
      <c r="Z55" s="5">
        <f>22854.63</f>
        <v>22854.63</v>
      </c>
      <c r="AA55" s="4"/>
      <c r="AB55" s="4"/>
      <c r="AC55" s="4"/>
      <c r="AD55" s="4"/>
      <c r="AE55" s="4"/>
      <c r="AF55" s="5">
        <f>7583</f>
        <v>7583</v>
      </c>
      <c r="AG55" s="5">
        <f>0</f>
        <v>0</v>
      </c>
      <c r="AH55" s="5">
        <f t="shared" si="6"/>
        <v>191342.99</v>
      </c>
    </row>
    <row r="56" spans="1:34" x14ac:dyDescent="0.25">
      <c r="A56" s="3" t="s">
        <v>83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5">
        <f t="shared" si="6"/>
        <v>0</v>
      </c>
    </row>
    <row r="57" spans="1:34" x14ac:dyDescent="0.25">
      <c r="A57" s="3" t="s">
        <v>84</v>
      </c>
      <c r="B57" s="5">
        <f>663.56</f>
        <v>663.56</v>
      </c>
      <c r="C57" s="4"/>
      <c r="D57" s="4"/>
      <c r="E57" s="4"/>
      <c r="F57" s="4"/>
      <c r="G57" s="5">
        <f>1347.25</f>
        <v>1347.25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5">
        <f t="shared" si="6"/>
        <v>2010.81</v>
      </c>
    </row>
    <row r="58" spans="1:34" x14ac:dyDescent="0.25">
      <c r="A58" s="3" t="s">
        <v>85</v>
      </c>
      <c r="B58" s="5">
        <f>1808.4</f>
        <v>1808.4</v>
      </c>
      <c r="C58" s="4"/>
      <c r="D58" s="4"/>
      <c r="E58" s="4"/>
      <c r="F58" s="4"/>
      <c r="G58" s="5">
        <f>3671.6</f>
        <v>3671.6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5">
        <f t="shared" si="6"/>
        <v>5480</v>
      </c>
    </row>
    <row r="59" spans="1:34" x14ac:dyDescent="0.25">
      <c r="A59" s="3" t="s">
        <v>86</v>
      </c>
      <c r="B59" s="5">
        <f>2145.25</f>
        <v>2145.25</v>
      </c>
      <c r="C59" s="4"/>
      <c r="D59" s="4"/>
      <c r="E59" s="4"/>
      <c r="F59" s="4"/>
      <c r="G59" s="5">
        <f>4182.91</f>
        <v>4182.91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5">
        <f t="shared" si="6"/>
        <v>6328.16</v>
      </c>
    </row>
    <row r="60" spans="1:34" x14ac:dyDescent="0.25">
      <c r="A60" s="3" t="s">
        <v>87</v>
      </c>
      <c r="B60" s="5">
        <f>183678.28</f>
        <v>183678.28</v>
      </c>
      <c r="C60" s="4"/>
      <c r="D60" s="4"/>
      <c r="E60" s="4"/>
      <c r="F60" s="4"/>
      <c r="G60" s="5">
        <f>97243.53</f>
        <v>97243.53</v>
      </c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5">
        <f>5000</f>
        <v>5000</v>
      </c>
      <c r="AE60" s="4"/>
      <c r="AF60" s="4"/>
      <c r="AG60" s="4"/>
      <c r="AH60" s="5">
        <f t="shared" si="6"/>
        <v>285921.81</v>
      </c>
    </row>
    <row r="61" spans="1:34" x14ac:dyDescent="0.25">
      <c r="A61" s="3" t="s">
        <v>88</v>
      </c>
      <c r="B61" s="4"/>
      <c r="C61" s="4"/>
      <c r="D61" s="4"/>
      <c r="E61" s="5">
        <f>14000</f>
        <v>14000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5">
        <f>700</f>
        <v>700</v>
      </c>
      <c r="S61" s="4"/>
      <c r="T61" s="4"/>
      <c r="U61" s="4"/>
      <c r="V61" s="4"/>
      <c r="W61" s="5">
        <f>40000</f>
        <v>40000</v>
      </c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5">
        <f t="shared" si="6"/>
        <v>54700</v>
      </c>
    </row>
    <row r="62" spans="1:34" x14ac:dyDescent="0.25">
      <c r="A62" s="3" t="s">
        <v>89</v>
      </c>
      <c r="B62" s="5">
        <f>11098.63</f>
        <v>11098.63</v>
      </c>
      <c r="C62" s="4"/>
      <c r="D62" s="4"/>
      <c r="E62" s="4"/>
      <c r="F62" s="4"/>
      <c r="G62" s="5">
        <f>22533.61</f>
        <v>22533.61</v>
      </c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5">
        <f t="shared" si="6"/>
        <v>33632.239999999998</v>
      </c>
    </row>
    <row r="63" spans="1:34" x14ac:dyDescent="0.25">
      <c r="A63" s="3" t="s">
        <v>90</v>
      </c>
      <c r="B63" s="5">
        <f>3740.6</f>
        <v>3740.6</v>
      </c>
      <c r="C63" s="4"/>
      <c r="D63" s="4"/>
      <c r="E63" s="5">
        <f>32.52</f>
        <v>32.520000000000003</v>
      </c>
      <c r="F63" s="4"/>
      <c r="G63" s="5">
        <f>5037.43</f>
        <v>5037.43</v>
      </c>
      <c r="H63" s="4"/>
      <c r="I63" s="4"/>
      <c r="J63" s="4"/>
      <c r="K63" s="4"/>
      <c r="L63" s="4"/>
      <c r="M63" s="4"/>
      <c r="N63" s="4"/>
      <c r="O63" s="5">
        <f>84</f>
        <v>84</v>
      </c>
      <c r="P63" s="4"/>
      <c r="Q63" s="4"/>
      <c r="R63" s="5">
        <f>900</f>
        <v>900</v>
      </c>
      <c r="S63" s="4"/>
      <c r="T63" s="4"/>
      <c r="U63" s="4"/>
      <c r="V63" s="4"/>
      <c r="W63" s="5">
        <f>150</f>
        <v>150</v>
      </c>
      <c r="X63" s="5">
        <f>220</f>
        <v>220</v>
      </c>
      <c r="Y63" s="4"/>
      <c r="Z63" s="5">
        <f>149.9</f>
        <v>149.9</v>
      </c>
      <c r="AA63" s="5">
        <f>1999.96</f>
        <v>1999.96</v>
      </c>
      <c r="AB63" s="5">
        <f>1882.27</f>
        <v>1882.27</v>
      </c>
      <c r="AC63" s="4"/>
      <c r="AD63" s="4"/>
      <c r="AE63" s="4"/>
      <c r="AF63" s="4"/>
      <c r="AG63" s="4"/>
      <c r="AH63" s="5">
        <f t="shared" si="6"/>
        <v>14196.68</v>
      </c>
    </row>
    <row r="64" spans="1:34" x14ac:dyDescent="0.25">
      <c r="A64" s="3" t="s">
        <v>91</v>
      </c>
      <c r="B64" s="5">
        <f>3701.52</f>
        <v>3701.52</v>
      </c>
      <c r="C64" s="4"/>
      <c r="D64" s="4"/>
      <c r="E64" s="5">
        <f>219.99</f>
        <v>219.99</v>
      </c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5">
        <f>979.98</f>
        <v>979.98</v>
      </c>
      <c r="S64" s="4"/>
      <c r="T64" s="4"/>
      <c r="U64" s="4"/>
      <c r="V64" s="4"/>
      <c r="W64" s="4"/>
      <c r="X64" s="4"/>
      <c r="Y64" s="4"/>
      <c r="Z64" s="5">
        <f>4605.69</f>
        <v>4605.6899999999996</v>
      </c>
      <c r="AA64" s="4"/>
      <c r="AB64" s="4"/>
      <c r="AC64" s="4"/>
      <c r="AD64" s="4"/>
      <c r="AE64" s="4"/>
      <c r="AF64" s="4"/>
      <c r="AG64" s="4"/>
      <c r="AH64" s="5">
        <f t="shared" ref="AH64:AH95" si="10">(((((((((((((((((((((((((((((((B64)+(C64))+(D64))+(E64))+(F64))+(G64))+(H64))+(I64))+(J64))+(K64))+(L64))+(M64))+(N64))+(O64))+(P64))+(Q64))+(R64))+(S64))+(T64))+(U64))+(V64))+(W64))+(X64))+(Y64))+(Z64))+(AA64))+(AB64))+(AC64))+(AD64))+(AE64))+(AF64))+(AG64)</f>
        <v>9507.18</v>
      </c>
    </row>
    <row r="65" spans="1:34" x14ac:dyDescent="0.25">
      <c r="A65" s="3" t="s">
        <v>92</v>
      </c>
      <c r="B65" s="5">
        <f>1968.01</f>
        <v>1968.01</v>
      </c>
      <c r="C65" s="4"/>
      <c r="D65" s="4"/>
      <c r="E65" s="4"/>
      <c r="F65" s="4"/>
      <c r="G65" s="5">
        <f>12014</f>
        <v>12014</v>
      </c>
      <c r="H65" s="4"/>
      <c r="I65" s="4"/>
      <c r="J65" s="4"/>
      <c r="K65" s="4"/>
      <c r="L65" s="4"/>
      <c r="M65" s="4"/>
      <c r="N65" s="4"/>
      <c r="O65" s="4"/>
      <c r="P65" s="4"/>
      <c r="Q65" s="4"/>
      <c r="R65" s="5">
        <f>938.6</f>
        <v>938.6</v>
      </c>
      <c r="S65" s="4"/>
      <c r="T65" s="4"/>
      <c r="U65" s="4"/>
      <c r="V65" s="4"/>
      <c r="W65" s="4"/>
      <c r="X65" s="5">
        <f>95.21</f>
        <v>95.21</v>
      </c>
      <c r="Y65" s="4"/>
      <c r="Z65" s="5">
        <f>1077.27</f>
        <v>1077.27</v>
      </c>
      <c r="AA65" s="4"/>
      <c r="AB65" s="4"/>
      <c r="AC65" s="4"/>
      <c r="AD65" s="4"/>
      <c r="AE65" s="4"/>
      <c r="AF65" s="4"/>
      <c r="AG65" s="4"/>
      <c r="AH65" s="5">
        <f t="shared" si="10"/>
        <v>16093.09</v>
      </c>
    </row>
    <row r="66" spans="1:34" x14ac:dyDescent="0.25">
      <c r="A66" s="3" t="s">
        <v>93</v>
      </c>
      <c r="B66" s="4"/>
      <c r="C66" s="4"/>
      <c r="D66" s="4"/>
      <c r="E66" s="4"/>
      <c r="F66" s="4"/>
      <c r="G66" s="5">
        <f>15676.4</f>
        <v>15676.4</v>
      </c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5">
        <f t="shared" si="10"/>
        <v>15676.4</v>
      </c>
    </row>
    <row r="67" spans="1:34" x14ac:dyDescent="0.25">
      <c r="A67" s="3" t="s">
        <v>94</v>
      </c>
      <c r="B67" s="6">
        <f t="shared" ref="B67:AG67" si="11">((((((((((B56)+(B57))+(B58))+(B59))+(B60))+(B61))+(B62))+(B63))+(B64))+(B65))+(B66)</f>
        <v>208804.25</v>
      </c>
      <c r="C67" s="6">
        <f t="shared" si="11"/>
        <v>0</v>
      </c>
      <c r="D67" s="6">
        <f t="shared" si="11"/>
        <v>0</v>
      </c>
      <c r="E67" s="6">
        <f t="shared" si="11"/>
        <v>14252.51</v>
      </c>
      <c r="F67" s="6">
        <f t="shared" si="11"/>
        <v>0</v>
      </c>
      <c r="G67" s="6">
        <f t="shared" si="11"/>
        <v>161706.72999999998</v>
      </c>
      <c r="H67" s="6">
        <f t="shared" si="11"/>
        <v>0</v>
      </c>
      <c r="I67" s="6">
        <f t="shared" si="11"/>
        <v>0</v>
      </c>
      <c r="J67" s="6">
        <f t="shared" si="11"/>
        <v>0</v>
      </c>
      <c r="K67" s="6">
        <f t="shared" si="11"/>
        <v>0</v>
      </c>
      <c r="L67" s="6">
        <f t="shared" si="11"/>
        <v>0</v>
      </c>
      <c r="M67" s="6">
        <f t="shared" si="11"/>
        <v>0</v>
      </c>
      <c r="N67" s="6">
        <f t="shared" si="11"/>
        <v>0</v>
      </c>
      <c r="O67" s="6">
        <f t="shared" si="11"/>
        <v>84</v>
      </c>
      <c r="P67" s="6">
        <f t="shared" si="11"/>
        <v>0</v>
      </c>
      <c r="Q67" s="6">
        <f t="shared" si="11"/>
        <v>0</v>
      </c>
      <c r="R67" s="6">
        <f t="shared" si="11"/>
        <v>3518.58</v>
      </c>
      <c r="S67" s="6">
        <f t="shared" si="11"/>
        <v>0</v>
      </c>
      <c r="T67" s="6">
        <f t="shared" si="11"/>
        <v>0</v>
      </c>
      <c r="U67" s="6">
        <f t="shared" si="11"/>
        <v>0</v>
      </c>
      <c r="V67" s="6">
        <f t="shared" si="11"/>
        <v>0</v>
      </c>
      <c r="W67" s="6">
        <f t="shared" si="11"/>
        <v>40150</v>
      </c>
      <c r="X67" s="6">
        <f t="shared" si="11"/>
        <v>315.20999999999998</v>
      </c>
      <c r="Y67" s="6">
        <f t="shared" si="11"/>
        <v>0</v>
      </c>
      <c r="Z67" s="6">
        <f t="shared" si="11"/>
        <v>5832.8599999999988</v>
      </c>
      <c r="AA67" s="6">
        <f t="shared" si="11"/>
        <v>1999.96</v>
      </c>
      <c r="AB67" s="6">
        <f t="shared" si="11"/>
        <v>1882.27</v>
      </c>
      <c r="AC67" s="6">
        <f t="shared" si="11"/>
        <v>0</v>
      </c>
      <c r="AD67" s="6">
        <f t="shared" si="11"/>
        <v>5000</v>
      </c>
      <c r="AE67" s="6">
        <f t="shared" si="11"/>
        <v>0</v>
      </c>
      <c r="AF67" s="6">
        <f t="shared" si="11"/>
        <v>0</v>
      </c>
      <c r="AG67" s="6">
        <f t="shared" si="11"/>
        <v>0</v>
      </c>
      <c r="AH67" s="6">
        <f t="shared" si="10"/>
        <v>443546.37000000005</v>
      </c>
    </row>
    <row r="68" spans="1:34" x14ac:dyDescent="0.25">
      <c r="A68" s="3" t="s">
        <v>95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5">
        <f t="shared" si="10"/>
        <v>0</v>
      </c>
    </row>
    <row r="69" spans="1:34" x14ac:dyDescent="0.25">
      <c r="A69" s="3" t="s">
        <v>96</v>
      </c>
      <c r="B69" s="5">
        <f>12135.28</f>
        <v>12135.28</v>
      </c>
      <c r="C69" s="4"/>
      <c r="D69" s="4"/>
      <c r="E69" s="4"/>
      <c r="F69" s="4"/>
      <c r="G69" s="5">
        <f>16393.22</f>
        <v>16393.22</v>
      </c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5">
        <f t="shared" si="10"/>
        <v>28528.5</v>
      </c>
    </row>
    <row r="70" spans="1:34" x14ac:dyDescent="0.25">
      <c r="A70" s="3" t="s">
        <v>97</v>
      </c>
      <c r="B70" s="5">
        <f>9186.71</f>
        <v>9186.7099999999991</v>
      </c>
      <c r="C70" s="4"/>
      <c r="D70" s="4"/>
      <c r="E70" s="4"/>
      <c r="F70" s="4"/>
      <c r="G70" s="5">
        <f>18651.79</f>
        <v>18651.79</v>
      </c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5">
        <f t="shared" si="10"/>
        <v>27838.5</v>
      </c>
    </row>
    <row r="71" spans="1:34" x14ac:dyDescent="0.25">
      <c r="A71" s="3" t="s">
        <v>98</v>
      </c>
      <c r="B71" s="6">
        <f t="shared" ref="B71:AG71" si="12">((B68)+(B69))+(B70)</f>
        <v>21321.989999999998</v>
      </c>
      <c r="C71" s="6">
        <f t="shared" si="12"/>
        <v>0</v>
      </c>
      <c r="D71" s="6">
        <f t="shared" si="12"/>
        <v>0</v>
      </c>
      <c r="E71" s="6">
        <f t="shared" si="12"/>
        <v>0</v>
      </c>
      <c r="F71" s="6">
        <f t="shared" si="12"/>
        <v>0</v>
      </c>
      <c r="G71" s="6">
        <f t="shared" si="12"/>
        <v>35045.01</v>
      </c>
      <c r="H71" s="6">
        <f t="shared" si="12"/>
        <v>0</v>
      </c>
      <c r="I71" s="6">
        <f t="shared" si="12"/>
        <v>0</v>
      </c>
      <c r="J71" s="6">
        <f t="shared" si="12"/>
        <v>0</v>
      </c>
      <c r="K71" s="6">
        <f t="shared" si="12"/>
        <v>0</v>
      </c>
      <c r="L71" s="6">
        <f t="shared" si="12"/>
        <v>0</v>
      </c>
      <c r="M71" s="6">
        <f t="shared" si="12"/>
        <v>0</v>
      </c>
      <c r="N71" s="6">
        <f t="shared" si="12"/>
        <v>0</v>
      </c>
      <c r="O71" s="6">
        <f t="shared" si="12"/>
        <v>0</v>
      </c>
      <c r="P71" s="6">
        <f t="shared" si="12"/>
        <v>0</v>
      </c>
      <c r="Q71" s="6">
        <f t="shared" si="12"/>
        <v>0</v>
      </c>
      <c r="R71" s="6">
        <f t="shared" si="12"/>
        <v>0</v>
      </c>
      <c r="S71" s="6">
        <f t="shared" si="12"/>
        <v>0</v>
      </c>
      <c r="T71" s="6">
        <f t="shared" si="12"/>
        <v>0</v>
      </c>
      <c r="U71" s="6">
        <f t="shared" si="12"/>
        <v>0</v>
      </c>
      <c r="V71" s="6">
        <f t="shared" si="12"/>
        <v>0</v>
      </c>
      <c r="W71" s="6">
        <f t="shared" si="12"/>
        <v>0</v>
      </c>
      <c r="X71" s="6">
        <f t="shared" si="12"/>
        <v>0</v>
      </c>
      <c r="Y71" s="6">
        <f t="shared" si="12"/>
        <v>0</v>
      </c>
      <c r="Z71" s="6">
        <f t="shared" si="12"/>
        <v>0</v>
      </c>
      <c r="AA71" s="6">
        <f t="shared" si="12"/>
        <v>0</v>
      </c>
      <c r="AB71" s="6">
        <f t="shared" si="12"/>
        <v>0</v>
      </c>
      <c r="AC71" s="6">
        <f t="shared" si="12"/>
        <v>0</v>
      </c>
      <c r="AD71" s="6">
        <f t="shared" si="12"/>
        <v>0</v>
      </c>
      <c r="AE71" s="6">
        <f t="shared" si="12"/>
        <v>0</v>
      </c>
      <c r="AF71" s="6">
        <f t="shared" si="12"/>
        <v>0</v>
      </c>
      <c r="AG71" s="6">
        <f t="shared" si="12"/>
        <v>0</v>
      </c>
      <c r="AH71" s="6">
        <f t="shared" si="10"/>
        <v>56367</v>
      </c>
    </row>
    <row r="72" spans="1:34" x14ac:dyDescent="0.25">
      <c r="A72" s="3" t="s">
        <v>99</v>
      </c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5">
        <f t="shared" si="10"/>
        <v>0</v>
      </c>
    </row>
    <row r="73" spans="1:34" x14ac:dyDescent="0.25">
      <c r="A73" s="3" t="s">
        <v>100</v>
      </c>
      <c r="B73" s="5">
        <f>622.29</f>
        <v>622.29</v>
      </c>
      <c r="C73" s="4"/>
      <c r="D73" s="4"/>
      <c r="E73" s="4"/>
      <c r="F73" s="4"/>
      <c r="G73" s="5">
        <f>325.2</f>
        <v>325.2</v>
      </c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5">
        <f>72.27</f>
        <v>72.27</v>
      </c>
      <c r="X73" s="5">
        <f>144.54</f>
        <v>144.54</v>
      </c>
      <c r="Y73" s="4"/>
      <c r="Z73" s="4"/>
      <c r="AA73" s="4"/>
      <c r="AB73" s="4"/>
      <c r="AC73" s="4"/>
      <c r="AD73" s="4"/>
      <c r="AE73" s="4"/>
      <c r="AF73" s="4"/>
      <c r="AG73" s="4"/>
      <c r="AH73" s="5">
        <f t="shared" si="10"/>
        <v>1164.3</v>
      </c>
    </row>
    <row r="74" spans="1:34" x14ac:dyDescent="0.25">
      <c r="A74" s="3" t="s">
        <v>101</v>
      </c>
      <c r="B74" s="5">
        <f>293.12</f>
        <v>293.12</v>
      </c>
      <c r="C74" s="4"/>
      <c r="D74" s="4"/>
      <c r="E74" s="4"/>
      <c r="F74" s="4"/>
      <c r="G74" s="5">
        <f>170.6</f>
        <v>170.6</v>
      </c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5">
        <f>53.73</f>
        <v>53.73</v>
      </c>
      <c r="X74" s="5">
        <f>60</f>
        <v>60</v>
      </c>
      <c r="Y74" s="4"/>
      <c r="Z74" s="4"/>
      <c r="AA74" s="4"/>
      <c r="AB74" s="4"/>
      <c r="AC74" s="4"/>
      <c r="AD74" s="4"/>
      <c r="AE74" s="4"/>
      <c r="AF74" s="4"/>
      <c r="AG74" s="4"/>
      <c r="AH74" s="5">
        <f t="shared" si="10"/>
        <v>577.45000000000005</v>
      </c>
    </row>
    <row r="75" spans="1:34" x14ac:dyDescent="0.25">
      <c r="A75" s="3" t="s">
        <v>102</v>
      </c>
      <c r="B75" s="5">
        <f>7538.91</f>
        <v>7538.91</v>
      </c>
      <c r="C75" s="4"/>
      <c r="D75" s="4"/>
      <c r="E75" s="5">
        <f>2551.44</f>
        <v>2551.44</v>
      </c>
      <c r="F75" s="4"/>
      <c r="G75" s="5">
        <f>6594.07</f>
        <v>6594.07</v>
      </c>
      <c r="H75" s="4"/>
      <c r="I75" s="5">
        <f>52.54</f>
        <v>52.54</v>
      </c>
      <c r="J75" s="4"/>
      <c r="K75" s="4"/>
      <c r="L75" s="4"/>
      <c r="M75" s="4"/>
      <c r="N75" s="4"/>
      <c r="O75" s="4"/>
      <c r="P75" s="4"/>
      <c r="Q75" s="4"/>
      <c r="R75" s="5">
        <f>51.68</f>
        <v>51.68</v>
      </c>
      <c r="S75" s="5">
        <f>403.44</f>
        <v>403.44</v>
      </c>
      <c r="T75" s="4"/>
      <c r="U75" s="4"/>
      <c r="V75" s="4"/>
      <c r="W75" s="5">
        <f>1300.15</f>
        <v>1300.1500000000001</v>
      </c>
      <c r="X75" s="5">
        <f>2101.23</f>
        <v>2101.23</v>
      </c>
      <c r="Y75" s="5">
        <f>683.27</f>
        <v>683.27</v>
      </c>
      <c r="Z75" s="5">
        <f>1283.31</f>
        <v>1283.31</v>
      </c>
      <c r="AA75" s="4"/>
      <c r="AB75" s="4"/>
      <c r="AC75" s="4"/>
      <c r="AD75" s="4"/>
      <c r="AE75" s="4"/>
      <c r="AF75" s="5">
        <f>51.61</f>
        <v>51.61</v>
      </c>
      <c r="AG75" s="4"/>
      <c r="AH75" s="5">
        <f t="shared" si="10"/>
        <v>22611.65</v>
      </c>
    </row>
    <row r="76" spans="1:34" x14ac:dyDescent="0.25">
      <c r="A76" s="3" t="s">
        <v>103</v>
      </c>
      <c r="B76" s="5">
        <f>1303.48</f>
        <v>1303.48</v>
      </c>
      <c r="C76" s="4"/>
      <c r="D76" s="4"/>
      <c r="E76" s="4"/>
      <c r="F76" s="4"/>
      <c r="G76" s="5">
        <f>1794.9</f>
        <v>1794.9</v>
      </c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5">
        <f>836.47</f>
        <v>836.47</v>
      </c>
      <c r="X76" s="5">
        <f>1309.2</f>
        <v>1309.2</v>
      </c>
      <c r="Y76" s="4"/>
      <c r="Z76" s="4"/>
      <c r="AA76" s="4"/>
      <c r="AB76" s="4"/>
      <c r="AC76" s="4"/>
      <c r="AD76" s="4"/>
      <c r="AE76" s="4"/>
      <c r="AF76" s="4"/>
      <c r="AG76" s="4"/>
      <c r="AH76" s="5">
        <f t="shared" si="10"/>
        <v>5244.05</v>
      </c>
    </row>
    <row r="77" spans="1:34" x14ac:dyDescent="0.25">
      <c r="A77" s="3" t="s">
        <v>104</v>
      </c>
      <c r="B77" s="5">
        <f>9774.25</f>
        <v>9774.25</v>
      </c>
      <c r="C77" s="4"/>
      <c r="D77" s="4"/>
      <c r="E77" s="5">
        <f>1680.92</f>
        <v>1680.92</v>
      </c>
      <c r="F77" s="4"/>
      <c r="G77" s="5">
        <f>218.7</f>
        <v>218.7</v>
      </c>
      <c r="H77" s="4"/>
      <c r="I77" s="5">
        <f>66.64</f>
        <v>66.64</v>
      </c>
      <c r="J77" s="4"/>
      <c r="K77" s="4"/>
      <c r="L77" s="5">
        <f>237.56</f>
        <v>237.56</v>
      </c>
      <c r="M77" s="4"/>
      <c r="N77" s="5">
        <f>98.24</f>
        <v>98.24</v>
      </c>
      <c r="O77" s="5">
        <f>1313.17</f>
        <v>1313.17</v>
      </c>
      <c r="P77" s="4"/>
      <c r="Q77" s="4"/>
      <c r="R77" s="5">
        <f>2930.81</f>
        <v>2930.81</v>
      </c>
      <c r="S77" s="5">
        <f>57.23</f>
        <v>57.23</v>
      </c>
      <c r="T77" s="4"/>
      <c r="U77" s="4"/>
      <c r="V77" s="4"/>
      <c r="W77" s="4"/>
      <c r="X77" s="4"/>
      <c r="Y77" s="5">
        <f>234.43</f>
        <v>234.43</v>
      </c>
      <c r="Z77" s="5">
        <f>675.53</f>
        <v>675.53</v>
      </c>
      <c r="AA77" s="4"/>
      <c r="AB77" s="4"/>
      <c r="AC77" s="4"/>
      <c r="AD77" s="5">
        <f>960</f>
        <v>960</v>
      </c>
      <c r="AE77" s="4"/>
      <c r="AF77" s="4"/>
      <c r="AG77" s="4"/>
      <c r="AH77" s="5">
        <f t="shared" si="10"/>
        <v>18247.479999999996</v>
      </c>
    </row>
    <row r="78" spans="1:34" x14ac:dyDescent="0.25">
      <c r="A78" s="3" t="s">
        <v>105</v>
      </c>
      <c r="B78" s="5">
        <f>67022.35</f>
        <v>67022.350000000006</v>
      </c>
      <c r="C78" s="5">
        <f>215</f>
        <v>215</v>
      </c>
      <c r="D78" s="5">
        <f>3940</f>
        <v>3940</v>
      </c>
      <c r="E78" s="5">
        <f>13339.48</f>
        <v>13339.48</v>
      </c>
      <c r="F78" s="4"/>
      <c r="G78" s="5">
        <f>10462.97</f>
        <v>10462.969999999999</v>
      </c>
      <c r="H78" s="5">
        <f>81</f>
        <v>81</v>
      </c>
      <c r="I78" s="5">
        <f>202.28</f>
        <v>202.28</v>
      </c>
      <c r="J78" s="4"/>
      <c r="K78" s="5">
        <f>29826.77</f>
        <v>29826.77</v>
      </c>
      <c r="L78" s="5">
        <f>373.82</f>
        <v>373.82</v>
      </c>
      <c r="M78" s="4"/>
      <c r="N78" s="5">
        <f>201.5</f>
        <v>201.5</v>
      </c>
      <c r="O78" s="5">
        <f>6178.32</f>
        <v>6178.32</v>
      </c>
      <c r="P78" s="5">
        <f>81</f>
        <v>81</v>
      </c>
      <c r="Q78" s="4"/>
      <c r="R78" s="5">
        <f>3134.08</f>
        <v>3134.08</v>
      </c>
      <c r="S78" s="5">
        <f>369584.98</f>
        <v>369584.98</v>
      </c>
      <c r="T78" s="4"/>
      <c r="U78" s="4"/>
      <c r="V78" s="4"/>
      <c r="W78" s="5">
        <f>6916.59</f>
        <v>6916.59</v>
      </c>
      <c r="X78" s="5">
        <f>14033.12</f>
        <v>14033.12</v>
      </c>
      <c r="Y78" s="5">
        <f>16144.22</f>
        <v>16144.22</v>
      </c>
      <c r="Z78" s="5">
        <f>10325.5</f>
        <v>10325.5</v>
      </c>
      <c r="AA78" s="4"/>
      <c r="AB78" s="4"/>
      <c r="AC78" s="4"/>
      <c r="AD78" s="4"/>
      <c r="AE78" s="5">
        <f>6049.9</f>
        <v>6049.9</v>
      </c>
      <c r="AF78" s="5">
        <f>66108.34</f>
        <v>66108.34</v>
      </c>
      <c r="AG78" s="5">
        <f>0</f>
        <v>0</v>
      </c>
      <c r="AH78" s="5">
        <f t="shared" si="10"/>
        <v>624221.22</v>
      </c>
    </row>
    <row r="79" spans="1:34" x14ac:dyDescent="0.25">
      <c r="A79" s="3" t="s">
        <v>106</v>
      </c>
      <c r="B79" s="5">
        <f>1761.9</f>
        <v>1761.9</v>
      </c>
      <c r="C79" s="4"/>
      <c r="D79" s="4"/>
      <c r="E79" s="4"/>
      <c r="F79" s="4"/>
      <c r="G79" s="5">
        <f>2348.78</f>
        <v>2348.7800000000002</v>
      </c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5">
        <f>69.15</f>
        <v>69.150000000000006</v>
      </c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5">
        <f t="shared" si="10"/>
        <v>4179.83</v>
      </c>
    </row>
    <row r="80" spans="1:34" x14ac:dyDescent="0.25">
      <c r="A80" s="3" t="s">
        <v>107</v>
      </c>
      <c r="B80" s="6">
        <f t="shared" ref="B80:AG80" si="13">(((((((B72)+(B73))+(B74))+(B75))+(B76))+(B77))+(B78))+(B79)</f>
        <v>88316.3</v>
      </c>
      <c r="C80" s="6">
        <f t="shared" si="13"/>
        <v>215</v>
      </c>
      <c r="D80" s="6">
        <f t="shared" si="13"/>
        <v>3940</v>
      </c>
      <c r="E80" s="6">
        <f t="shared" si="13"/>
        <v>17571.84</v>
      </c>
      <c r="F80" s="6">
        <f t="shared" si="13"/>
        <v>0</v>
      </c>
      <c r="G80" s="6">
        <f t="shared" si="13"/>
        <v>21915.22</v>
      </c>
      <c r="H80" s="6">
        <f t="shared" si="13"/>
        <v>81</v>
      </c>
      <c r="I80" s="6">
        <f t="shared" si="13"/>
        <v>321.46000000000004</v>
      </c>
      <c r="J80" s="6">
        <f t="shared" si="13"/>
        <v>0</v>
      </c>
      <c r="K80" s="6">
        <f t="shared" si="13"/>
        <v>29826.77</v>
      </c>
      <c r="L80" s="6">
        <f t="shared" si="13"/>
        <v>611.38</v>
      </c>
      <c r="M80" s="6">
        <f t="shared" si="13"/>
        <v>0</v>
      </c>
      <c r="N80" s="6">
        <f t="shared" si="13"/>
        <v>299.74</v>
      </c>
      <c r="O80" s="6">
        <f t="shared" si="13"/>
        <v>7491.49</v>
      </c>
      <c r="P80" s="6">
        <f t="shared" si="13"/>
        <v>81</v>
      </c>
      <c r="Q80" s="6">
        <f t="shared" si="13"/>
        <v>0</v>
      </c>
      <c r="R80" s="6">
        <f t="shared" si="13"/>
        <v>6116.57</v>
      </c>
      <c r="S80" s="6">
        <f t="shared" si="13"/>
        <v>370114.8</v>
      </c>
      <c r="T80" s="6">
        <f t="shared" si="13"/>
        <v>0</v>
      </c>
      <c r="U80" s="6">
        <f t="shared" si="13"/>
        <v>0</v>
      </c>
      <c r="V80" s="6">
        <f t="shared" si="13"/>
        <v>0</v>
      </c>
      <c r="W80" s="6">
        <f t="shared" si="13"/>
        <v>9179.2099999999991</v>
      </c>
      <c r="X80" s="6">
        <f t="shared" si="13"/>
        <v>17648.09</v>
      </c>
      <c r="Y80" s="6">
        <f t="shared" si="13"/>
        <v>17061.919999999998</v>
      </c>
      <c r="Z80" s="6">
        <f t="shared" si="13"/>
        <v>12284.34</v>
      </c>
      <c r="AA80" s="6">
        <f t="shared" si="13"/>
        <v>0</v>
      </c>
      <c r="AB80" s="6">
        <f t="shared" si="13"/>
        <v>0</v>
      </c>
      <c r="AC80" s="6">
        <f t="shared" si="13"/>
        <v>0</v>
      </c>
      <c r="AD80" s="6">
        <f t="shared" si="13"/>
        <v>960</v>
      </c>
      <c r="AE80" s="6">
        <f t="shared" si="13"/>
        <v>6049.9</v>
      </c>
      <c r="AF80" s="6">
        <f t="shared" si="13"/>
        <v>66159.95</v>
      </c>
      <c r="AG80" s="6">
        <f t="shared" si="13"/>
        <v>0</v>
      </c>
      <c r="AH80" s="6">
        <f t="shared" si="10"/>
        <v>676245.97999999986</v>
      </c>
    </row>
    <row r="81" spans="1:34" x14ac:dyDescent="0.25">
      <c r="A81" s="3" t="s">
        <v>108</v>
      </c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5">
        <f t="shared" si="10"/>
        <v>0</v>
      </c>
    </row>
    <row r="82" spans="1:34" x14ac:dyDescent="0.25">
      <c r="A82" s="3" t="s">
        <v>109</v>
      </c>
      <c r="B82" s="4"/>
      <c r="C82" s="4"/>
      <c r="D82" s="4"/>
      <c r="E82" s="5">
        <f>1719.96</f>
        <v>1719.96</v>
      </c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5">
        <f>125043.56</f>
        <v>125043.56</v>
      </c>
      <c r="R82" s="5">
        <f>4100</f>
        <v>4100</v>
      </c>
      <c r="S82" s="5">
        <f>1237.5</f>
        <v>1237.5</v>
      </c>
      <c r="T82" s="4"/>
      <c r="U82" s="4"/>
      <c r="V82" s="4"/>
      <c r="W82" s="5">
        <f>6874.85</f>
        <v>6874.85</v>
      </c>
      <c r="X82" s="5">
        <f>9834.08</f>
        <v>9834.08</v>
      </c>
      <c r="Y82" s="4"/>
      <c r="Z82" s="5">
        <f>5596.9</f>
        <v>5596.9</v>
      </c>
      <c r="AA82" s="4"/>
      <c r="AB82" s="4"/>
      <c r="AC82" s="4"/>
      <c r="AD82" s="4"/>
      <c r="AE82" s="4"/>
      <c r="AF82" s="5">
        <f>52506.35</f>
        <v>52506.35</v>
      </c>
      <c r="AG82" s="5">
        <f>0</f>
        <v>0</v>
      </c>
      <c r="AH82" s="5">
        <f t="shared" si="10"/>
        <v>206913.2</v>
      </c>
    </row>
    <row r="83" spans="1:34" x14ac:dyDescent="0.25">
      <c r="A83" s="3" t="s">
        <v>110</v>
      </c>
      <c r="B83" s="5">
        <f>1940</f>
        <v>1940</v>
      </c>
      <c r="C83" s="4"/>
      <c r="D83" s="4"/>
      <c r="E83" s="5">
        <f>3617.23</f>
        <v>3617.23</v>
      </c>
      <c r="F83" s="4"/>
      <c r="G83" s="5">
        <f>260</f>
        <v>260</v>
      </c>
      <c r="H83" s="4"/>
      <c r="I83" s="4"/>
      <c r="J83" s="4"/>
      <c r="K83" s="4"/>
      <c r="L83" s="4"/>
      <c r="M83" s="4"/>
      <c r="N83" s="4"/>
      <c r="O83" s="4"/>
      <c r="P83" s="4"/>
      <c r="Q83" s="4"/>
      <c r="R83" s="5">
        <f>1700</f>
        <v>1700</v>
      </c>
      <c r="S83" s="5">
        <f>16920.4</f>
        <v>16920.400000000001</v>
      </c>
      <c r="T83" s="4"/>
      <c r="U83" s="4"/>
      <c r="V83" s="4"/>
      <c r="W83" s="5">
        <f>1120</f>
        <v>1120</v>
      </c>
      <c r="X83" s="5">
        <f>5583.7</f>
        <v>5583.7</v>
      </c>
      <c r="Y83" s="5">
        <f>4470</f>
        <v>4470</v>
      </c>
      <c r="Z83" s="5">
        <f>8799</f>
        <v>8799</v>
      </c>
      <c r="AA83" s="4"/>
      <c r="AB83" s="4"/>
      <c r="AC83" s="4"/>
      <c r="AD83" s="4"/>
      <c r="AE83" s="4"/>
      <c r="AF83" s="5">
        <f>44904.89</f>
        <v>44904.89</v>
      </c>
      <c r="AG83" s="4"/>
      <c r="AH83" s="5">
        <f t="shared" si="10"/>
        <v>89315.22</v>
      </c>
    </row>
    <row r="84" spans="1:34" x14ac:dyDescent="0.25">
      <c r="A84" s="3" t="s">
        <v>111</v>
      </c>
      <c r="B84" s="5">
        <f>19142.73</f>
        <v>19142.73</v>
      </c>
      <c r="C84" s="4"/>
      <c r="D84" s="4"/>
      <c r="E84" s="5">
        <f>6440.61</f>
        <v>6440.61</v>
      </c>
      <c r="F84" s="4"/>
      <c r="G84" s="5">
        <f>1776.66</f>
        <v>1776.66</v>
      </c>
      <c r="H84" s="4"/>
      <c r="I84" s="5">
        <f>696.47</f>
        <v>696.47</v>
      </c>
      <c r="J84" s="4"/>
      <c r="K84" s="4"/>
      <c r="L84" s="5">
        <f>595.39</f>
        <v>595.39</v>
      </c>
      <c r="M84" s="4"/>
      <c r="N84" s="5">
        <f>152.67</f>
        <v>152.66999999999999</v>
      </c>
      <c r="O84" s="5">
        <f>35</f>
        <v>35</v>
      </c>
      <c r="P84" s="4"/>
      <c r="Q84" s="5">
        <f>2730</f>
        <v>2730</v>
      </c>
      <c r="R84" s="5">
        <f>21117.22</f>
        <v>21117.22</v>
      </c>
      <c r="S84" s="5">
        <f>7476.62</f>
        <v>7476.62</v>
      </c>
      <c r="T84" s="4"/>
      <c r="U84" s="5">
        <f>161733.4</f>
        <v>161733.4</v>
      </c>
      <c r="V84" s="4"/>
      <c r="W84" s="5">
        <f>4268.15</f>
        <v>4268.1499999999996</v>
      </c>
      <c r="X84" s="5">
        <f>10340.69</f>
        <v>10340.69</v>
      </c>
      <c r="Y84" s="5">
        <f>9382.37</f>
        <v>9382.3700000000008</v>
      </c>
      <c r="Z84" s="5">
        <f>16218.76</f>
        <v>16218.76</v>
      </c>
      <c r="AA84" s="4"/>
      <c r="AB84" s="4"/>
      <c r="AC84" s="4"/>
      <c r="AD84" s="4"/>
      <c r="AE84" s="4"/>
      <c r="AF84" s="5">
        <f>679</f>
        <v>679</v>
      </c>
      <c r="AG84" s="5">
        <f>0</f>
        <v>0</v>
      </c>
      <c r="AH84" s="5">
        <f t="shared" si="10"/>
        <v>262785.74</v>
      </c>
    </row>
    <row r="85" spans="1:34" x14ac:dyDescent="0.25">
      <c r="A85" s="3" t="s">
        <v>112</v>
      </c>
      <c r="B85" s="5">
        <f>681.85</f>
        <v>681.85</v>
      </c>
      <c r="C85" s="4"/>
      <c r="D85" s="4"/>
      <c r="E85" s="5">
        <f>240.09</f>
        <v>240.09</v>
      </c>
      <c r="F85" s="4"/>
      <c r="G85" s="5">
        <f>4499</f>
        <v>4499</v>
      </c>
      <c r="H85" s="4"/>
      <c r="I85" s="4"/>
      <c r="J85" s="4"/>
      <c r="K85" s="4"/>
      <c r="L85" s="4"/>
      <c r="M85" s="4"/>
      <c r="N85" s="5">
        <f>2756.34</f>
        <v>2756.34</v>
      </c>
      <c r="O85" s="5">
        <f>14.98</f>
        <v>14.98</v>
      </c>
      <c r="P85" s="4"/>
      <c r="Q85" s="4"/>
      <c r="R85" s="4"/>
      <c r="S85" s="5">
        <f>629.7</f>
        <v>629.70000000000005</v>
      </c>
      <c r="T85" s="4"/>
      <c r="U85" s="4"/>
      <c r="V85" s="4"/>
      <c r="W85" s="5">
        <f>8664.97</f>
        <v>8664.9699999999993</v>
      </c>
      <c r="X85" s="5">
        <f>8375.27</f>
        <v>8375.27</v>
      </c>
      <c r="Y85" s="4"/>
      <c r="Z85" s="5">
        <f>3674.98</f>
        <v>3674.98</v>
      </c>
      <c r="AA85" s="5">
        <f>663.29</f>
        <v>663.29</v>
      </c>
      <c r="AB85" s="5">
        <f>1196.45</f>
        <v>1196.45</v>
      </c>
      <c r="AC85" s="4"/>
      <c r="AD85" s="5">
        <f>3135</f>
        <v>3135</v>
      </c>
      <c r="AE85" s="4"/>
      <c r="AF85" s="4"/>
      <c r="AG85" s="4"/>
      <c r="AH85" s="5">
        <f t="shared" si="10"/>
        <v>34531.919999999998</v>
      </c>
    </row>
    <row r="86" spans="1:34" x14ac:dyDescent="0.25">
      <c r="A86" s="3" t="s">
        <v>113</v>
      </c>
      <c r="B86" s="5">
        <f>7526.09</f>
        <v>7526.09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5">
        <f t="shared" si="10"/>
        <v>7526.09</v>
      </c>
    </row>
    <row r="87" spans="1:34" x14ac:dyDescent="0.25">
      <c r="A87" s="3" t="s">
        <v>114</v>
      </c>
      <c r="B87" s="6">
        <f t="shared" ref="B87:AG87" si="14">(((((B81)+(B82))+(B83))+(B84))+(B85))+(B86)</f>
        <v>29290.67</v>
      </c>
      <c r="C87" s="6">
        <f t="shared" si="14"/>
        <v>0</v>
      </c>
      <c r="D87" s="6">
        <f t="shared" si="14"/>
        <v>0</v>
      </c>
      <c r="E87" s="6">
        <f t="shared" si="14"/>
        <v>12017.89</v>
      </c>
      <c r="F87" s="6">
        <f t="shared" si="14"/>
        <v>0</v>
      </c>
      <c r="G87" s="6">
        <f t="shared" si="14"/>
        <v>6535.66</v>
      </c>
      <c r="H87" s="6">
        <f t="shared" si="14"/>
        <v>0</v>
      </c>
      <c r="I87" s="6">
        <f t="shared" si="14"/>
        <v>696.47</v>
      </c>
      <c r="J87" s="6">
        <f t="shared" si="14"/>
        <v>0</v>
      </c>
      <c r="K87" s="6">
        <f t="shared" si="14"/>
        <v>0</v>
      </c>
      <c r="L87" s="6">
        <f t="shared" si="14"/>
        <v>595.39</v>
      </c>
      <c r="M87" s="6">
        <f t="shared" si="14"/>
        <v>0</v>
      </c>
      <c r="N87" s="6">
        <f t="shared" si="14"/>
        <v>2909.01</v>
      </c>
      <c r="O87" s="6">
        <f t="shared" si="14"/>
        <v>49.980000000000004</v>
      </c>
      <c r="P87" s="6">
        <f t="shared" si="14"/>
        <v>0</v>
      </c>
      <c r="Q87" s="6">
        <f t="shared" si="14"/>
        <v>127773.56</v>
      </c>
      <c r="R87" s="6">
        <f t="shared" si="14"/>
        <v>26917.22</v>
      </c>
      <c r="S87" s="6">
        <f t="shared" si="14"/>
        <v>26264.22</v>
      </c>
      <c r="T87" s="6">
        <f t="shared" si="14"/>
        <v>0</v>
      </c>
      <c r="U87" s="6">
        <f t="shared" si="14"/>
        <v>161733.4</v>
      </c>
      <c r="V87" s="6">
        <f t="shared" si="14"/>
        <v>0</v>
      </c>
      <c r="W87" s="6">
        <f t="shared" si="14"/>
        <v>20927.97</v>
      </c>
      <c r="X87" s="6">
        <f t="shared" si="14"/>
        <v>34133.740000000005</v>
      </c>
      <c r="Y87" s="6">
        <f t="shared" si="14"/>
        <v>13852.37</v>
      </c>
      <c r="Z87" s="6">
        <f t="shared" si="14"/>
        <v>34289.64</v>
      </c>
      <c r="AA87" s="6">
        <f t="shared" si="14"/>
        <v>663.29</v>
      </c>
      <c r="AB87" s="6">
        <f t="shared" si="14"/>
        <v>1196.45</v>
      </c>
      <c r="AC87" s="6">
        <f t="shared" si="14"/>
        <v>0</v>
      </c>
      <c r="AD87" s="6">
        <f t="shared" si="14"/>
        <v>3135</v>
      </c>
      <c r="AE87" s="6">
        <f t="shared" si="14"/>
        <v>0</v>
      </c>
      <c r="AF87" s="6">
        <f t="shared" si="14"/>
        <v>98090.239999999991</v>
      </c>
      <c r="AG87" s="6">
        <f t="shared" si="14"/>
        <v>0</v>
      </c>
      <c r="AH87" s="6">
        <f t="shared" si="10"/>
        <v>601072.16999999993</v>
      </c>
    </row>
    <row r="88" spans="1:34" x14ac:dyDescent="0.25">
      <c r="A88" s="3" t="s">
        <v>115</v>
      </c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5">
        <f t="shared" si="10"/>
        <v>0</v>
      </c>
    </row>
    <row r="89" spans="1:34" x14ac:dyDescent="0.25">
      <c r="A89" s="3" t="s">
        <v>116</v>
      </c>
      <c r="B89" s="5">
        <f>5461.7</f>
        <v>5461.7</v>
      </c>
      <c r="C89" s="4"/>
      <c r="D89" s="4"/>
      <c r="E89" s="4"/>
      <c r="F89" s="4"/>
      <c r="G89" s="5">
        <f>388.77</f>
        <v>388.77</v>
      </c>
      <c r="H89" s="4"/>
      <c r="I89" s="5">
        <f>1072</f>
        <v>1072</v>
      </c>
      <c r="J89" s="4"/>
      <c r="K89" s="4"/>
      <c r="L89" s="4"/>
      <c r="M89" s="4"/>
      <c r="N89" s="4"/>
      <c r="O89" s="4"/>
      <c r="P89" s="4"/>
      <c r="Q89" s="4"/>
      <c r="R89" s="5">
        <f>134</f>
        <v>134</v>
      </c>
      <c r="S89" s="5">
        <f>268</f>
        <v>268</v>
      </c>
      <c r="T89" s="4"/>
      <c r="U89" s="4"/>
      <c r="V89" s="4"/>
      <c r="W89" s="5">
        <f>422.9</f>
        <v>422.9</v>
      </c>
      <c r="X89" s="5">
        <f>4214.96</f>
        <v>4214.96</v>
      </c>
      <c r="Y89" s="5">
        <f>268</f>
        <v>268</v>
      </c>
      <c r="Z89" s="5">
        <f>1551.22</f>
        <v>1551.22</v>
      </c>
      <c r="AA89" s="4"/>
      <c r="AB89" s="5">
        <f>210</f>
        <v>210</v>
      </c>
      <c r="AC89" s="5">
        <f>268</f>
        <v>268</v>
      </c>
      <c r="AD89" s="4"/>
      <c r="AE89" s="5">
        <f>670</f>
        <v>670</v>
      </c>
      <c r="AF89" s="4"/>
      <c r="AG89" s="4"/>
      <c r="AH89" s="5">
        <f t="shared" si="10"/>
        <v>14929.549999999997</v>
      </c>
    </row>
    <row r="90" spans="1:34" x14ac:dyDescent="0.25">
      <c r="A90" s="3" t="s">
        <v>117</v>
      </c>
      <c r="B90" s="4"/>
      <c r="C90" s="4"/>
      <c r="D90" s="4"/>
      <c r="E90" s="4"/>
      <c r="F90" s="4"/>
      <c r="G90" s="5">
        <f>7500</f>
        <v>7500</v>
      </c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5">
        <f t="shared" si="10"/>
        <v>7500</v>
      </c>
    </row>
    <row r="91" spans="1:34" x14ac:dyDescent="0.25">
      <c r="A91" s="3" t="s">
        <v>118</v>
      </c>
      <c r="B91" s="5">
        <f>1500</f>
        <v>1500</v>
      </c>
      <c r="C91" s="4"/>
      <c r="D91" s="4"/>
      <c r="E91" s="4"/>
      <c r="F91" s="4"/>
      <c r="G91" s="5">
        <f>1375</f>
        <v>1375</v>
      </c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5">
        <f>463.22</f>
        <v>463.22</v>
      </c>
      <c r="Y91" s="4"/>
      <c r="Z91" s="4"/>
      <c r="AA91" s="4"/>
      <c r="AB91" s="4"/>
      <c r="AC91" s="4"/>
      <c r="AD91" s="4"/>
      <c r="AE91" s="4"/>
      <c r="AF91" s="4"/>
      <c r="AG91" s="4"/>
      <c r="AH91" s="5">
        <f t="shared" si="10"/>
        <v>3338.2200000000003</v>
      </c>
    </row>
    <row r="92" spans="1:34" x14ac:dyDescent="0.25">
      <c r="A92" s="3" t="s">
        <v>119</v>
      </c>
      <c r="B92" s="4"/>
      <c r="C92" s="4"/>
      <c r="D92" s="4"/>
      <c r="E92" s="5">
        <f>27612.67</f>
        <v>27612.67</v>
      </c>
      <c r="F92" s="5">
        <f>1652.16</f>
        <v>1652.16</v>
      </c>
      <c r="G92" s="5">
        <f>97800.26</f>
        <v>97800.26</v>
      </c>
      <c r="H92" s="5">
        <f>557.01</f>
        <v>557.01</v>
      </c>
      <c r="I92" s="5">
        <f>7408.66</f>
        <v>7408.66</v>
      </c>
      <c r="J92" s="5">
        <f>0</f>
        <v>0</v>
      </c>
      <c r="K92" s="5">
        <f>14687.5</f>
        <v>14687.5</v>
      </c>
      <c r="L92" s="5">
        <f>7236.78</f>
        <v>7236.78</v>
      </c>
      <c r="M92" s="5">
        <f>5280.53</f>
        <v>5280.53</v>
      </c>
      <c r="N92" s="4"/>
      <c r="O92" s="5">
        <f>6494.61</f>
        <v>6494.61</v>
      </c>
      <c r="P92" s="5">
        <f>3810.24</f>
        <v>3810.24</v>
      </c>
      <c r="Q92" s="5">
        <f>58116.21</f>
        <v>58116.21</v>
      </c>
      <c r="R92" s="5">
        <f>10506.14</f>
        <v>10506.14</v>
      </c>
      <c r="S92" s="5">
        <f>83260.33</f>
        <v>83260.33</v>
      </c>
      <c r="T92" s="5">
        <f>52800.43</f>
        <v>52800.43</v>
      </c>
      <c r="U92" s="5">
        <f>11571.5</f>
        <v>11571.5</v>
      </c>
      <c r="V92" s="5">
        <f>4314.1</f>
        <v>4314.1000000000004</v>
      </c>
      <c r="W92" s="5">
        <f>22241.28</f>
        <v>22241.279999999999</v>
      </c>
      <c r="X92" s="5">
        <f>31457.97</f>
        <v>31457.97</v>
      </c>
      <c r="Y92" s="5">
        <f>25616.38</f>
        <v>25616.38</v>
      </c>
      <c r="Z92" s="5">
        <f>32187.65</f>
        <v>32187.65</v>
      </c>
      <c r="AA92" s="5">
        <f>129.97</f>
        <v>129.97</v>
      </c>
      <c r="AB92" s="5">
        <f>147.73</f>
        <v>147.72999999999999</v>
      </c>
      <c r="AC92" s="5">
        <f>2415.66</f>
        <v>2415.66</v>
      </c>
      <c r="AD92" s="5">
        <f>909.5</f>
        <v>909.5</v>
      </c>
      <c r="AE92" s="5">
        <f>940.79</f>
        <v>940.79</v>
      </c>
      <c r="AF92" s="5">
        <f>13475.11</f>
        <v>13475.11</v>
      </c>
      <c r="AG92" s="4"/>
      <c r="AH92" s="5">
        <f t="shared" si="10"/>
        <v>522631.16999999981</v>
      </c>
    </row>
    <row r="93" spans="1:34" x14ac:dyDescent="0.25">
      <c r="A93" s="3" t="s">
        <v>120</v>
      </c>
      <c r="B93" s="6">
        <f t="shared" ref="B93:AG93" si="15">((((B88)+(B89))+(B90))+(B91))+(B92)</f>
        <v>6961.7</v>
      </c>
      <c r="C93" s="6">
        <f t="shared" si="15"/>
        <v>0</v>
      </c>
      <c r="D93" s="6">
        <f t="shared" si="15"/>
        <v>0</v>
      </c>
      <c r="E93" s="6">
        <f t="shared" si="15"/>
        <v>27612.67</v>
      </c>
      <c r="F93" s="6">
        <f t="shared" si="15"/>
        <v>1652.16</v>
      </c>
      <c r="G93" s="6">
        <f t="shared" si="15"/>
        <v>107064.03</v>
      </c>
      <c r="H93" s="6">
        <f t="shared" si="15"/>
        <v>557.01</v>
      </c>
      <c r="I93" s="6">
        <f t="shared" si="15"/>
        <v>8480.66</v>
      </c>
      <c r="J93" s="6">
        <f t="shared" si="15"/>
        <v>0</v>
      </c>
      <c r="K93" s="6">
        <f t="shared" si="15"/>
        <v>14687.5</v>
      </c>
      <c r="L93" s="6">
        <f t="shared" si="15"/>
        <v>7236.78</v>
      </c>
      <c r="M93" s="6">
        <f t="shared" si="15"/>
        <v>5280.53</v>
      </c>
      <c r="N93" s="6">
        <f t="shared" si="15"/>
        <v>0</v>
      </c>
      <c r="O93" s="6">
        <f t="shared" si="15"/>
        <v>6494.61</v>
      </c>
      <c r="P93" s="6">
        <f t="shared" si="15"/>
        <v>3810.24</v>
      </c>
      <c r="Q93" s="6">
        <f t="shared" si="15"/>
        <v>58116.21</v>
      </c>
      <c r="R93" s="6">
        <f t="shared" si="15"/>
        <v>10640.14</v>
      </c>
      <c r="S93" s="6">
        <f t="shared" si="15"/>
        <v>83528.33</v>
      </c>
      <c r="T93" s="6">
        <f t="shared" si="15"/>
        <v>52800.43</v>
      </c>
      <c r="U93" s="6">
        <f t="shared" si="15"/>
        <v>11571.5</v>
      </c>
      <c r="V93" s="6">
        <f t="shared" si="15"/>
        <v>4314.1000000000004</v>
      </c>
      <c r="W93" s="6">
        <f t="shared" si="15"/>
        <v>22664.18</v>
      </c>
      <c r="X93" s="6">
        <f t="shared" si="15"/>
        <v>36136.15</v>
      </c>
      <c r="Y93" s="6">
        <f t="shared" si="15"/>
        <v>25884.38</v>
      </c>
      <c r="Z93" s="6">
        <f t="shared" si="15"/>
        <v>33738.870000000003</v>
      </c>
      <c r="AA93" s="6">
        <f t="shared" si="15"/>
        <v>129.97</v>
      </c>
      <c r="AB93" s="6">
        <f t="shared" si="15"/>
        <v>357.73</v>
      </c>
      <c r="AC93" s="6">
        <f t="shared" si="15"/>
        <v>2683.66</v>
      </c>
      <c r="AD93" s="6">
        <f t="shared" si="15"/>
        <v>909.5</v>
      </c>
      <c r="AE93" s="6">
        <f t="shared" si="15"/>
        <v>1610.79</v>
      </c>
      <c r="AF93" s="6">
        <f t="shared" si="15"/>
        <v>13475.11</v>
      </c>
      <c r="AG93" s="6">
        <f t="shared" si="15"/>
        <v>0</v>
      </c>
      <c r="AH93" s="6">
        <f t="shared" si="10"/>
        <v>548398.94000000006</v>
      </c>
    </row>
    <row r="94" spans="1:34" x14ac:dyDescent="0.25">
      <c r="A94" s="3" t="s">
        <v>121</v>
      </c>
      <c r="B94" s="6">
        <f t="shared" ref="B94:AG94" si="16">((((((((B35)+(B47))+(B54))+(B55))+(B67))+(B71))+(B80))+(B87))+(B93)</f>
        <v>850555.69000000006</v>
      </c>
      <c r="C94" s="6">
        <f t="shared" si="16"/>
        <v>215</v>
      </c>
      <c r="D94" s="6">
        <f t="shared" si="16"/>
        <v>3940</v>
      </c>
      <c r="E94" s="6">
        <f t="shared" si="16"/>
        <v>372771.12</v>
      </c>
      <c r="F94" s="6">
        <f t="shared" si="16"/>
        <v>34695.01</v>
      </c>
      <c r="G94" s="6">
        <f t="shared" si="16"/>
        <v>1080802.7999999998</v>
      </c>
      <c r="H94" s="6">
        <f t="shared" si="16"/>
        <v>7528.17</v>
      </c>
      <c r="I94" s="6">
        <f t="shared" si="16"/>
        <v>82024.23000000001</v>
      </c>
      <c r="J94" s="6">
        <f t="shared" si="16"/>
        <v>50000</v>
      </c>
      <c r="K94" s="6">
        <f t="shared" si="16"/>
        <v>161562.56999999998</v>
      </c>
      <c r="L94" s="6">
        <f t="shared" si="16"/>
        <v>79604.560000000012</v>
      </c>
      <c r="M94" s="6">
        <f t="shared" si="16"/>
        <v>71287.33</v>
      </c>
      <c r="N94" s="6">
        <f t="shared" si="16"/>
        <v>5538.52</v>
      </c>
      <c r="O94" s="6">
        <f t="shared" si="16"/>
        <v>71247.959999999992</v>
      </c>
      <c r="P94" s="6">
        <f t="shared" si="16"/>
        <v>41912.620000000003</v>
      </c>
      <c r="Q94" s="6">
        <f t="shared" si="16"/>
        <v>639278.22</v>
      </c>
      <c r="R94" s="6">
        <f t="shared" si="16"/>
        <v>115567.56000000001</v>
      </c>
      <c r="S94" s="6">
        <f t="shared" si="16"/>
        <v>720175.34999999986</v>
      </c>
      <c r="T94" s="6">
        <f t="shared" si="16"/>
        <v>492804.00999999995</v>
      </c>
      <c r="U94" s="6">
        <f t="shared" si="16"/>
        <v>259978.96</v>
      </c>
      <c r="V94" s="6">
        <f t="shared" si="16"/>
        <v>58240.42</v>
      </c>
      <c r="W94" s="6">
        <f t="shared" si="16"/>
        <v>295176.14</v>
      </c>
      <c r="X94" s="6">
        <f t="shared" si="16"/>
        <v>424822.14</v>
      </c>
      <c r="Y94" s="6">
        <f t="shared" si="16"/>
        <v>208590.51</v>
      </c>
      <c r="Z94" s="6">
        <f t="shared" si="16"/>
        <v>354064.01</v>
      </c>
      <c r="AA94" s="6">
        <f t="shared" si="16"/>
        <v>6590</v>
      </c>
      <c r="AB94" s="6">
        <f t="shared" si="16"/>
        <v>7534</v>
      </c>
      <c r="AC94" s="6">
        <f t="shared" si="16"/>
        <v>19670.39</v>
      </c>
      <c r="AD94" s="6">
        <f t="shared" si="16"/>
        <v>10004.5</v>
      </c>
      <c r="AE94" s="6">
        <f t="shared" si="16"/>
        <v>7660.69</v>
      </c>
      <c r="AF94" s="6">
        <f t="shared" si="16"/>
        <v>218751.90999999997</v>
      </c>
      <c r="AG94" s="6">
        <f t="shared" si="16"/>
        <v>0</v>
      </c>
      <c r="AH94" s="6">
        <f t="shared" si="10"/>
        <v>6752594.3899999987</v>
      </c>
    </row>
    <row r="95" spans="1:34" x14ac:dyDescent="0.25">
      <c r="A95" s="3" t="s">
        <v>122</v>
      </c>
      <c r="B95" s="6">
        <f t="shared" ref="B95:AG95" si="17">(B30)-(B94)</f>
        <v>207179.78999999992</v>
      </c>
      <c r="C95" s="6">
        <f t="shared" si="17"/>
        <v>0</v>
      </c>
      <c r="D95" s="6">
        <f t="shared" si="17"/>
        <v>-3940</v>
      </c>
      <c r="E95" s="6">
        <f t="shared" si="17"/>
        <v>-84570.589999999967</v>
      </c>
      <c r="F95" s="6">
        <f t="shared" si="17"/>
        <v>-8808.8100000000013</v>
      </c>
      <c r="G95" s="6">
        <f t="shared" si="17"/>
        <v>717032.10000000009</v>
      </c>
      <c r="H95" s="6">
        <f t="shared" si="17"/>
        <v>0</v>
      </c>
      <c r="I95" s="6">
        <f t="shared" si="17"/>
        <v>-63290.280000000013</v>
      </c>
      <c r="J95" s="6">
        <f t="shared" si="17"/>
        <v>0</v>
      </c>
      <c r="K95" s="6">
        <f t="shared" si="17"/>
        <v>-30746.609999999971</v>
      </c>
      <c r="L95" s="6">
        <f t="shared" si="17"/>
        <v>10670.099999999991</v>
      </c>
      <c r="M95" s="6">
        <f t="shared" si="17"/>
        <v>-21859.35</v>
      </c>
      <c r="N95" s="6">
        <f t="shared" si="17"/>
        <v>2461.4799999999996</v>
      </c>
      <c r="O95" s="6">
        <f t="shared" si="17"/>
        <v>-54472.959999999992</v>
      </c>
      <c r="P95" s="6">
        <f t="shared" si="17"/>
        <v>28646.879999999997</v>
      </c>
      <c r="Q95" s="6">
        <f t="shared" si="17"/>
        <v>0</v>
      </c>
      <c r="R95" s="6">
        <f t="shared" si="17"/>
        <v>269090.44</v>
      </c>
      <c r="S95" s="6">
        <f t="shared" si="17"/>
        <v>-79409.229999999865</v>
      </c>
      <c r="T95" s="6">
        <f t="shared" si="17"/>
        <v>0</v>
      </c>
      <c r="U95" s="6">
        <f t="shared" si="17"/>
        <v>0</v>
      </c>
      <c r="V95" s="6">
        <f t="shared" si="17"/>
        <v>-14744.419999999998</v>
      </c>
      <c r="W95" s="6">
        <f t="shared" si="17"/>
        <v>1686.2699999999604</v>
      </c>
      <c r="X95" s="6">
        <f t="shared" si="17"/>
        <v>-0.14000000001396984</v>
      </c>
      <c r="Y95" s="6">
        <f t="shared" si="17"/>
        <v>-20474.650000000023</v>
      </c>
      <c r="Z95" s="6">
        <f t="shared" si="17"/>
        <v>-123789.16</v>
      </c>
      <c r="AA95" s="6">
        <f t="shared" si="17"/>
        <v>0</v>
      </c>
      <c r="AB95" s="6">
        <f t="shared" si="17"/>
        <v>0</v>
      </c>
      <c r="AC95" s="6">
        <f t="shared" si="17"/>
        <v>-19670.39</v>
      </c>
      <c r="AD95" s="6">
        <f t="shared" si="17"/>
        <v>-10004.5</v>
      </c>
      <c r="AE95" s="6">
        <f t="shared" si="17"/>
        <v>-7660.69</v>
      </c>
      <c r="AF95" s="6">
        <f t="shared" si="17"/>
        <v>7658.9400000000314</v>
      </c>
      <c r="AG95" s="6">
        <f t="shared" si="17"/>
        <v>0</v>
      </c>
      <c r="AH95" s="6">
        <f t="shared" si="10"/>
        <v>700984.22000000009</v>
      </c>
    </row>
    <row r="96" spans="1:34" x14ac:dyDescent="0.25">
      <c r="A96" s="3" t="s">
        <v>123</v>
      </c>
      <c r="B96" s="7">
        <f t="shared" ref="B96:AG96" si="18">(B95)+(0)</f>
        <v>207179.78999999992</v>
      </c>
      <c r="C96" s="7">
        <f t="shared" si="18"/>
        <v>0</v>
      </c>
      <c r="D96" s="7">
        <f t="shared" si="18"/>
        <v>-3940</v>
      </c>
      <c r="E96" s="7">
        <f t="shared" si="18"/>
        <v>-84570.589999999967</v>
      </c>
      <c r="F96" s="7">
        <f t="shared" si="18"/>
        <v>-8808.8100000000013</v>
      </c>
      <c r="G96" s="7">
        <f t="shared" si="18"/>
        <v>717032.10000000009</v>
      </c>
      <c r="H96" s="7">
        <f t="shared" si="18"/>
        <v>0</v>
      </c>
      <c r="I96" s="7">
        <f t="shared" si="18"/>
        <v>-63290.280000000013</v>
      </c>
      <c r="J96" s="7">
        <f t="shared" si="18"/>
        <v>0</v>
      </c>
      <c r="K96" s="7">
        <f t="shared" si="18"/>
        <v>-30746.609999999971</v>
      </c>
      <c r="L96" s="7">
        <f t="shared" si="18"/>
        <v>10670.099999999991</v>
      </c>
      <c r="M96" s="7">
        <f t="shared" si="18"/>
        <v>-21859.35</v>
      </c>
      <c r="N96" s="7">
        <f t="shared" si="18"/>
        <v>2461.4799999999996</v>
      </c>
      <c r="O96" s="7">
        <f t="shared" si="18"/>
        <v>-54472.959999999992</v>
      </c>
      <c r="P96" s="7">
        <f t="shared" si="18"/>
        <v>28646.879999999997</v>
      </c>
      <c r="Q96" s="7">
        <f t="shared" si="18"/>
        <v>0</v>
      </c>
      <c r="R96" s="7">
        <f t="shared" si="18"/>
        <v>269090.44</v>
      </c>
      <c r="S96" s="7">
        <f t="shared" si="18"/>
        <v>-79409.229999999865</v>
      </c>
      <c r="T96" s="7">
        <f t="shared" si="18"/>
        <v>0</v>
      </c>
      <c r="U96" s="7">
        <f t="shared" si="18"/>
        <v>0</v>
      </c>
      <c r="V96" s="7">
        <f t="shared" si="18"/>
        <v>-14744.419999999998</v>
      </c>
      <c r="W96" s="7">
        <f t="shared" si="18"/>
        <v>1686.2699999999604</v>
      </c>
      <c r="X96" s="7">
        <f t="shared" si="18"/>
        <v>-0.14000000001396984</v>
      </c>
      <c r="Y96" s="7">
        <f t="shared" si="18"/>
        <v>-20474.650000000023</v>
      </c>
      <c r="Z96" s="7">
        <f t="shared" si="18"/>
        <v>-123789.16</v>
      </c>
      <c r="AA96" s="7">
        <f t="shared" si="18"/>
        <v>0</v>
      </c>
      <c r="AB96" s="7">
        <f t="shared" si="18"/>
        <v>0</v>
      </c>
      <c r="AC96" s="7">
        <f t="shared" si="18"/>
        <v>-19670.39</v>
      </c>
      <c r="AD96" s="7">
        <f t="shared" si="18"/>
        <v>-10004.5</v>
      </c>
      <c r="AE96" s="7">
        <f t="shared" si="18"/>
        <v>-7660.69</v>
      </c>
      <c r="AF96" s="7">
        <f t="shared" si="18"/>
        <v>7658.9400000000314</v>
      </c>
      <c r="AG96" s="7">
        <f t="shared" si="18"/>
        <v>0</v>
      </c>
      <c r="AH96" s="7">
        <f t="shared" ref="AH96" si="19">(((((((((((((((((((((((((((((((B96)+(C96))+(D96))+(E96))+(F96))+(G96))+(H96))+(I96))+(J96))+(K96))+(L96))+(M96))+(N96))+(O96))+(P96))+(Q96))+(R96))+(S96))+(T96))+(U96))+(V96))+(W96))+(X96))+(Y96))+(Z96))+(AA96))+(AB96))+(AC96))+(AD96))+(AE96))+(AF96))+(AG96)</f>
        <v>700984.22000000009</v>
      </c>
    </row>
    <row r="97" spans="1:34" x14ac:dyDescent="0.25">
      <c r="A97" s="3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</row>
    <row r="100" spans="1:34" x14ac:dyDescent="0.25">
      <c r="A100" s="8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</row>
  </sheetData>
  <sheetProtection algorithmName="SHA-512" hashValue="rZt0egGDnx6MbD21wmEJ5/l/GvZt7/4mWJjpeZzK0LRZ+YpTTCvwcdyxMZG5ALI89qIW9z9VJeql/TPCbB+3bQ==" saltValue="fWXojybD+NaHHCwXMKsDjA==" spinCount="100000" sheet="1" objects="1" scenarios="1"/>
  <mergeCells count="4">
    <mergeCell ref="A100:AH100"/>
    <mergeCell ref="A1:AH1"/>
    <mergeCell ref="A2:AH2"/>
    <mergeCell ref="A3:AH3"/>
  </mergeCells>
  <pageMargins left="0.7" right="0.7" top="0.75" bottom="0.75" header="0.3" footer="0.3"/>
  <pageSetup paperSize="5" scale="4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and Loss by Class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Faust</cp:lastModifiedBy>
  <cp:lastPrinted>2023-03-01T20:35:50Z</cp:lastPrinted>
  <dcterms:created xsi:type="dcterms:W3CDTF">2023-03-01T20:34:12Z</dcterms:created>
  <dcterms:modified xsi:type="dcterms:W3CDTF">2023-03-31T14:53:45Z</dcterms:modified>
</cp:coreProperties>
</file>