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faust\Desktop\Board Meeting Attachments\"/>
    </mc:Choice>
  </mc:AlternateContent>
  <xr:revisionPtr revIDLastSave="0" documentId="8_{5198CB50-A9CE-4AC2-B64A-6CA5AA0A7739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Profit and Loss by Class" sheetId="1" r:id="rId1"/>
  </sheet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8" i="1" l="1"/>
  <c r="B9" i="1"/>
  <c r="B11" i="1"/>
  <c r="B12" i="1"/>
  <c r="B13" i="1"/>
  <c r="B14" i="1"/>
  <c r="B15" i="1"/>
  <c r="B16" i="1"/>
  <c r="B17" i="1"/>
  <c r="B19" i="1"/>
  <c r="B22" i="1"/>
  <c r="B23" i="1"/>
  <c r="B24" i="1"/>
  <c r="B28" i="1"/>
  <c r="B29" i="1"/>
  <c r="B30" i="1"/>
  <c r="B33" i="1"/>
  <c r="B34" i="1"/>
  <c r="B35" i="1"/>
  <c r="B36" i="1"/>
  <c r="B38" i="1"/>
  <c r="B39" i="1"/>
  <c r="B40" i="1"/>
  <c r="B41" i="1"/>
  <c r="B43" i="1"/>
  <c r="B44" i="1"/>
  <c r="B47" i="1"/>
  <c r="B49" i="1"/>
  <c r="B50" i="1"/>
  <c r="B52" i="1"/>
  <c r="B53" i="1"/>
  <c r="B54" i="1"/>
  <c r="B55" i="1"/>
  <c r="B57" i="1"/>
  <c r="B58" i="1"/>
  <c r="B59" i="1"/>
  <c r="B60" i="1"/>
  <c r="B62" i="1"/>
  <c r="B63" i="1"/>
  <c r="B64" i="1"/>
  <c r="B65" i="1"/>
  <c r="B67" i="1"/>
  <c r="B69" i="1"/>
  <c r="B70" i="1"/>
  <c r="B71" i="1"/>
  <c r="B73" i="1"/>
  <c r="B74" i="1"/>
  <c r="B75" i="1"/>
  <c r="B76" i="1"/>
  <c r="B77" i="1"/>
  <c r="B78" i="1"/>
  <c r="B79" i="1"/>
  <c r="B80" i="1"/>
  <c r="B83" i="1"/>
  <c r="B84" i="1"/>
  <c r="B85" i="1"/>
  <c r="B86" i="1"/>
  <c r="B87" i="1"/>
  <c r="B89" i="1"/>
  <c r="B91" i="1"/>
  <c r="B93" i="1"/>
  <c r="B94" i="1"/>
  <c r="B95" i="1"/>
  <c r="B96" i="1"/>
  <c r="C17" i="1"/>
  <c r="C19" i="1"/>
  <c r="C22" i="1"/>
  <c r="C28" i="1"/>
  <c r="C29" i="1"/>
  <c r="C30" i="1"/>
  <c r="C35" i="1"/>
  <c r="C47" i="1"/>
  <c r="C54" i="1"/>
  <c r="C67" i="1"/>
  <c r="C71" i="1"/>
  <c r="C78" i="1"/>
  <c r="C80" i="1"/>
  <c r="C87" i="1"/>
  <c r="C93" i="1"/>
  <c r="C94" i="1"/>
  <c r="C95" i="1"/>
  <c r="C96" i="1"/>
  <c r="D19" i="1"/>
  <c r="D22" i="1"/>
  <c r="D28" i="1"/>
  <c r="D29" i="1"/>
  <c r="D30" i="1"/>
  <c r="D35" i="1"/>
  <c r="D47" i="1"/>
  <c r="D54" i="1"/>
  <c r="D67" i="1"/>
  <c r="D71" i="1"/>
  <c r="D78" i="1"/>
  <c r="D80" i="1"/>
  <c r="D87" i="1"/>
  <c r="D93" i="1"/>
  <c r="D94" i="1"/>
  <c r="D95" i="1"/>
  <c r="D96" i="1"/>
  <c r="E19" i="1"/>
  <c r="E22" i="1"/>
  <c r="E27" i="1"/>
  <c r="E28" i="1"/>
  <c r="E29" i="1"/>
  <c r="E30" i="1"/>
  <c r="E33" i="1"/>
  <c r="E35" i="1"/>
  <c r="E37" i="1"/>
  <c r="E39" i="1"/>
  <c r="E40" i="1"/>
  <c r="E42" i="1"/>
  <c r="E44" i="1"/>
  <c r="E45" i="1"/>
  <c r="E46" i="1"/>
  <c r="E47" i="1"/>
  <c r="E49" i="1"/>
  <c r="E53" i="1"/>
  <c r="E54" i="1"/>
  <c r="E55" i="1"/>
  <c r="E61" i="1"/>
  <c r="E63" i="1"/>
  <c r="E64" i="1"/>
  <c r="E67" i="1"/>
  <c r="E71" i="1"/>
  <c r="E75" i="1"/>
  <c r="E77" i="1"/>
  <c r="E78" i="1"/>
  <c r="E80" i="1"/>
  <c r="E83" i="1"/>
  <c r="E84" i="1"/>
  <c r="E85" i="1"/>
  <c r="E87" i="1"/>
  <c r="E92" i="1"/>
  <c r="E93" i="1"/>
  <c r="E94" i="1"/>
  <c r="E95" i="1"/>
  <c r="E96" i="1"/>
  <c r="F11" i="1"/>
  <c r="F19" i="1"/>
  <c r="F22" i="1"/>
  <c r="F28" i="1"/>
  <c r="F29" i="1"/>
  <c r="F30" i="1"/>
  <c r="F34" i="1"/>
  <c r="F35" i="1"/>
  <c r="F38" i="1"/>
  <c r="F39" i="1"/>
  <c r="F44" i="1"/>
  <c r="F47" i="1"/>
  <c r="F54" i="1"/>
  <c r="F67" i="1"/>
  <c r="F71" i="1"/>
  <c r="F80" i="1"/>
  <c r="F87" i="1"/>
  <c r="F92" i="1"/>
  <c r="F93" i="1"/>
  <c r="F94" i="1"/>
  <c r="F95" i="1"/>
  <c r="F96" i="1"/>
  <c r="G7" i="1"/>
  <c r="G18" i="1"/>
  <c r="G19" i="1"/>
  <c r="G20" i="1"/>
  <c r="G21" i="1"/>
  <c r="G22" i="1"/>
  <c r="G28" i="1"/>
  <c r="G29" i="1"/>
  <c r="G30" i="1"/>
  <c r="G33" i="1"/>
  <c r="G34" i="1"/>
  <c r="G35" i="1"/>
  <c r="G38" i="1"/>
  <c r="G39" i="1"/>
  <c r="G40" i="1"/>
  <c r="G41" i="1"/>
  <c r="G43" i="1"/>
  <c r="G44" i="1"/>
  <c r="G45" i="1"/>
  <c r="G47" i="1"/>
  <c r="G49" i="1"/>
  <c r="G52" i="1"/>
  <c r="G53" i="1"/>
  <c r="G54" i="1"/>
  <c r="G55" i="1"/>
  <c r="G57" i="1"/>
  <c r="G58" i="1"/>
  <c r="G59" i="1"/>
  <c r="G60" i="1"/>
  <c r="G62" i="1"/>
  <c r="G63" i="1"/>
  <c r="G65" i="1"/>
  <c r="G66" i="1"/>
  <c r="G67" i="1"/>
  <c r="G69" i="1"/>
  <c r="G70" i="1"/>
  <c r="G71" i="1"/>
  <c r="G73" i="1"/>
  <c r="G74" i="1"/>
  <c r="G75" i="1"/>
  <c r="G76" i="1"/>
  <c r="G77" i="1"/>
  <c r="G78" i="1"/>
  <c r="G79" i="1"/>
  <c r="G80" i="1"/>
  <c r="G83" i="1"/>
  <c r="G84" i="1"/>
  <c r="G85" i="1"/>
  <c r="G87" i="1"/>
  <c r="G89" i="1"/>
  <c r="G90" i="1"/>
  <c r="G91" i="1"/>
  <c r="G92" i="1"/>
  <c r="G93" i="1"/>
  <c r="G94" i="1"/>
  <c r="G95" i="1"/>
  <c r="G96" i="1"/>
  <c r="H19" i="1"/>
  <c r="H22" i="1"/>
  <c r="H27" i="1"/>
  <c r="H28" i="1"/>
  <c r="H29" i="1"/>
  <c r="H30" i="1"/>
  <c r="H33" i="1"/>
  <c r="H35" i="1"/>
  <c r="H37" i="1"/>
  <c r="H39" i="1"/>
  <c r="H40" i="1"/>
  <c r="H42" i="1"/>
  <c r="H46" i="1"/>
  <c r="H47" i="1"/>
  <c r="H54" i="1"/>
  <c r="H67" i="1"/>
  <c r="H71" i="1"/>
  <c r="H78" i="1"/>
  <c r="H80" i="1"/>
  <c r="H87" i="1"/>
  <c r="H92" i="1"/>
  <c r="H93" i="1"/>
  <c r="H94" i="1"/>
  <c r="H95" i="1"/>
  <c r="H96" i="1"/>
  <c r="I19" i="1"/>
  <c r="I22" i="1"/>
  <c r="I27" i="1"/>
  <c r="I28" i="1"/>
  <c r="I29" i="1"/>
  <c r="I30" i="1"/>
  <c r="I33" i="1"/>
  <c r="I35" i="1"/>
  <c r="I37" i="1"/>
  <c r="I39" i="1"/>
  <c r="I40" i="1"/>
  <c r="I42" i="1"/>
  <c r="I43" i="1"/>
  <c r="I44" i="1"/>
  <c r="I45" i="1"/>
  <c r="I46" i="1"/>
  <c r="I47" i="1"/>
  <c r="I49" i="1"/>
  <c r="I53" i="1"/>
  <c r="I54" i="1"/>
  <c r="I55" i="1"/>
  <c r="I67" i="1"/>
  <c r="I71" i="1"/>
  <c r="I75" i="1"/>
  <c r="I77" i="1"/>
  <c r="I78" i="1"/>
  <c r="I80" i="1"/>
  <c r="I84" i="1"/>
  <c r="I87" i="1"/>
  <c r="I89" i="1"/>
  <c r="I92" i="1"/>
  <c r="I93" i="1"/>
  <c r="I94" i="1"/>
  <c r="I95" i="1"/>
  <c r="I96" i="1"/>
  <c r="J19" i="1"/>
  <c r="J22" i="1"/>
  <c r="J27" i="1"/>
  <c r="J28" i="1"/>
  <c r="J29" i="1"/>
  <c r="J30" i="1"/>
  <c r="J35" i="1"/>
  <c r="J47" i="1"/>
  <c r="J49" i="1"/>
  <c r="J54" i="1"/>
  <c r="J67" i="1"/>
  <c r="J71" i="1"/>
  <c r="J80" i="1"/>
  <c r="J87" i="1"/>
  <c r="J92" i="1"/>
  <c r="J93" i="1"/>
  <c r="J94" i="1"/>
  <c r="J95" i="1"/>
  <c r="J96" i="1"/>
  <c r="K19" i="1"/>
  <c r="K22" i="1"/>
  <c r="K27" i="1"/>
  <c r="K28" i="1"/>
  <c r="K29" i="1"/>
  <c r="K30" i="1"/>
  <c r="K33" i="1"/>
  <c r="K35" i="1"/>
  <c r="K37" i="1"/>
  <c r="K39" i="1"/>
  <c r="K40" i="1"/>
  <c r="K42" i="1"/>
  <c r="K44" i="1"/>
  <c r="K46" i="1"/>
  <c r="K47" i="1"/>
  <c r="K53" i="1"/>
  <c r="K54" i="1"/>
  <c r="K55" i="1"/>
  <c r="K67" i="1"/>
  <c r="K71" i="1"/>
  <c r="K78" i="1"/>
  <c r="K80" i="1"/>
  <c r="K87" i="1"/>
  <c r="K92" i="1"/>
  <c r="K93" i="1"/>
  <c r="K94" i="1"/>
  <c r="K95" i="1"/>
  <c r="K96" i="1"/>
  <c r="L19" i="1"/>
  <c r="L20" i="1"/>
  <c r="L22" i="1"/>
  <c r="L28" i="1"/>
  <c r="L29" i="1"/>
  <c r="L30" i="1"/>
  <c r="L33" i="1"/>
  <c r="L35" i="1"/>
  <c r="L39" i="1"/>
  <c r="L40" i="1"/>
  <c r="L43" i="1"/>
  <c r="L44" i="1"/>
  <c r="L47" i="1"/>
  <c r="L49" i="1"/>
  <c r="L53" i="1"/>
  <c r="L54" i="1"/>
  <c r="L55" i="1"/>
  <c r="L67" i="1"/>
  <c r="L71" i="1"/>
  <c r="L77" i="1"/>
  <c r="L78" i="1"/>
  <c r="L80" i="1"/>
  <c r="L84" i="1"/>
  <c r="L87" i="1"/>
  <c r="L92" i="1"/>
  <c r="L93" i="1"/>
  <c r="L94" i="1"/>
  <c r="L95" i="1"/>
  <c r="L96" i="1"/>
  <c r="M11" i="1"/>
  <c r="M15" i="1"/>
  <c r="M19" i="1"/>
  <c r="M22" i="1"/>
  <c r="M28" i="1"/>
  <c r="M29" i="1"/>
  <c r="M30" i="1"/>
  <c r="M34" i="1"/>
  <c r="M35" i="1"/>
  <c r="M38" i="1"/>
  <c r="M39" i="1"/>
  <c r="M41" i="1"/>
  <c r="M44" i="1"/>
  <c r="M47" i="1"/>
  <c r="M54" i="1"/>
  <c r="M67" i="1"/>
  <c r="M71" i="1"/>
  <c r="M80" i="1"/>
  <c r="M87" i="1"/>
  <c r="M92" i="1"/>
  <c r="M93" i="1"/>
  <c r="M94" i="1"/>
  <c r="M95" i="1"/>
  <c r="M96" i="1"/>
  <c r="N8" i="1"/>
  <c r="N10" i="1"/>
  <c r="N19" i="1"/>
  <c r="N22" i="1"/>
  <c r="N28" i="1"/>
  <c r="N29" i="1"/>
  <c r="N30" i="1"/>
  <c r="N33" i="1"/>
  <c r="N35" i="1"/>
  <c r="N37" i="1"/>
  <c r="N39" i="1"/>
  <c r="N40" i="1"/>
  <c r="N42" i="1"/>
  <c r="N46" i="1"/>
  <c r="N47" i="1"/>
  <c r="N49" i="1"/>
  <c r="N54" i="1"/>
  <c r="N67" i="1"/>
  <c r="N71" i="1"/>
  <c r="N77" i="1"/>
  <c r="N78" i="1"/>
  <c r="N80" i="1"/>
  <c r="N84" i="1"/>
  <c r="N85" i="1"/>
  <c r="N87" i="1"/>
  <c r="N93" i="1"/>
  <c r="N94" i="1"/>
  <c r="N95" i="1"/>
  <c r="N96" i="1"/>
  <c r="O10" i="1"/>
  <c r="O19" i="1"/>
  <c r="O22" i="1"/>
  <c r="O28" i="1"/>
  <c r="O29" i="1"/>
  <c r="O30" i="1"/>
  <c r="O33" i="1"/>
  <c r="O35" i="1"/>
  <c r="O37" i="1"/>
  <c r="O39" i="1"/>
  <c r="O40" i="1"/>
  <c r="O42" i="1"/>
  <c r="O46" i="1"/>
  <c r="O47" i="1"/>
  <c r="O49" i="1"/>
  <c r="O54" i="1"/>
  <c r="O63" i="1"/>
  <c r="O67" i="1"/>
  <c r="O71" i="1"/>
  <c r="O77" i="1"/>
  <c r="O78" i="1"/>
  <c r="O80" i="1"/>
  <c r="O84" i="1"/>
  <c r="O85" i="1"/>
  <c r="O87" i="1"/>
  <c r="O92" i="1"/>
  <c r="O93" i="1"/>
  <c r="O94" i="1"/>
  <c r="O95" i="1"/>
  <c r="O96" i="1"/>
  <c r="P19" i="1"/>
  <c r="P20" i="1"/>
  <c r="P22" i="1"/>
  <c r="P28" i="1"/>
  <c r="P29" i="1"/>
  <c r="P30" i="1"/>
  <c r="P33" i="1"/>
  <c r="P35" i="1"/>
  <c r="P39" i="1"/>
  <c r="P40" i="1"/>
  <c r="P43" i="1"/>
  <c r="P44" i="1"/>
  <c r="P45" i="1"/>
  <c r="P47" i="1"/>
  <c r="P49" i="1"/>
  <c r="P53" i="1"/>
  <c r="P54" i="1"/>
  <c r="P67" i="1"/>
  <c r="P71" i="1"/>
  <c r="P78" i="1"/>
  <c r="P80" i="1"/>
  <c r="P87" i="1"/>
  <c r="P92" i="1"/>
  <c r="P93" i="1"/>
  <c r="P94" i="1"/>
  <c r="P95" i="1"/>
  <c r="P96" i="1"/>
  <c r="Q19" i="1"/>
  <c r="Q22" i="1"/>
  <c r="Q26" i="1"/>
  <c r="Q28" i="1"/>
  <c r="Q29" i="1"/>
  <c r="Q30" i="1"/>
  <c r="Q33" i="1"/>
  <c r="Q34" i="1"/>
  <c r="Q35" i="1"/>
  <c r="Q38" i="1"/>
  <c r="Q39" i="1"/>
  <c r="Q40" i="1"/>
  <c r="Q41" i="1"/>
  <c r="Q43" i="1"/>
  <c r="Q44" i="1"/>
  <c r="Q45" i="1"/>
  <c r="Q47" i="1"/>
  <c r="Q49" i="1"/>
  <c r="Q54" i="1"/>
  <c r="Q67" i="1"/>
  <c r="Q71" i="1"/>
  <c r="Q80" i="1"/>
  <c r="Q82" i="1"/>
  <c r="Q87" i="1"/>
  <c r="Q92" i="1"/>
  <c r="Q93" i="1"/>
  <c r="Q94" i="1"/>
  <c r="Q95" i="1"/>
  <c r="Q96" i="1"/>
  <c r="R11" i="1"/>
  <c r="R19" i="1"/>
  <c r="R22" i="1"/>
  <c r="R25" i="1"/>
  <c r="R28" i="1"/>
  <c r="R29" i="1"/>
  <c r="R30" i="1"/>
  <c r="R33" i="1"/>
  <c r="R35" i="1"/>
  <c r="R39" i="1"/>
  <c r="R40" i="1"/>
  <c r="R44" i="1"/>
  <c r="R45" i="1"/>
  <c r="R47" i="1"/>
  <c r="R49" i="1"/>
  <c r="R54" i="1"/>
  <c r="R61" i="1"/>
  <c r="R64" i="1"/>
  <c r="R65" i="1"/>
  <c r="R67" i="1"/>
  <c r="R71" i="1"/>
  <c r="R75" i="1"/>
  <c r="R77" i="1"/>
  <c r="R78" i="1"/>
  <c r="R80" i="1"/>
  <c r="R82" i="1"/>
  <c r="R83" i="1"/>
  <c r="R84" i="1"/>
  <c r="R87" i="1"/>
  <c r="R89" i="1"/>
  <c r="R92" i="1"/>
  <c r="R93" i="1"/>
  <c r="R94" i="1"/>
  <c r="R95" i="1"/>
  <c r="R96" i="1"/>
  <c r="S19" i="1"/>
  <c r="S22" i="1"/>
  <c r="S27" i="1"/>
  <c r="S28" i="1"/>
  <c r="S29" i="1"/>
  <c r="S30" i="1"/>
  <c r="S33" i="1"/>
  <c r="S34" i="1"/>
  <c r="S35" i="1"/>
  <c r="S36" i="1"/>
  <c r="S37" i="1"/>
  <c r="S38" i="1"/>
  <c r="S39" i="1"/>
  <c r="S40" i="1"/>
  <c r="S41" i="1"/>
  <c r="S42" i="1"/>
  <c r="S43" i="1"/>
  <c r="S44" i="1"/>
  <c r="S45" i="1"/>
  <c r="S46" i="1"/>
  <c r="S47" i="1"/>
  <c r="S49" i="1"/>
  <c r="S53" i="1"/>
  <c r="S54" i="1"/>
  <c r="S55" i="1"/>
  <c r="S67" i="1"/>
  <c r="S71" i="1"/>
  <c r="S75" i="1"/>
  <c r="S77" i="1"/>
  <c r="S78" i="1"/>
  <c r="S79" i="1"/>
  <c r="S80" i="1"/>
  <c r="S82" i="1"/>
  <c r="S83" i="1"/>
  <c r="S84" i="1"/>
  <c r="S85" i="1"/>
  <c r="S87" i="1"/>
  <c r="S89" i="1"/>
  <c r="S92" i="1"/>
  <c r="S93" i="1"/>
  <c r="S94" i="1"/>
  <c r="S95" i="1"/>
  <c r="S96" i="1"/>
  <c r="T19" i="1"/>
  <c r="T22" i="1"/>
  <c r="T26" i="1"/>
  <c r="T28" i="1"/>
  <c r="T29" i="1"/>
  <c r="T30" i="1"/>
  <c r="T34" i="1"/>
  <c r="T35" i="1"/>
  <c r="T38" i="1"/>
  <c r="T39" i="1"/>
  <c r="T41" i="1"/>
  <c r="T42" i="1"/>
  <c r="T43" i="1"/>
  <c r="T44" i="1"/>
  <c r="T47" i="1"/>
  <c r="T49" i="1"/>
  <c r="T54" i="1"/>
  <c r="T67" i="1"/>
  <c r="T71" i="1"/>
  <c r="T80" i="1"/>
  <c r="T87" i="1"/>
  <c r="T92" i="1"/>
  <c r="T93" i="1"/>
  <c r="T94" i="1"/>
  <c r="T95" i="1"/>
  <c r="T96" i="1"/>
  <c r="U19" i="1"/>
  <c r="U22" i="1"/>
  <c r="U27" i="1"/>
  <c r="U28" i="1"/>
  <c r="U29" i="1"/>
  <c r="U30" i="1"/>
  <c r="U33" i="1"/>
  <c r="U35" i="1"/>
  <c r="U37" i="1"/>
  <c r="U39" i="1"/>
  <c r="U40" i="1"/>
  <c r="U42" i="1"/>
  <c r="U44" i="1"/>
  <c r="U45" i="1"/>
  <c r="U46" i="1"/>
  <c r="U47" i="1"/>
  <c r="U54" i="1"/>
  <c r="U67" i="1"/>
  <c r="U71" i="1"/>
  <c r="U80" i="1"/>
  <c r="U84" i="1"/>
  <c r="U87" i="1"/>
  <c r="U92" i="1"/>
  <c r="U93" i="1"/>
  <c r="U94" i="1"/>
  <c r="U95" i="1"/>
  <c r="U96" i="1"/>
  <c r="V19" i="1"/>
  <c r="V22" i="1"/>
  <c r="V26" i="1"/>
  <c r="V28" i="1"/>
  <c r="V29" i="1"/>
  <c r="V30" i="1"/>
  <c r="V34" i="1"/>
  <c r="V35" i="1"/>
  <c r="V38" i="1"/>
  <c r="V39" i="1"/>
  <c r="V41" i="1"/>
  <c r="V44" i="1"/>
  <c r="V47" i="1"/>
  <c r="V54" i="1"/>
  <c r="V67" i="1"/>
  <c r="V71" i="1"/>
  <c r="V80" i="1"/>
  <c r="V87" i="1"/>
  <c r="V92" i="1"/>
  <c r="V93" i="1"/>
  <c r="V94" i="1"/>
  <c r="V95" i="1"/>
  <c r="V96" i="1"/>
  <c r="W19" i="1"/>
  <c r="W22" i="1"/>
  <c r="W27" i="1"/>
  <c r="W28" i="1"/>
  <c r="W29" i="1"/>
  <c r="W30" i="1"/>
  <c r="W33" i="1"/>
  <c r="W34" i="1"/>
  <c r="W35" i="1"/>
  <c r="W37" i="1"/>
  <c r="W38" i="1"/>
  <c r="W39" i="1"/>
  <c r="W40" i="1"/>
  <c r="W41" i="1"/>
  <c r="W42" i="1"/>
  <c r="W46" i="1"/>
  <c r="W47" i="1"/>
  <c r="W49" i="1"/>
  <c r="W53" i="1"/>
  <c r="W54" i="1"/>
  <c r="W61" i="1"/>
  <c r="W63" i="1"/>
  <c r="W67" i="1"/>
  <c r="W71" i="1"/>
  <c r="W73" i="1"/>
  <c r="W74" i="1"/>
  <c r="W75" i="1"/>
  <c r="W76" i="1"/>
  <c r="W78" i="1"/>
  <c r="W80" i="1"/>
  <c r="W82" i="1"/>
  <c r="W83" i="1"/>
  <c r="W84" i="1"/>
  <c r="W85" i="1"/>
  <c r="W87" i="1"/>
  <c r="W89" i="1"/>
  <c r="W92" i="1"/>
  <c r="W93" i="1"/>
  <c r="W94" i="1"/>
  <c r="W95" i="1"/>
  <c r="W96" i="1"/>
  <c r="X19" i="1"/>
  <c r="X22" i="1"/>
  <c r="X27" i="1"/>
  <c r="X28" i="1"/>
  <c r="X29" i="1"/>
  <c r="X30" i="1"/>
  <c r="X33" i="1"/>
  <c r="X34" i="1"/>
  <c r="X35" i="1"/>
  <c r="X37" i="1"/>
  <c r="X38" i="1"/>
  <c r="X39" i="1"/>
  <c r="X40" i="1"/>
  <c r="X41" i="1"/>
  <c r="X42" i="1"/>
  <c r="X43" i="1"/>
  <c r="X44" i="1"/>
  <c r="X46" i="1"/>
  <c r="X47" i="1"/>
  <c r="X49" i="1"/>
  <c r="X51" i="1"/>
  <c r="X53" i="1"/>
  <c r="X54" i="1"/>
  <c r="X63" i="1"/>
  <c r="X65" i="1"/>
  <c r="X67" i="1"/>
  <c r="X71" i="1"/>
  <c r="X73" i="1"/>
  <c r="X75" i="1"/>
  <c r="X76" i="1"/>
  <c r="X78" i="1"/>
  <c r="X80" i="1"/>
  <c r="X82" i="1"/>
  <c r="X83" i="1"/>
  <c r="X84" i="1"/>
  <c r="X85" i="1"/>
  <c r="X87" i="1"/>
  <c r="X89" i="1"/>
  <c r="X91" i="1"/>
  <c r="X92" i="1"/>
  <c r="X93" i="1"/>
  <c r="X94" i="1"/>
  <c r="X95" i="1"/>
  <c r="X96" i="1"/>
  <c r="Y19" i="1"/>
  <c r="Y22" i="1"/>
  <c r="Y27" i="1"/>
  <c r="Y28" i="1"/>
  <c r="Y29" i="1"/>
  <c r="Y30" i="1"/>
  <c r="Y33" i="1"/>
  <c r="Y35" i="1"/>
  <c r="Y37" i="1"/>
  <c r="Y39" i="1"/>
  <c r="Y40" i="1"/>
  <c r="Y42" i="1"/>
  <c r="Y43" i="1"/>
  <c r="Y44" i="1"/>
  <c r="Y45" i="1"/>
  <c r="Y46" i="1"/>
  <c r="Y47" i="1"/>
  <c r="Y49" i="1"/>
  <c r="Y53" i="1"/>
  <c r="Y54" i="1"/>
  <c r="Y55" i="1"/>
  <c r="Y67" i="1"/>
  <c r="Y71" i="1"/>
  <c r="Y75" i="1"/>
  <c r="Y77" i="1"/>
  <c r="Y78" i="1"/>
  <c r="Y80" i="1"/>
  <c r="Y83" i="1"/>
  <c r="Y84" i="1"/>
  <c r="Y87" i="1"/>
  <c r="Y89" i="1"/>
  <c r="Y92" i="1"/>
  <c r="Y93" i="1"/>
  <c r="Y94" i="1"/>
  <c r="Y95" i="1"/>
  <c r="Y96" i="1"/>
  <c r="Z19" i="1"/>
  <c r="Z22" i="1"/>
  <c r="Z27" i="1"/>
  <c r="Z28" i="1"/>
  <c r="Z29" i="1"/>
  <c r="Z30" i="1"/>
  <c r="Z33" i="1"/>
  <c r="Z35" i="1"/>
  <c r="Z37" i="1"/>
  <c r="Z39" i="1"/>
  <c r="Z40" i="1"/>
  <c r="Z42" i="1"/>
  <c r="Z43" i="1"/>
  <c r="Z44" i="1"/>
  <c r="Z45" i="1"/>
  <c r="Z46" i="1"/>
  <c r="Z47" i="1"/>
  <c r="Z49" i="1"/>
  <c r="Z53" i="1"/>
  <c r="Z54" i="1"/>
  <c r="Z55" i="1"/>
  <c r="Z63" i="1"/>
  <c r="Z64" i="1"/>
  <c r="Z65" i="1"/>
  <c r="Z67" i="1"/>
  <c r="Z71" i="1"/>
  <c r="Z75" i="1"/>
  <c r="Z77" i="1"/>
  <c r="Z78" i="1"/>
  <c r="Z80" i="1"/>
  <c r="Z82" i="1"/>
  <c r="Z83" i="1"/>
  <c r="Z84" i="1"/>
  <c r="Z85" i="1"/>
  <c r="Z87" i="1"/>
  <c r="Z89" i="1"/>
  <c r="Z92" i="1"/>
  <c r="Z93" i="1"/>
  <c r="Z94" i="1"/>
  <c r="Z95" i="1"/>
  <c r="Z96" i="1"/>
  <c r="AA19" i="1"/>
  <c r="AA22" i="1"/>
  <c r="AA27" i="1"/>
  <c r="AA28" i="1"/>
  <c r="AA29" i="1"/>
  <c r="AA30" i="1"/>
  <c r="AA33" i="1"/>
  <c r="AA35" i="1"/>
  <c r="AA37" i="1"/>
  <c r="AA39" i="1"/>
  <c r="AA40" i="1"/>
  <c r="AA42" i="1"/>
  <c r="AA46" i="1"/>
  <c r="AA47" i="1"/>
  <c r="AA54" i="1"/>
  <c r="AA63" i="1"/>
  <c r="AA67" i="1"/>
  <c r="AA71" i="1"/>
  <c r="AA80" i="1"/>
  <c r="AA85" i="1"/>
  <c r="AA87" i="1"/>
  <c r="AA92" i="1"/>
  <c r="AA93" i="1"/>
  <c r="AA94" i="1"/>
  <c r="AA95" i="1"/>
  <c r="AA96" i="1"/>
  <c r="AB19" i="1"/>
  <c r="AB22" i="1"/>
  <c r="AB27" i="1"/>
  <c r="AB28" i="1"/>
  <c r="AB29" i="1"/>
  <c r="AB30" i="1"/>
  <c r="AB33" i="1"/>
  <c r="AB35" i="1"/>
  <c r="AB37" i="1"/>
  <c r="AB39" i="1"/>
  <c r="AB40" i="1"/>
  <c r="AB42" i="1"/>
  <c r="AB44" i="1"/>
  <c r="AB46" i="1"/>
  <c r="AB47" i="1"/>
  <c r="AB54" i="1"/>
  <c r="AB63" i="1"/>
  <c r="AB67" i="1"/>
  <c r="AB71" i="1"/>
  <c r="AB80" i="1"/>
  <c r="AB85" i="1"/>
  <c r="AB87" i="1"/>
  <c r="AB92" i="1"/>
  <c r="AB93" i="1"/>
  <c r="AB94" i="1"/>
  <c r="AB95" i="1"/>
  <c r="AB96" i="1"/>
  <c r="AC19" i="1"/>
  <c r="AC22" i="1"/>
  <c r="AC28" i="1"/>
  <c r="AC29" i="1"/>
  <c r="AC30" i="1"/>
  <c r="AC33" i="1"/>
  <c r="AC35" i="1"/>
  <c r="AC37" i="1"/>
  <c r="AC39" i="1"/>
  <c r="AC40" i="1"/>
  <c r="AC42" i="1"/>
  <c r="AC44" i="1"/>
  <c r="AC45" i="1"/>
  <c r="AC46" i="1"/>
  <c r="AC47" i="1"/>
  <c r="AC54" i="1"/>
  <c r="AC67" i="1"/>
  <c r="AC71" i="1"/>
  <c r="AC80" i="1"/>
  <c r="AC87" i="1"/>
  <c r="AC89" i="1"/>
  <c r="AC93" i="1"/>
  <c r="AC94" i="1"/>
  <c r="AC95" i="1"/>
  <c r="AC96" i="1"/>
  <c r="AD19" i="1"/>
  <c r="AD22" i="1"/>
  <c r="AD28" i="1"/>
  <c r="AD29" i="1"/>
  <c r="AD30" i="1"/>
  <c r="AD35" i="1"/>
  <c r="AD47" i="1"/>
  <c r="AD54" i="1"/>
  <c r="AD67" i="1"/>
  <c r="AD71" i="1"/>
  <c r="AD80" i="1"/>
  <c r="AD87" i="1"/>
  <c r="AD89" i="1"/>
  <c r="AD93" i="1"/>
  <c r="AD94" i="1"/>
  <c r="AD95" i="1"/>
  <c r="AD96" i="1"/>
  <c r="AE11" i="1"/>
  <c r="AE19" i="1"/>
  <c r="AE22" i="1"/>
  <c r="AE28" i="1"/>
  <c r="AE29" i="1"/>
  <c r="AE30" i="1"/>
  <c r="AE33" i="1"/>
  <c r="AE35" i="1"/>
  <c r="AE37" i="1"/>
  <c r="AE39" i="1"/>
  <c r="AE40" i="1"/>
  <c r="AE42" i="1"/>
  <c r="AE46" i="1"/>
  <c r="AE47" i="1"/>
  <c r="AE53" i="1"/>
  <c r="AE54" i="1"/>
  <c r="AE55" i="1"/>
  <c r="AE67" i="1"/>
  <c r="AE71" i="1"/>
  <c r="AE75" i="1"/>
  <c r="AE78" i="1"/>
  <c r="AE80" i="1"/>
  <c r="AE82" i="1"/>
  <c r="AE83" i="1"/>
  <c r="AE84" i="1"/>
  <c r="AE87" i="1"/>
  <c r="AE92" i="1"/>
  <c r="AE93" i="1"/>
  <c r="AE94" i="1"/>
  <c r="AE95" i="1"/>
  <c r="AE96" i="1"/>
  <c r="AF8" i="1"/>
  <c r="AF19" i="1"/>
  <c r="AF22" i="1"/>
  <c r="AF28" i="1"/>
  <c r="AF29" i="1"/>
  <c r="AF30" i="1"/>
  <c r="AF35" i="1"/>
  <c r="AF47" i="1"/>
  <c r="AF50" i="1"/>
  <c r="AF54" i="1"/>
  <c r="AF55" i="1"/>
  <c r="AF67" i="1"/>
  <c r="AF71" i="1"/>
  <c r="AF78" i="1"/>
  <c r="AF80" i="1"/>
  <c r="AF82" i="1"/>
  <c r="AF84" i="1"/>
  <c r="AF87" i="1"/>
  <c r="AF93" i="1"/>
  <c r="AF94" i="1"/>
  <c r="AF95" i="1"/>
  <c r="AF96" i="1"/>
  <c r="AG96" i="1"/>
  <c r="AG95" i="1"/>
  <c r="AG94" i="1"/>
  <c r="AG93" i="1"/>
  <c r="AG92" i="1"/>
  <c r="AG91" i="1"/>
  <c r="AG90" i="1"/>
  <c r="AG89" i="1"/>
  <c r="AG88" i="1"/>
  <c r="AG87" i="1"/>
  <c r="AG86" i="1"/>
  <c r="AG85" i="1"/>
  <c r="AG84" i="1"/>
  <c r="AG83" i="1"/>
  <c r="AG82" i="1"/>
  <c r="AG81" i="1"/>
  <c r="AG80" i="1"/>
  <c r="AG79" i="1"/>
  <c r="AG78" i="1"/>
  <c r="AG77" i="1"/>
  <c r="AG76" i="1"/>
  <c r="AG75" i="1"/>
  <c r="AG74" i="1"/>
  <c r="AG73" i="1"/>
  <c r="AG72" i="1"/>
  <c r="AG71" i="1"/>
  <c r="AG70" i="1"/>
  <c r="AG69" i="1"/>
  <c r="AG68" i="1"/>
  <c r="AG67" i="1"/>
  <c r="AG66" i="1"/>
  <c r="AG65" i="1"/>
  <c r="AG64" i="1"/>
  <c r="AG63" i="1"/>
  <c r="AG62" i="1"/>
  <c r="AG61" i="1"/>
  <c r="AG60" i="1"/>
  <c r="AG59" i="1"/>
  <c r="AG58" i="1"/>
  <c r="AG57" i="1"/>
  <c r="AG56" i="1"/>
  <c r="AG55" i="1"/>
  <c r="AG54" i="1"/>
  <c r="AG53" i="1"/>
  <c r="AG52" i="1"/>
  <c r="AG51" i="1"/>
  <c r="AG50" i="1"/>
  <c r="AG49" i="1"/>
  <c r="AG48" i="1"/>
  <c r="AG47" i="1"/>
  <c r="AG46" i="1"/>
  <c r="AG45" i="1"/>
  <c r="AG44" i="1"/>
  <c r="AG43" i="1"/>
  <c r="AG42" i="1"/>
  <c r="AG41" i="1"/>
  <c r="AG40" i="1"/>
  <c r="AG39" i="1"/>
  <c r="AG38" i="1"/>
  <c r="AG37" i="1"/>
  <c r="AG36" i="1"/>
  <c r="AG35" i="1"/>
  <c r="AG34" i="1"/>
  <c r="AG33" i="1"/>
  <c r="AG32" i="1"/>
  <c r="AG30" i="1"/>
  <c r="AG29" i="1"/>
  <c r="AG28" i="1"/>
  <c r="AG27" i="1"/>
  <c r="AG26" i="1"/>
  <c r="AG25" i="1"/>
  <c r="AG24" i="1"/>
  <c r="AG23" i="1"/>
  <c r="AG22" i="1"/>
  <c r="AG21" i="1"/>
  <c r="AG20" i="1"/>
  <c r="AG19" i="1"/>
  <c r="AG18" i="1"/>
  <c r="AG17" i="1"/>
  <c r="AG16" i="1"/>
  <c r="AG15" i="1"/>
  <c r="AG14" i="1"/>
  <c r="AG13" i="1"/>
  <c r="AG12" i="1"/>
  <c r="AG11" i="1"/>
  <c r="AG10" i="1"/>
  <c r="AG9" i="1"/>
  <c r="AG8" i="1"/>
  <c r="AG7" i="1"/>
</calcChain>
</file>

<file path=xl/sharedStrings.xml><?xml version="1.0" encoding="utf-8"?>
<sst xmlns="http://schemas.openxmlformats.org/spreadsheetml/2006/main" count="127" uniqueCount="127">
  <si>
    <t>0010 - Operations</t>
  </si>
  <si>
    <t>0025 - Staff Account</t>
  </si>
  <si>
    <t>0060 - WHS Crusade for Children</t>
  </si>
  <si>
    <t>0065 - CRRSA</t>
  </si>
  <si>
    <t>0110 - NKYEC</t>
  </si>
  <si>
    <t>1100 - RSP</t>
  </si>
  <si>
    <t>1130 - DEI Support</t>
  </si>
  <si>
    <t>1135 - DEI Grant</t>
  </si>
  <si>
    <t>1140 - DEI Training</t>
  </si>
  <si>
    <t>1260- Positive Action</t>
  </si>
  <si>
    <t>1310 - EL Local</t>
  </si>
  <si>
    <t>1415 - NKU Regional Consultant</t>
  </si>
  <si>
    <t>1509 - Professional Development</t>
  </si>
  <si>
    <t>1550 - Special Ed PD</t>
  </si>
  <si>
    <t>1975 - YSA</t>
  </si>
  <si>
    <t>2010 - FRYSC State</t>
  </si>
  <si>
    <t>2200 - Mandarin Program</t>
  </si>
  <si>
    <t>2800 - Arts in Education</t>
  </si>
  <si>
    <t>2910 - DAIL</t>
  </si>
  <si>
    <t>3010 - FRYSC - Fed</t>
  </si>
  <si>
    <t>3220 - PERS Effectiveness Coach</t>
  </si>
  <si>
    <t>336I - IDEA-B 21-22</t>
  </si>
  <si>
    <t>336J - IDEA B 22-23</t>
  </si>
  <si>
    <t>3416- SPF</t>
  </si>
  <si>
    <t>3425 - Deeper Learning</t>
  </si>
  <si>
    <t>345I - Title III EL 21-22</t>
  </si>
  <si>
    <t>345J - Title III  EL 22-23</t>
  </si>
  <si>
    <t>3800 - Trauma Informed</t>
  </si>
  <si>
    <t>3925 - Mental Health</t>
  </si>
  <si>
    <t>4101C - Arts Grant</t>
  </si>
  <si>
    <t>Not Specified</t>
  </si>
  <si>
    <t>TOTAL</t>
  </si>
  <si>
    <t>Income</t>
  </si>
  <si>
    <t xml:space="preserve">   31100 UNRESTRICTED INCOME</t>
  </si>
  <si>
    <t xml:space="preserve">      31111 MEMBERSHIPS</t>
  </si>
  <si>
    <t xml:space="preserve">      31510 INTEREST</t>
  </si>
  <si>
    <t xml:space="preserve">      31636 REGISTRATIONS</t>
  </si>
  <si>
    <t xml:space="preserve">      31800 LOCAL GRANT RECEIPTS</t>
  </si>
  <si>
    <t xml:space="preserve">      31913 SPONSORSHIP</t>
  </si>
  <si>
    <t xml:space="preserve">      31980 REFUNDS &amp; REIMBURSEMENTS</t>
  </si>
  <si>
    <t xml:space="preserve">      31981 KEDC REBATE (KPC) &amp;GRREC (AEPA)</t>
  </si>
  <si>
    <t xml:space="preserve">      31996 INDIRECT COSTS RECEIPTS</t>
  </si>
  <si>
    <t xml:space="preserve">      31997 RENT</t>
  </si>
  <si>
    <t xml:space="preserve">      31999 MISC. REVENUES</t>
  </si>
  <si>
    <t xml:space="preserve">      33111 SEEK FUNDS/ADA</t>
  </si>
  <si>
    <t xml:space="preserve">   Total 31100 UNRESTRICTED INCOME</t>
  </si>
  <si>
    <t xml:space="preserve">   31310 SLOTS/TUITION/BUY-IN</t>
  </si>
  <si>
    <t xml:space="preserve">      31311 NKCES/MENTAL HEALTH THERAPY</t>
  </si>
  <si>
    <t xml:space="preserve">   Total 31310 SLOTS/TUITION/BUY-IN</t>
  </si>
  <si>
    <t xml:space="preserve">   31970 Partner Services</t>
  </si>
  <si>
    <t xml:space="preserve">   31985 SICK LEAVE ESCROW</t>
  </si>
  <si>
    <t xml:space="preserve">   33000 RESTRICTED RECEIPTS</t>
  </si>
  <si>
    <t xml:space="preserve">      33200 STATE  RECEIPTS</t>
  </si>
  <si>
    <t xml:space="preserve">      34500 FEDERAL RECEIPTS</t>
  </si>
  <si>
    <t xml:space="preserve">   Total 33000 RESTRICTED RECEIPTS</t>
  </si>
  <si>
    <t>Total Income</t>
  </si>
  <si>
    <t>Gross Profit</t>
  </si>
  <si>
    <t>Expenses</t>
  </si>
  <si>
    <t xml:space="preserve">   40100 PERSONNEL</t>
  </si>
  <si>
    <t xml:space="preserve">      40110 CERTIFIED PERSONNEL</t>
  </si>
  <si>
    <t xml:space="preserve">      40130 CLASSIFIED PERSONNEL</t>
  </si>
  <si>
    <t xml:space="preserve">   Total 40100 PERSONNEL</t>
  </si>
  <si>
    <t xml:space="preserve">   40200 FRINGE</t>
  </si>
  <si>
    <t xml:space="preserve">      40211 LIFE INSURANCE</t>
  </si>
  <si>
    <t xml:space="preserve">      40221 SOC SEC TAX</t>
  </si>
  <si>
    <t xml:space="preserve">      40222 MEDICARE TAX</t>
  </si>
  <si>
    <t xml:space="preserve">      40231 TEACHER RETIREMENT</t>
  </si>
  <si>
    <t xml:space="preserve">      40232 COUNTY RETIREMENT</t>
  </si>
  <si>
    <t xml:space="preserve">      40233 HEALTH INSURANCE</t>
  </si>
  <si>
    <t xml:space="preserve">      40253 UNEMPLOYMENT</t>
  </si>
  <si>
    <t xml:space="preserve">      40260 WORKERS COMPENSATION</t>
  </si>
  <si>
    <t xml:space="preserve">      40291 SICK LEAVE PROGRAM</t>
  </si>
  <si>
    <t xml:space="preserve">      40294 ADMININSTRATIVE COST - INS</t>
  </si>
  <si>
    <t xml:space="preserve">   Total 40200 FRINGE</t>
  </si>
  <si>
    <t xml:space="preserve">   40300 PROFESSIONAL SERVICES</t>
  </si>
  <si>
    <t xml:space="preserve">      40330 OTHER PROFESSIONAL SERVICES</t>
  </si>
  <si>
    <t xml:space="preserve">      40331 AUDIT</t>
  </si>
  <si>
    <t xml:space="preserve">      40332 SPECIAL INITIATIVE</t>
  </si>
  <si>
    <t xml:space="preserve">      40333 PAYROLL SERVICES</t>
  </si>
  <si>
    <t xml:space="preserve">      40340 TECHNICAL SERVICES</t>
  </si>
  <si>
    <t xml:space="preserve">   Total 40300 PROFESSIONAL SERVICES</t>
  </si>
  <si>
    <t xml:space="preserve">   40335 CONTRACTED SERVICE</t>
  </si>
  <si>
    <t xml:space="preserve">   40400 REPAIR/MAINTENANCE</t>
  </si>
  <si>
    <t xml:space="preserve">      40411 WATER</t>
  </si>
  <si>
    <t xml:space="preserve">      40420 MOWING</t>
  </si>
  <si>
    <t xml:space="preserve">      40421 SANITATION SERVICE</t>
  </si>
  <si>
    <t xml:space="preserve">      40430 FACILITIES/REPAIR/MAINTENANCE</t>
  </si>
  <si>
    <t xml:space="preserve">      40441 RENT</t>
  </si>
  <si>
    <t xml:space="preserve">      40620 UTILITIES - GAS/ELECTRIC</t>
  </si>
  <si>
    <t xml:space="preserve">      40648 SOFTWARE/SOFTWARE MAINT</t>
  </si>
  <si>
    <t xml:space="preserve">      40733 FURNITURE</t>
  </si>
  <si>
    <t xml:space="preserve">      40734 COMPUTERS</t>
  </si>
  <si>
    <t xml:space="preserve">      40850 BUILDING REPAIR FUND</t>
  </si>
  <si>
    <t xml:space="preserve">   Total 40400 REPAIR/MAINTENANCE</t>
  </si>
  <si>
    <t xml:space="preserve">   40500 INSURANCE</t>
  </si>
  <si>
    <t xml:space="preserve">      40520 LIABILITY INSURANCE</t>
  </si>
  <si>
    <t xml:space="preserve">      40522 PROPERTY INSURANCE</t>
  </si>
  <si>
    <t xml:space="preserve">   Total 40500 INSURANCE</t>
  </si>
  <si>
    <t xml:space="preserve">   40600 OFFICE EXPENSE</t>
  </si>
  <si>
    <t xml:space="preserve">      40440 POSTAGE MACHINE RENTAL</t>
  </si>
  <si>
    <t xml:space="preserve">      40531 POSTAGE</t>
  </si>
  <si>
    <t xml:space="preserve">      40532 TELEPHONE</t>
  </si>
  <si>
    <t xml:space="preserve">      40550 PRINTING</t>
  </si>
  <si>
    <t xml:space="preserve">      40605 FOOD</t>
  </si>
  <si>
    <t xml:space="preserve">      40610 SUPPLIES</t>
  </si>
  <si>
    <t xml:space="preserve">      40615 JANITORIAL SUPPLIES</t>
  </si>
  <si>
    <t xml:space="preserve">   Total 40600 OFFICE EXPENSE</t>
  </si>
  <si>
    <t xml:space="preserve">   40700 PROGRAM EXPENSES</t>
  </si>
  <si>
    <t xml:space="preserve">      40320 EDUCATIONAL SERVICES</t>
  </si>
  <si>
    <t xml:space="preserve">      40339 REGISTRATION FEE</t>
  </si>
  <si>
    <t xml:space="preserve">      40580 TRAVEL</t>
  </si>
  <si>
    <t xml:space="preserve">      40640 BOOKS/PERIODICALS</t>
  </si>
  <si>
    <t xml:space="preserve">      40720 Interest on Loan</t>
  </si>
  <si>
    <t xml:space="preserve">   Total 40700 PROGRAM EXPENSES</t>
  </si>
  <si>
    <t xml:space="preserve">   40800 OTHER EXPENSES</t>
  </si>
  <si>
    <t xml:space="preserve">      40810 DUES AND FEES</t>
  </si>
  <si>
    <t xml:space="preserve">      40830 DISTRICT RECORD FEE</t>
  </si>
  <si>
    <t xml:space="preserve">      40899 OTHER MIISCELLANEOUS EXPENSES</t>
  </si>
  <si>
    <t xml:space="preserve">      40933 INDIRECT COSTS</t>
  </si>
  <si>
    <t xml:space="preserve">   Total 40800 OTHER EXPENSES</t>
  </si>
  <si>
    <t>Total Expenses</t>
  </si>
  <si>
    <t>Net Operating Income</t>
  </si>
  <si>
    <t>Net Income</t>
  </si>
  <si>
    <t>Tuesday, Feb 07, 2023 09:13:17 AM GMT-8 - Accrual Basis</t>
  </si>
  <si>
    <t>Northern Kentucky Cooperative For Educational Services</t>
  </si>
  <si>
    <t>Profit and Loss by Class</t>
  </si>
  <si>
    <t>July 2022 - January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</si>
</sst>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_€"/>
    <numFmt numFmtId="165" formatCode="&quot;$&quot;* #,##0.00\ _€"/>
  </numFmts>
  <fonts count="6" x14ac:knownFonts="1">
    <font>
      <sz val="11"/>
      <color indexed="8"/>
      <name val="Calibri"/>
      <family val="2"/>
      <scheme val="minor"/>
    </font>
    <font>
      <b/>
      <sz val="9"/>
      <color indexed="8"/>
      <name val="Arial"/>
    </font>
    <font>
      <b/>
      <sz val="8"/>
      <color indexed="8"/>
      <name val="Arial"/>
    </font>
    <font>
      <sz val="8"/>
      <color indexed="8"/>
      <name val="Arial"/>
    </font>
    <font>
      <b/>
      <sz val="14"/>
      <color indexed="8"/>
      <name val="Arial"/>
    </font>
    <font>
      <b/>
      <sz val="10"/>
      <color indexed="8"/>
      <name val="Arial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2" fillId="0" borderId="0" xfId="0" applyFont="1" applyAlignment="1">
      <alignment horizontal="left" wrapText="1"/>
    </xf>
    <xf numFmtId="164" fontId="3" fillId="0" borderId="0" xfId="0" applyNumberFormat="1" applyFont="1" applyAlignment="1">
      <alignment wrapText="1"/>
    </xf>
    <xf numFmtId="164" fontId="3" fillId="0" borderId="0" xfId="0" applyNumberFormat="1" applyFont="1" applyAlignment="1">
      <alignment horizontal="right" wrapText="1"/>
    </xf>
    <xf numFmtId="165" fontId="2" fillId="0" borderId="2" xfId="0" applyNumberFormat="1" applyFont="1" applyBorder="1" applyAlignment="1">
      <alignment horizontal="right" wrapText="1"/>
    </xf>
    <xf numFmtId="165" fontId="2" fillId="0" borderId="3" xfId="0" applyNumberFormat="1" applyFont="1" applyBorder="1" applyAlignment="1">
      <alignment horizontal="right" wrapText="1"/>
    </xf>
    <xf numFmtId="0" fontId="3" fillId="0" borderId="0" xfId="0" applyFont="1" applyAlignment="1">
      <alignment horizontal="center"/>
    </xf>
    <xf numFmtId="0" fontId="0" fillId="0" borderId="0" xfId="0"/>
    <xf numFmtId="0" fontId="4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G100"/>
  <sheetViews>
    <sheetView tabSelected="1" topLeftCell="H1" workbookViewId="0">
      <selection activeCell="V83" sqref="V83"/>
    </sheetView>
  </sheetViews>
  <sheetFormatPr defaultRowHeight="15" x14ac:dyDescent="0.25"/>
  <cols>
    <col min="1" max="1" width="37.85546875" customWidth="1"/>
    <col min="2" max="2" width="10.28515625" customWidth="1"/>
    <col min="3" max="3" width="7.7109375" customWidth="1"/>
    <col min="4" max="4" width="10.28515625" customWidth="1"/>
    <col min="5" max="5" width="11.140625" customWidth="1"/>
    <col min="6" max="6" width="10.28515625" customWidth="1"/>
    <col min="7" max="7" width="12" customWidth="1"/>
    <col min="8" max="8" width="8.5703125" customWidth="1"/>
    <col min="9" max="9" width="11.140625" customWidth="1"/>
    <col min="10" max="10" width="9.42578125" customWidth="1"/>
    <col min="11" max="11" width="10.28515625" customWidth="1"/>
    <col min="12" max="12" width="9.42578125" customWidth="1"/>
    <col min="13" max="13" width="11.140625" customWidth="1"/>
    <col min="14" max="14" width="8.5703125" customWidth="1"/>
    <col min="15" max="15" width="11.140625" customWidth="1"/>
    <col min="16" max="16" width="9.42578125" customWidth="1"/>
    <col min="17" max="17" width="10.28515625" customWidth="1"/>
    <col min="18" max="18" width="11.5703125" customWidth="1"/>
    <col min="19" max="19" width="12" customWidth="1"/>
    <col min="20" max="20" width="11.140625" customWidth="1"/>
    <col min="21" max="23" width="10.28515625" customWidth="1"/>
    <col min="24" max="26" width="11.140625" customWidth="1"/>
    <col min="27" max="27" width="8.5703125" customWidth="1"/>
    <col min="28" max="29" width="10.28515625" customWidth="1"/>
    <col min="30" max="30" width="8.5703125" customWidth="1"/>
    <col min="31" max="31" width="10.28515625" customWidth="1"/>
    <col min="32" max="32" width="7.7109375" customWidth="1"/>
    <col min="33" max="33" width="12" customWidth="1"/>
  </cols>
  <sheetData>
    <row r="1" spans="1:33" ht="18" x14ac:dyDescent="0.25">
      <c r="A1" s="10" t="s">
        <v>124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  <c r="Q1" s="9"/>
      <c r="R1" s="9"/>
      <c r="S1" s="9"/>
      <c r="T1" s="9"/>
      <c r="U1" s="9"/>
      <c r="V1" s="9"/>
      <c r="W1" s="9"/>
      <c r="X1" s="9"/>
      <c r="Y1" s="9"/>
      <c r="Z1" s="9"/>
      <c r="AA1" s="9"/>
      <c r="AB1" s="9"/>
      <c r="AC1" s="9"/>
      <c r="AD1" s="9"/>
      <c r="AE1" s="9"/>
      <c r="AF1" s="9"/>
      <c r="AG1" s="9"/>
    </row>
    <row r="2" spans="1:33" ht="18" x14ac:dyDescent="0.25">
      <c r="A2" s="10" t="s">
        <v>125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  <c r="M2" s="9"/>
      <c r="N2" s="9"/>
      <c r="O2" s="9"/>
      <c r="P2" s="9"/>
      <c r="Q2" s="9"/>
      <c r="R2" s="9"/>
      <c r="S2" s="9"/>
      <c r="T2" s="9"/>
      <c r="U2" s="9"/>
      <c r="V2" s="9"/>
      <c r="W2" s="9"/>
      <c r="X2" s="9"/>
      <c r="Y2" s="9"/>
      <c r="Z2" s="9"/>
      <c r="AA2" s="9"/>
      <c r="AB2" s="9"/>
      <c r="AC2" s="9"/>
      <c r="AD2" s="9"/>
      <c r="AE2" s="9"/>
      <c r="AF2" s="9"/>
      <c r="AG2" s="9"/>
    </row>
    <row r="3" spans="1:33" x14ac:dyDescent="0.25">
      <c r="A3" s="11" t="s">
        <v>126</v>
      </c>
      <c r="B3" s="9"/>
      <c r="C3" s="9"/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9"/>
      <c r="U3" s="9"/>
      <c r="V3" s="9"/>
      <c r="W3" s="9"/>
      <c r="X3" s="9"/>
      <c r="Y3" s="9"/>
      <c r="Z3" s="9"/>
      <c r="AA3" s="9"/>
      <c r="AB3" s="9"/>
      <c r="AC3" s="9"/>
      <c r="AD3" s="9"/>
      <c r="AE3" s="9"/>
      <c r="AF3" s="9"/>
      <c r="AG3" s="9"/>
    </row>
    <row r="5" spans="1:33" ht="60.75" x14ac:dyDescent="0.25">
      <c r="A5" s="1"/>
      <c r="B5" s="2" t="s">
        <v>0</v>
      </c>
      <c r="C5" s="2" t="s">
        <v>1</v>
      </c>
      <c r="D5" s="2" t="s">
        <v>2</v>
      </c>
      <c r="E5" s="2" t="s">
        <v>3</v>
      </c>
      <c r="F5" s="2" t="s">
        <v>4</v>
      </c>
      <c r="G5" s="2" t="s">
        <v>5</v>
      </c>
      <c r="H5" s="2" t="s">
        <v>6</v>
      </c>
      <c r="I5" s="2" t="s">
        <v>7</v>
      </c>
      <c r="J5" s="2" t="s">
        <v>8</v>
      </c>
      <c r="K5" s="2" t="s">
        <v>9</v>
      </c>
      <c r="L5" s="2" t="s">
        <v>10</v>
      </c>
      <c r="M5" s="2" t="s">
        <v>11</v>
      </c>
      <c r="N5" s="2" t="s">
        <v>12</v>
      </c>
      <c r="O5" s="2" t="s">
        <v>13</v>
      </c>
      <c r="P5" s="2" t="s">
        <v>14</v>
      </c>
      <c r="Q5" s="2" t="s">
        <v>15</v>
      </c>
      <c r="R5" s="2" t="s">
        <v>16</v>
      </c>
      <c r="S5" s="2" t="s">
        <v>17</v>
      </c>
      <c r="T5" s="2" t="s">
        <v>18</v>
      </c>
      <c r="U5" s="2" t="s">
        <v>19</v>
      </c>
      <c r="V5" s="2" t="s">
        <v>20</v>
      </c>
      <c r="W5" s="2" t="s">
        <v>21</v>
      </c>
      <c r="X5" s="2" t="s">
        <v>22</v>
      </c>
      <c r="Y5" s="2" t="s">
        <v>23</v>
      </c>
      <c r="Z5" s="2" t="s">
        <v>24</v>
      </c>
      <c r="AA5" s="2" t="s">
        <v>25</v>
      </c>
      <c r="AB5" s="2" t="s">
        <v>26</v>
      </c>
      <c r="AC5" s="2" t="s">
        <v>27</v>
      </c>
      <c r="AD5" s="2" t="s">
        <v>28</v>
      </c>
      <c r="AE5" s="2" t="s">
        <v>29</v>
      </c>
      <c r="AF5" s="2" t="s">
        <v>30</v>
      </c>
      <c r="AG5" s="2" t="s">
        <v>31</v>
      </c>
    </row>
    <row r="6" spans="1:33" x14ac:dyDescent="0.25">
      <c r="A6" s="3" t="s">
        <v>32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x14ac:dyDescent="0.25">
      <c r="A7" s="3" t="s">
        <v>33</v>
      </c>
      <c r="B7" s="4"/>
      <c r="C7" s="4"/>
      <c r="D7" s="4"/>
      <c r="E7" s="4"/>
      <c r="F7" s="4"/>
      <c r="G7" s="5">
        <f>5500</f>
        <v>5500</v>
      </c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5">
        <f t="shared" ref="AG7:AG30" si="0">((((((((((((((((((((((((((((((B7)+(C7))+(D7))+(E7))+(F7))+(G7))+(H7))+(I7))+(J7))+(K7))+(L7))+(M7))+(N7))+(O7))+(P7))+(Q7))+(R7))+(S7))+(T7))+(U7))+(V7))+(W7))+(X7))+(Y7))+(Z7))+(AA7))+(AB7))+(AC7))+(AD7))+(AE7))+(AF7)</f>
        <v>5500</v>
      </c>
    </row>
    <row r="8" spans="1:33" x14ac:dyDescent="0.25">
      <c r="A8" s="3" t="s">
        <v>34</v>
      </c>
      <c r="B8" s="5">
        <f>252924.07</f>
        <v>252924.07</v>
      </c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5">
        <f>400</f>
        <v>400</v>
      </c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5">
        <f>0</f>
        <v>0</v>
      </c>
      <c r="AG8" s="5">
        <f t="shared" si="0"/>
        <v>253324.07</v>
      </c>
    </row>
    <row r="9" spans="1:33" x14ac:dyDescent="0.25">
      <c r="A9" s="3" t="s">
        <v>35</v>
      </c>
      <c r="B9" s="5">
        <f>34755.19</f>
        <v>34755.19</v>
      </c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5">
        <f t="shared" si="0"/>
        <v>34755.19</v>
      </c>
    </row>
    <row r="10" spans="1:33" x14ac:dyDescent="0.25">
      <c r="A10" s="3" t="s">
        <v>36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5">
        <f>7600</f>
        <v>7600</v>
      </c>
      <c r="O10" s="5">
        <f>16775</f>
        <v>16775</v>
      </c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5">
        <f t="shared" si="0"/>
        <v>24375</v>
      </c>
    </row>
    <row r="11" spans="1:33" x14ac:dyDescent="0.25">
      <c r="A11" s="3" t="s">
        <v>37</v>
      </c>
      <c r="B11" s="5">
        <f>50000</f>
        <v>50000</v>
      </c>
      <c r="C11" s="4"/>
      <c r="D11" s="4"/>
      <c r="E11" s="4"/>
      <c r="F11" s="5">
        <f>25886.2</f>
        <v>25886.2</v>
      </c>
      <c r="G11" s="4"/>
      <c r="H11" s="4"/>
      <c r="I11" s="4"/>
      <c r="J11" s="4"/>
      <c r="K11" s="4"/>
      <c r="L11" s="4"/>
      <c r="M11" s="5">
        <f>45766.66</f>
        <v>45766.66</v>
      </c>
      <c r="N11" s="4"/>
      <c r="O11" s="4"/>
      <c r="P11" s="4"/>
      <c r="Q11" s="4"/>
      <c r="R11" s="5">
        <f>518363</f>
        <v>518363</v>
      </c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5">
        <f>226410.85</f>
        <v>226410.85</v>
      </c>
      <c r="AF11" s="4"/>
      <c r="AG11" s="5">
        <f t="shared" si="0"/>
        <v>866426.71</v>
      </c>
    </row>
    <row r="12" spans="1:33" x14ac:dyDescent="0.25">
      <c r="A12" s="3" t="s">
        <v>38</v>
      </c>
      <c r="B12" s="5">
        <f>750</f>
        <v>750</v>
      </c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5">
        <f t="shared" si="0"/>
        <v>750</v>
      </c>
    </row>
    <row r="13" spans="1:33" x14ac:dyDescent="0.25">
      <c r="A13" s="3" t="s">
        <v>39</v>
      </c>
      <c r="B13" s="5">
        <f>10938.55</f>
        <v>10938.55</v>
      </c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5">
        <f t="shared" si="0"/>
        <v>10938.55</v>
      </c>
    </row>
    <row r="14" spans="1:33" x14ac:dyDescent="0.25">
      <c r="A14" s="3" t="s">
        <v>40</v>
      </c>
      <c r="B14" s="5">
        <f>29092.25</f>
        <v>29092.25</v>
      </c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5">
        <f t="shared" si="0"/>
        <v>29092.25</v>
      </c>
    </row>
    <row r="15" spans="1:33" x14ac:dyDescent="0.25">
      <c r="A15" s="3" t="s">
        <v>41</v>
      </c>
      <c r="B15" s="5">
        <f>442867.3</f>
        <v>442867.3</v>
      </c>
      <c r="C15" s="4"/>
      <c r="D15" s="4"/>
      <c r="E15" s="4"/>
      <c r="F15" s="4"/>
      <c r="G15" s="4"/>
      <c r="H15" s="4"/>
      <c r="I15" s="4"/>
      <c r="J15" s="4"/>
      <c r="K15" s="4"/>
      <c r="L15" s="4"/>
      <c r="M15" s="5">
        <f>3661.32</f>
        <v>3661.32</v>
      </c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5">
        <f t="shared" si="0"/>
        <v>446528.62</v>
      </c>
    </row>
    <row r="16" spans="1:33" x14ac:dyDescent="0.25">
      <c r="A16" s="3" t="s">
        <v>42</v>
      </c>
      <c r="B16" s="5">
        <f>54700</f>
        <v>54700</v>
      </c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5">
        <f t="shared" si="0"/>
        <v>54700</v>
      </c>
    </row>
    <row r="17" spans="1:33" x14ac:dyDescent="0.25">
      <c r="A17" s="3" t="s">
        <v>43</v>
      </c>
      <c r="B17" s="5">
        <f>1875.04</f>
        <v>1875.04</v>
      </c>
      <c r="C17" s="5">
        <f>215</f>
        <v>215</v>
      </c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4"/>
      <c r="W17" s="4"/>
      <c r="X17" s="4"/>
      <c r="Y17" s="4"/>
      <c r="Z17" s="4"/>
      <c r="AA17" s="4"/>
      <c r="AB17" s="4"/>
      <c r="AC17" s="4"/>
      <c r="AD17" s="4"/>
      <c r="AE17" s="4"/>
      <c r="AF17" s="4"/>
      <c r="AG17" s="5">
        <f t="shared" si="0"/>
        <v>2090.04</v>
      </c>
    </row>
    <row r="18" spans="1:33" x14ac:dyDescent="0.25">
      <c r="A18" s="3" t="s">
        <v>44</v>
      </c>
      <c r="B18" s="4"/>
      <c r="C18" s="4"/>
      <c r="D18" s="4"/>
      <c r="E18" s="4"/>
      <c r="F18" s="4"/>
      <c r="G18" s="5">
        <f>97757.98</f>
        <v>97757.98</v>
      </c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4"/>
      <c r="W18" s="4"/>
      <c r="X18" s="4"/>
      <c r="Y18" s="4"/>
      <c r="Z18" s="4"/>
      <c r="AA18" s="4"/>
      <c r="AB18" s="4"/>
      <c r="AC18" s="4"/>
      <c r="AD18" s="4"/>
      <c r="AE18" s="4"/>
      <c r="AF18" s="4"/>
      <c r="AG18" s="5">
        <f t="shared" si="0"/>
        <v>97757.98</v>
      </c>
    </row>
    <row r="19" spans="1:33" x14ac:dyDescent="0.25">
      <c r="A19" s="3" t="s">
        <v>45</v>
      </c>
      <c r="B19" s="6">
        <f t="shared" ref="B19:AF19" si="1">(((((((((((B7)+(B8))+(B9))+(B10))+(B11))+(B12))+(B13))+(B14))+(B15))+(B16))+(B17))+(B18)</f>
        <v>877902.4</v>
      </c>
      <c r="C19" s="6">
        <f t="shared" si="1"/>
        <v>215</v>
      </c>
      <c r="D19" s="6">
        <f t="shared" si="1"/>
        <v>0</v>
      </c>
      <c r="E19" s="6">
        <f t="shared" si="1"/>
        <v>0</v>
      </c>
      <c r="F19" s="6">
        <f t="shared" si="1"/>
        <v>25886.2</v>
      </c>
      <c r="G19" s="6">
        <f t="shared" si="1"/>
        <v>103257.98</v>
      </c>
      <c r="H19" s="6">
        <f t="shared" si="1"/>
        <v>0</v>
      </c>
      <c r="I19" s="6">
        <f t="shared" si="1"/>
        <v>0</v>
      </c>
      <c r="J19" s="6">
        <f t="shared" si="1"/>
        <v>0</v>
      </c>
      <c r="K19" s="6">
        <f t="shared" si="1"/>
        <v>0</v>
      </c>
      <c r="L19" s="6">
        <f t="shared" si="1"/>
        <v>0</v>
      </c>
      <c r="M19" s="6">
        <f t="shared" si="1"/>
        <v>49427.98</v>
      </c>
      <c r="N19" s="6">
        <f t="shared" si="1"/>
        <v>8000</v>
      </c>
      <c r="O19" s="6">
        <f t="shared" si="1"/>
        <v>16775</v>
      </c>
      <c r="P19" s="6">
        <f t="shared" si="1"/>
        <v>0</v>
      </c>
      <c r="Q19" s="6">
        <f t="shared" si="1"/>
        <v>0</v>
      </c>
      <c r="R19" s="6">
        <f t="shared" si="1"/>
        <v>518363</v>
      </c>
      <c r="S19" s="6">
        <f t="shared" si="1"/>
        <v>0</v>
      </c>
      <c r="T19" s="6">
        <f t="shared" si="1"/>
        <v>0</v>
      </c>
      <c r="U19" s="6">
        <f t="shared" si="1"/>
        <v>0</v>
      </c>
      <c r="V19" s="6">
        <f t="shared" si="1"/>
        <v>0</v>
      </c>
      <c r="W19" s="6">
        <f t="shared" si="1"/>
        <v>0</v>
      </c>
      <c r="X19" s="6">
        <f t="shared" si="1"/>
        <v>0</v>
      </c>
      <c r="Y19" s="6">
        <f t="shared" si="1"/>
        <v>0</v>
      </c>
      <c r="Z19" s="6">
        <f t="shared" si="1"/>
        <v>0</v>
      </c>
      <c r="AA19" s="6">
        <f t="shared" si="1"/>
        <v>0</v>
      </c>
      <c r="AB19" s="6">
        <f t="shared" si="1"/>
        <v>0</v>
      </c>
      <c r="AC19" s="6">
        <f t="shared" si="1"/>
        <v>0</v>
      </c>
      <c r="AD19" s="6">
        <f t="shared" si="1"/>
        <v>0</v>
      </c>
      <c r="AE19" s="6">
        <f t="shared" si="1"/>
        <v>226410.85</v>
      </c>
      <c r="AF19" s="6">
        <f t="shared" si="1"/>
        <v>0</v>
      </c>
      <c r="AG19" s="6">
        <f t="shared" si="0"/>
        <v>1826238.4100000001</v>
      </c>
    </row>
    <row r="20" spans="1:33" x14ac:dyDescent="0.25">
      <c r="A20" s="3" t="s">
        <v>46</v>
      </c>
      <c r="B20" s="4"/>
      <c r="C20" s="4"/>
      <c r="D20" s="4"/>
      <c r="E20" s="4"/>
      <c r="F20" s="4"/>
      <c r="G20" s="5">
        <f>1665483.78</f>
        <v>1665483.78</v>
      </c>
      <c r="H20" s="4"/>
      <c r="I20" s="4"/>
      <c r="J20" s="4"/>
      <c r="K20" s="4"/>
      <c r="L20" s="5">
        <f>90274.66</f>
        <v>90274.66</v>
      </c>
      <c r="M20" s="4"/>
      <c r="N20" s="4"/>
      <c r="O20" s="4"/>
      <c r="P20" s="5">
        <f>70559.5</f>
        <v>70559.5</v>
      </c>
      <c r="Q20" s="4"/>
      <c r="R20" s="4"/>
      <c r="S20" s="4"/>
      <c r="T20" s="4"/>
      <c r="U20" s="4"/>
      <c r="V20" s="4"/>
      <c r="W20" s="4"/>
      <c r="X20" s="4"/>
      <c r="Y20" s="4"/>
      <c r="Z20" s="4"/>
      <c r="AA20" s="4"/>
      <c r="AB20" s="4"/>
      <c r="AC20" s="4"/>
      <c r="AD20" s="4"/>
      <c r="AE20" s="4"/>
      <c r="AF20" s="4"/>
      <c r="AG20" s="5">
        <f t="shared" si="0"/>
        <v>1826317.94</v>
      </c>
    </row>
    <row r="21" spans="1:33" x14ac:dyDescent="0.25">
      <c r="A21" s="3" t="s">
        <v>47</v>
      </c>
      <c r="B21" s="4"/>
      <c r="C21" s="4"/>
      <c r="D21" s="4"/>
      <c r="E21" s="4"/>
      <c r="F21" s="4"/>
      <c r="G21" s="5">
        <f>27093.14</f>
        <v>27093.14</v>
      </c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  <c r="S21" s="4"/>
      <c r="T21" s="4"/>
      <c r="U21" s="4"/>
      <c r="V21" s="4"/>
      <c r="W21" s="4"/>
      <c r="X21" s="4"/>
      <c r="Y21" s="4"/>
      <c r="Z21" s="4"/>
      <c r="AA21" s="4"/>
      <c r="AB21" s="4"/>
      <c r="AC21" s="4"/>
      <c r="AD21" s="4"/>
      <c r="AE21" s="4"/>
      <c r="AF21" s="4"/>
      <c r="AG21" s="5">
        <f t="shared" si="0"/>
        <v>27093.14</v>
      </c>
    </row>
    <row r="22" spans="1:33" x14ac:dyDescent="0.25">
      <c r="A22" s="3" t="s">
        <v>48</v>
      </c>
      <c r="B22" s="6">
        <f t="shared" ref="B22:AF22" si="2">(B20)+(B21)</f>
        <v>0</v>
      </c>
      <c r="C22" s="6">
        <f t="shared" si="2"/>
        <v>0</v>
      </c>
      <c r="D22" s="6">
        <f t="shared" si="2"/>
        <v>0</v>
      </c>
      <c r="E22" s="6">
        <f t="shared" si="2"/>
        <v>0</v>
      </c>
      <c r="F22" s="6">
        <f t="shared" si="2"/>
        <v>0</v>
      </c>
      <c r="G22" s="6">
        <f t="shared" si="2"/>
        <v>1692576.92</v>
      </c>
      <c r="H22" s="6">
        <f t="shared" si="2"/>
        <v>0</v>
      </c>
      <c r="I22" s="6">
        <f t="shared" si="2"/>
        <v>0</v>
      </c>
      <c r="J22" s="6">
        <f t="shared" si="2"/>
        <v>0</v>
      </c>
      <c r="K22" s="6">
        <f t="shared" si="2"/>
        <v>0</v>
      </c>
      <c r="L22" s="6">
        <f t="shared" si="2"/>
        <v>90274.66</v>
      </c>
      <c r="M22" s="6">
        <f t="shared" si="2"/>
        <v>0</v>
      </c>
      <c r="N22" s="6">
        <f t="shared" si="2"/>
        <v>0</v>
      </c>
      <c r="O22" s="6">
        <f t="shared" si="2"/>
        <v>0</v>
      </c>
      <c r="P22" s="6">
        <f t="shared" si="2"/>
        <v>70559.5</v>
      </c>
      <c r="Q22" s="6">
        <f t="shared" si="2"/>
        <v>0</v>
      </c>
      <c r="R22" s="6">
        <f t="shared" si="2"/>
        <v>0</v>
      </c>
      <c r="S22" s="6">
        <f t="shared" si="2"/>
        <v>0</v>
      </c>
      <c r="T22" s="6">
        <f t="shared" si="2"/>
        <v>0</v>
      </c>
      <c r="U22" s="6">
        <f t="shared" si="2"/>
        <v>0</v>
      </c>
      <c r="V22" s="6">
        <f t="shared" si="2"/>
        <v>0</v>
      </c>
      <c r="W22" s="6">
        <f t="shared" si="2"/>
        <v>0</v>
      </c>
      <c r="X22" s="6">
        <f t="shared" si="2"/>
        <v>0</v>
      </c>
      <c r="Y22" s="6">
        <f t="shared" si="2"/>
        <v>0</v>
      </c>
      <c r="Z22" s="6">
        <f t="shared" si="2"/>
        <v>0</v>
      </c>
      <c r="AA22" s="6">
        <f t="shared" si="2"/>
        <v>0</v>
      </c>
      <c r="AB22" s="6">
        <f t="shared" si="2"/>
        <v>0</v>
      </c>
      <c r="AC22" s="6">
        <f t="shared" si="2"/>
        <v>0</v>
      </c>
      <c r="AD22" s="6">
        <f t="shared" si="2"/>
        <v>0</v>
      </c>
      <c r="AE22" s="6">
        <f t="shared" si="2"/>
        <v>0</v>
      </c>
      <c r="AF22" s="6">
        <f t="shared" si="2"/>
        <v>0</v>
      </c>
      <c r="AG22" s="6">
        <f t="shared" si="0"/>
        <v>1853411.0799999998</v>
      </c>
    </row>
    <row r="23" spans="1:33" x14ac:dyDescent="0.25">
      <c r="A23" s="3" t="s">
        <v>49</v>
      </c>
      <c r="B23" s="5">
        <f>52920</f>
        <v>52920</v>
      </c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  <c r="S23" s="4"/>
      <c r="T23" s="4"/>
      <c r="U23" s="4"/>
      <c r="V23" s="4"/>
      <c r="W23" s="4"/>
      <c r="X23" s="4"/>
      <c r="Y23" s="4"/>
      <c r="Z23" s="4"/>
      <c r="AA23" s="4"/>
      <c r="AB23" s="4"/>
      <c r="AC23" s="4"/>
      <c r="AD23" s="4"/>
      <c r="AE23" s="4"/>
      <c r="AF23" s="4"/>
      <c r="AG23" s="5">
        <f t="shared" si="0"/>
        <v>52920</v>
      </c>
    </row>
    <row r="24" spans="1:33" x14ac:dyDescent="0.25">
      <c r="A24" s="3" t="s">
        <v>50</v>
      </c>
      <c r="B24" s="5">
        <f>25766.04</f>
        <v>25766.04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  <c r="S24" s="4"/>
      <c r="T24" s="4"/>
      <c r="U24" s="4"/>
      <c r="V24" s="4"/>
      <c r="W24" s="4"/>
      <c r="X24" s="4"/>
      <c r="Y24" s="4"/>
      <c r="Z24" s="4"/>
      <c r="AA24" s="4"/>
      <c r="AB24" s="4"/>
      <c r="AC24" s="4"/>
      <c r="AD24" s="4"/>
      <c r="AE24" s="4"/>
      <c r="AF24" s="4"/>
      <c r="AG24" s="5">
        <f t="shared" si="0"/>
        <v>25766.04</v>
      </c>
    </row>
    <row r="25" spans="1:33" x14ac:dyDescent="0.25">
      <c r="A25" s="3" t="s">
        <v>51</v>
      </c>
      <c r="B25" s="4"/>
      <c r="C25" s="4"/>
      <c r="D25" s="4"/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5">
        <f>-133705</f>
        <v>-133705</v>
      </c>
      <c r="S25" s="4"/>
      <c r="T25" s="4"/>
      <c r="U25" s="4"/>
      <c r="V25" s="4"/>
      <c r="W25" s="4"/>
      <c r="X25" s="4"/>
      <c r="Y25" s="4"/>
      <c r="Z25" s="4"/>
      <c r="AA25" s="4"/>
      <c r="AB25" s="4"/>
      <c r="AC25" s="4"/>
      <c r="AD25" s="4"/>
      <c r="AE25" s="4"/>
      <c r="AF25" s="4"/>
      <c r="AG25" s="5">
        <f t="shared" si="0"/>
        <v>-133705</v>
      </c>
    </row>
    <row r="26" spans="1:33" x14ac:dyDescent="0.25">
      <c r="A26" s="3" t="s">
        <v>52</v>
      </c>
      <c r="B26" s="4"/>
      <c r="C26" s="4"/>
      <c r="D26" s="4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5">
        <f>566438.65</f>
        <v>566438.65</v>
      </c>
      <c r="R26" s="4"/>
      <c r="S26" s="4"/>
      <c r="T26" s="5">
        <f>370296.15</f>
        <v>370296.15</v>
      </c>
      <c r="U26" s="4"/>
      <c r="V26" s="5">
        <f>43496</f>
        <v>43496</v>
      </c>
      <c r="W26" s="4"/>
      <c r="X26" s="4"/>
      <c r="Y26" s="4"/>
      <c r="Z26" s="4"/>
      <c r="AA26" s="4"/>
      <c r="AB26" s="4"/>
      <c r="AC26" s="4"/>
      <c r="AD26" s="4"/>
      <c r="AE26" s="4"/>
      <c r="AF26" s="4"/>
      <c r="AG26" s="5">
        <f t="shared" si="0"/>
        <v>980230.8</v>
      </c>
    </row>
    <row r="27" spans="1:33" x14ac:dyDescent="0.25">
      <c r="A27" s="3" t="s">
        <v>53</v>
      </c>
      <c r="B27" s="4"/>
      <c r="C27" s="4"/>
      <c r="D27" s="4"/>
      <c r="E27" s="5">
        <f>288200.53</f>
        <v>288200.53000000003</v>
      </c>
      <c r="F27" s="4"/>
      <c r="G27" s="4"/>
      <c r="H27" s="5">
        <f>7528.17</f>
        <v>7528.17</v>
      </c>
      <c r="I27" s="5">
        <f>18733.95</f>
        <v>18733.95</v>
      </c>
      <c r="J27" s="5">
        <f>50000</f>
        <v>50000</v>
      </c>
      <c r="K27" s="5">
        <f>124311.07</f>
        <v>124311.07</v>
      </c>
      <c r="L27" s="4"/>
      <c r="M27" s="4"/>
      <c r="N27" s="4"/>
      <c r="O27" s="4"/>
      <c r="P27" s="4"/>
      <c r="Q27" s="4"/>
      <c r="R27" s="4"/>
      <c r="S27" s="5">
        <f>514694.27</f>
        <v>514694.27</v>
      </c>
      <c r="T27" s="4"/>
      <c r="U27" s="5">
        <f>256740.41</f>
        <v>256740.41</v>
      </c>
      <c r="V27" s="4"/>
      <c r="W27" s="5">
        <f>296862.41</f>
        <v>296862.40999999997</v>
      </c>
      <c r="X27" s="5">
        <f>255715</f>
        <v>255715</v>
      </c>
      <c r="Y27" s="5">
        <f>161834.25</f>
        <v>161834.25</v>
      </c>
      <c r="Z27" s="5">
        <f>230274.85</f>
        <v>230274.85</v>
      </c>
      <c r="AA27" s="5">
        <f>6590</f>
        <v>6590</v>
      </c>
      <c r="AB27" s="5">
        <f>4373</f>
        <v>4373</v>
      </c>
      <c r="AC27" s="4"/>
      <c r="AD27" s="4"/>
      <c r="AE27" s="4"/>
      <c r="AF27" s="4"/>
      <c r="AG27" s="5">
        <f t="shared" si="0"/>
        <v>2215857.9099999997</v>
      </c>
    </row>
    <row r="28" spans="1:33" x14ac:dyDescent="0.25">
      <c r="A28" s="3" t="s">
        <v>54</v>
      </c>
      <c r="B28" s="6">
        <f t="shared" ref="B28:AF28" si="3">((B25)+(B26))+(B27)</f>
        <v>0</v>
      </c>
      <c r="C28" s="6">
        <f t="shared" si="3"/>
        <v>0</v>
      </c>
      <c r="D28" s="6">
        <f t="shared" si="3"/>
        <v>0</v>
      </c>
      <c r="E28" s="6">
        <f t="shared" si="3"/>
        <v>288200.53000000003</v>
      </c>
      <c r="F28" s="6">
        <f t="shared" si="3"/>
        <v>0</v>
      </c>
      <c r="G28" s="6">
        <f t="shared" si="3"/>
        <v>0</v>
      </c>
      <c r="H28" s="6">
        <f t="shared" si="3"/>
        <v>7528.17</v>
      </c>
      <c r="I28" s="6">
        <f t="shared" si="3"/>
        <v>18733.95</v>
      </c>
      <c r="J28" s="6">
        <f t="shared" si="3"/>
        <v>50000</v>
      </c>
      <c r="K28" s="6">
        <f t="shared" si="3"/>
        <v>124311.07</v>
      </c>
      <c r="L28" s="6">
        <f t="shared" si="3"/>
        <v>0</v>
      </c>
      <c r="M28" s="6">
        <f t="shared" si="3"/>
        <v>0</v>
      </c>
      <c r="N28" s="6">
        <f t="shared" si="3"/>
        <v>0</v>
      </c>
      <c r="O28" s="6">
        <f t="shared" si="3"/>
        <v>0</v>
      </c>
      <c r="P28" s="6">
        <f t="shared" si="3"/>
        <v>0</v>
      </c>
      <c r="Q28" s="6">
        <f t="shared" si="3"/>
        <v>566438.65</v>
      </c>
      <c r="R28" s="6">
        <f t="shared" si="3"/>
        <v>-133705</v>
      </c>
      <c r="S28" s="6">
        <f t="shared" si="3"/>
        <v>514694.27</v>
      </c>
      <c r="T28" s="6">
        <f t="shared" si="3"/>
        <v>370296.15</v>
      </c>
      <c r="U28" s="6">
        <f t="shared" si="3"/>
        <v>256740.41</v>
      </c>
      <c r="V28" s="6">
        <f t="shared" si="3"/>
        <v>43496</v>
      </c>
      <c r="W28" s="6">
        <f t="shared" si="3"/>
        <v>296862.40999999997</v>
      </c>
      <c r="X28" s="6">
        <f t="shared" si="3"/>
        <v>255715</v>
      </c>
      <c r="Y28" s="6">
        <f t="shared" si="3"/>
        <v>161834.25</v>
      </c>
      <c r="Z28" s="6">
        <f t="shared" si="3"/>
        <v>230274.85</v>
      </c>
      <c r="AA28" s="6">
        <f t="shared" si="3"/>
        <v>6590</v>
      </c>
      <c r="AB28" s="6">
        <f t="shared" si="3"/>
        <v>4373</v>
      </c>
      <c r="AC28" s="6">
        <f t="shared" si="3"/>
        <v>0</v>
      </c>
      <c r="AD28" s="6">
        <f t="shared" si="3"/>
        <v>0</v>
      </c>
      <c r="AE28" s="6">
        <f t="shared" si="3"/>
        <v>0</v>
      </c>
      <c r="AF28" s="6">
        <f t="shared" si="3"/>
        <v>0</v>
      </c>
      <c r="AG28" s="6">
        <f t="shared" si="0"/>
        <v>3062383.7100000004</v>
      </c>
    </row>
    <row r="29" spans="1:33" x14ac:dyDescent="0.25">
      <c r="A29" s="3" t="s">
        <v>55</v>
      </c>
      <c r="B29" s="6">
        <f t="shared" ref="B29:AF29" si="4">((((B19)+(B22))+(B23))+(B24))+(B28)</f>
        <v>956588.44000000006</v>
      </c>
      <c r="C29" s="6">
        <f t="shared" si="4"/>
        <v>215</v>
      </c>
      <c r="D29" s="6">
        <f t="shared" si="4"/>
        <v>0</v>
      </c>
      <c r="E29" s="6">
        <f t="shared" si="4"/>
        <v>288200.53000000003</v>
      </c>
      <c r="F29" s="6">
        <f t="shared" si="4"/>
        <v>25886.2</v>
      </c>
      <c r="G29" s="6">
        <f t="shared" si="4"/>
        <v>1795834.9</v>
      </c>
      <c r="H29" s="6">
        <f t="shared" si="4"/>
        <v>7528.17</v>
      </c>
      <c r="I29" s="6">
        <f t="shared" si="4"/>
        <v>18733.95</v>
      </c>
      <c r="J29" s="6">
        <f t="shared" si="4"/>
        <v>50000</v>
      </c>
      <c r="K29" s="6">
        <f t="shared" si="4"/>
        <v>124311.07</v>
      </c>
      <c r="L29" s="6">
        <f t="shared" si="4"/>
        <v>90274.66</v>
      </c>
      <c r="M29" s="6">
        <f t="shared" si="4"/>
        <v>49427.98</v>
      </c>
      <c r="N29" s="6">
        <f t="shared" si="4"/>
        <v>8000</v>
      </c>
      <c r="O29" s="6">
        <f t="shared" si="4"/>
        <v>16775</v>
      </c>
      <c r="P29" s="6">
        <f t="shared" si="4"/>
        <v>70559.5</v>
      </c>
      <c r="Q29" s="6">
        <f t="shared" si="4"/>
        <v>566438.65</v>
      </c>
      <c r="R29" s="6">
        <f t="shared" si="4"/>
        <v>384658</v>
      </c>
      <c r="S29" s="6">
        <f t="shared" si="4"/>
        <v>514694.27</v>
      </c>
      <c r="T29" s="6">
        <f t="shared" si="4"/>
        <v>370296.15</v>
      </c>
      <c r="U29" s="6">
        <f t="shared" si="4"/>
        <v>256740.41</v>
      </c>
      <c r="V29" s="6">
        <f t="shared" si="4"/>
        <v>43496</v>
      </c>
      <c r="W29" s="6">
        <f t="shared" si="4"/>
        <v>296862.40999999997</v>
      </c>
      <c r="X29" s="6">
        <f t="shared" si="4"/>
        <v>255715</v>
      </c>
      <c r="Y29" s="6">
        <f t="shared" si="4"/>
        <v>161834.25</v>
      </c>
      <c r="Z29" s="6">
        <f t="shared" si="4"/>
        <v>230274.85</v>
      </c>
      <c r="AA29" s="6">
        <f t="shared" si="4"/>
        <v>6590</v>
      </c>
      <c r="AB29" s="6">
        <f t="shared" si="4"/>
        <v>4373</v>
      </c>
      <c r="AC29" s="6">
        <f t="shared" si="4"/>
        <v>0</v>
      </c>
      <c r="AD29" s="6">
        <f t="shared" si="4"/>
        <v>0</v>
      </c>
      <c r="AE29" s="6">
        <f t="shared" si="4"/>
        <v>226410.85</v>
      </c>
      <c r="AF29" s="6">
        <f t="shared" si="4"/>
        <v>0</v>
      </c>
      <c r="AG29" s="6">
        <f t="shared" si="0"/>
        <v>6820719.2400000002</v>
      </c>
    </row>
    <row r="30" spans="1:33" x14ac:dyDescent="0.25">
      <c r="A30" s="3" t="s">
        <v>56</v>
      </c>
      <c r="B30" s="6">
        <f t="shared" ref="B30:AF30" si="5">(B29)-(0)</f>
        <v>956588.44000000006</v>
      </c>
      <c r="C30" s="6">
        <f t="shared" si="5"/>
        <v>215</v>
      </c>
      <c r="D30" s="6">
        <f t="shared" si="5"/>
        <v>0</v>
      </c>
      <c r="E30" s="6">
        <f t="shared" si="5"/>
        <v>288200.53000000003</v>
      </c>
      <c r="F30" s="6">
        <f t="shared" si="5"/>
        <v>25886.2</v>
      </c>
      <c r="G30" s="6">
        <f t="shared" si="5"/>
        <v>1795834.9</v>
      </c>
      <c r="H30" s="6">
        <f t="shared" si="5"/>
        <v>7528.17</v>
      </c>
      <c r="I30" s="6">
        <f t="shared" si="5"/>
        <v>18733.95</v>
      </c>
      <c r="J30" s="6">
        <f t="shared" si="5"/>
        <v>50000</v>
      </c>
      <c r="K30" s="6">
        <f t="shared" si="5"/>
        <v>124311.07</v>
      </c>
      <c r="L30" s="6">
        <f t="shared" si="5"/>
        <v>90274.66</v>
      </c>
      <c r="M30" s="6">
        <f t="shared" si="5"/>
        <v>49427.98</v>
      </c>
      <c r="N30" s="6">
        <f t="shared" si="5"/>
        <v>8000</v>
      </c>
      <c r="O30" s="6">
        <f t="shared" si="5"/>
        <v>16775</v>
      </c>
      <c r="P30" s="6">
        <f t="shared" si="5"/>
        <v>70559.5</v>
      </c>
      <c r="Q30" s="6">
        <f t="shared" si="5"/>
        <v>566438.65</v>
      </c>
      <c r="R30" s="6">
        <f t="shared" si="5"/>
        <v>384658</v>
      </c>
      <c r="S30" s="6">
        <f t="shared" si="5"/>
        <v>514694.27</v>
      </c>
      <c r="T30" s="6">
        <f t="shared" si="5"/>
        <v>370296.15</v>
      </c>
      <c r="U30" s="6">
        <f t="shared" si="5"/>
        <v>256740.41</v>
      </c>
      <c r="V30" s="6">
        <f t="shared" si="5"/>
        <v>43496</v>
      </c>
      <c r="W30" s="6">
        <f t="shared" si="5"/>
        <v>296862.40999999997</v>
      </c>
      <c r="X30" s="6">
        <f t="shared" si="5"/>
        <v>255715</v>
      </c>
      <c r="Y30" s="6">
        <f t="shared" si="5"/>
        <v>161834.25</v>
      </c>
      <c r="Z30" s="6">
        <f t="shared" si="5"/>
        <v>230274.85</v>
      </c>
      <c r="AA30" s="6">
        <f t="shared" si="5"/>
        <v>6590</v>
      </c>
      <c r="AB30" s="6">
        <f t="shared" si="5"/>
        <v>4373</v>
      </c>
      <c r="AC30" s="6">
        <f t="shared" si="5"/>
        <v>0</v>
      </c>
      <c r="AD30" s="6">
        <f t="shared" si="5"/>
        <v>0</v>
      </c>
      <c r="AE30" s="6">
        <f t="shared" si="5"/>
        <v>226410.85</v>
      </c>
      <c r="AF30" s="6">
        <f t="shared" si="5"/>
        <v>0</v>
      </c>
      <c r="AG30" s="6">
        <f t="shared" si="0"/>
        <v>6820719.2400000002</v>
      </c>
    </row>
    <row r="31" spans="1:33" x14ac:dyDescent="0.25">
      <c r="A31" s="3" t="s">
        <v>57</v>
      </c>
      <c r="B31" s="4"/>
      <c r="C31" s="4"/>
      <c r="D31" s="4"/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  <c r="S31" s="4"/>
      <c r="T31" s="4"/>
      <c r="U31" s="4"/>
      <c r="V31" s="4"/>
      <c r="W31" s="4"/>
      <c r="X31" s="4"/>
      <c r="Y31" s="4"/>
      <c r="Z31" s="4"/>
      <c r="AA31" s="4"/>
      <c r="AB31" s="4"/>
      <c r="AC31" s="4"/>
      <c r="AD31" s="4"/>
      <c r="AE31" s="4"/>
      <c r="AF31" s="4"/>
      <c r="AG31" s="4"/>
    </row>
    <row r="32" spans="1:33" x14ac:dyDescent="0.25">
      <c r="A32" s="3" t="s">
        <v>58</v>
      </c>
      <c r="B32" s="4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  <c r="S32" s="4"/>
      <c r="T32" s="4"/>
      <c r="U32" s="4"/>
      <c r="V32" s="4"/>
      <c r="W32" s="4"/>
      <c r="X32" s="4"/>
      <c r="Y32" s="4"/>
      <c r="Z32" s="4"/>
      <c r="AA32" s="4"/>
      <c r="AB32" s="4"/>
      <c r="AC32" s="4"/>
      <c r="AD32" s="4"/>
      <c r="AE32" s="4"/>
      <c r="AF32" s="4"/>
      <c r="AG32" s="5">
        <f t="shared" ref="AG32:AG63" si="6">((((((((((((((((((((((((((((((B32)+(C32))+(D32))+(E32))+(F32))+(G32))+(H32))+(I32))+(J32))+(K32))+(L32))+(M32))+(N32))+(O32))+(P32))+(Q32))+(R32))+(S32))+(T32))+(U32))+(V32))+(W32))+(X32))+(Y32))+(Z32))+(AA32))+(AB32))+(AC32))+(AD32))+(AE32))+(AF32)</f>
        <v>0</v>
      </c>
    </row>
    <row r="33" spans="1:33" x14ac:dyDescent="0.25">
      <c r="A33" s="3" t="s">
        <v>59</v>
      </c>
      <c r="B33" s="5">
        <f>154014.75</f>
        <v>154014.75</v>
      </c>
      <c r="C33" s="4"/>
      <c r="D33" s="4"/>
      <c r="E33" s="5">
        <f>203695.87</f>
        <v>203695.87</v>
      </c>
      <c r="F33" s="4"/>
      <c r="G33" s="5">
        <f>449994.98</f>
        <v>449994.98</v>
      </c>
      <c r="H33" s="5">
        <f>5121.44</f>
        <v>5121.4399999999996</v>
      </c>
      <c r="I33" s="5">
        <f>45020.68</f>
        <v>45020.68</v>
      </c>
      <c r="J33" s="4"/>
      <c r="K33" s="5">
        <f>55765.6</f>
        <v>55765.599999999999</v>
      </c>
      <c r="L33" s="5">
        <f>58205.98</f>
        <v>58205.98</v>
      </c>
      <c r="M33" s="4"/>
      <c r="N33" s="5">
        <f>1203.93</f>
        <v>1203.93</v>
      </c>
      <c r="O33" s="5">
        <f>-887.11</f>
        <v>-887.11</v>
      </c>
      <c r="P33" s="5">
        <f>31191.16</f>
        <v>31191.16</v>
      </c>
      <c r="Q33" s="5">
        <f>338589.68</f>
        <v>338589.68</v>
      </c>
      <c r="R33" s="5">
        <f>61185</f>
        <v>61185</v>
      </c>
      <c r="S33" s="5">
        <f>106372.56</f>
        <v>106372.56</v>
      </c>
      <c r="T33" s="4"/>
      <c r="U33" s="5">
        <f>61278.83</f>
        <v>61278.83</v>
      </c>
      <c r="V33" s="4"/>
      <c r="W33" s="5">
        <f>136876.84</f>
        <v>136876.84</v>
      </c>
      <c r="X33" s="5">
        <f>183664.15</f>
        <v>183664.15</v>
      </c>
      <c r="Y33" s="5">
        <f>107307.76</f>
        <v>107307.76</v>
      </c>
      <c r="Z33" s="5">
        <f>167895.78</f>
        <v>167895.78</v>
      </c>
      <c r="AA33" s="5">
        <f>2410.4</f>
        <v>2410.4</v>
      </c>
      <c r="AB33" s="5">
        <f>3034.2</f>
        <v>3034.2</v>
      </c>
      <c r="AC33" s="5">
        <f>3957.69</f>
        <v>3957.69</v>
      </c>
      <c r="AD33" s="4"/>
      <c r="AE33" s="5">
        <f>25404.42</f>
        <v>25404.42</v>
      </c>
      <c r="AF33" s="4"/>
      <c r="AG33" s="5">
        <f t="shared" si="6"/>
        <v>2201304.59</v>
      </c>
    </row>
    <row r="34" spans="1:33" x14ac:dyDescent="0.25">
      <c r="A34" s="3" t="s">
        <v>60</v>
      </c>
      <c r="B34" s="5">
        <f>151940.69</f>
        <v>151940.69</v>
      </c>
      <c r="C34" s="4"/>
      <c r="D34" s="4"/>
      <c r="E34" s="4"/>
      <c r="F34" s="5">
        <f>26906.32</f>
        <v>26906.32</v>
      </c>
      <c r="G34" s="5">
        <f>112321.08</f>
        <v>112321.08</v>
      </c>
      <c r="H34" s="4"/>
      <c r="I34" s="4"/>
      <c r="J34" s="4"/>
      <c r="K34" s="4"/>
      <c r="L34" s="4"/>
      <c r="M34" s="5">
        <f>41614.64</f>
        <v>41614.639999999999</v>
      </c>
      <c r="N34" s="4"/>
      <c r="O34" s="4"/>
      <c r="P34" s="4"/>
      <c r="Q34" s="5">
        <f>22241.38</f>
        <v>22241.38</v>
      </c>
      <c r="R34" s="4"/>
      <c r="S34" s="5">
        <f>15952.22</f>
        <v>15952.22</v>
      </c>
      <c r="T34" s="5">
        <f>287238.09</f>
        <v>287238.09000000003</v>
      </c>
      <c r="U34" s="4"/>
      <c r="V34" s="5">
        <f>35000</f>
        <v>35000</v>
      </c>
      <c r="W34" s="5">
        <f>14322.48</f>
        <v>14322.48</v>
      </c>
      <c r="X34" s="5">
        <f>19096.56</f>
        <v>19096.560000000001</v>
      </c>
      <c r="Y34" s="4"/>
      <c r="Z34" s="4"/>
      <c r="AA34" s="4"/>
      <c r="AB34" s="4"/>
      <c r="AC34" s="4"/>
      <c r="AD34" s="4"/>
      <c r="AE34" s="4"/>
      <c r="AF34" s="4"/>
      <c r="AG34" s="5">
        <f t="shared" si="6"/>
        <v>726633.46000000008</v>
      </c>
    </row>
    <row r="35" spans="1:33" x14ac:dyDescent="0.25">
      <c r="A35" s="3" t="s">
        <v>61</v>
      </c>
      <c r="B35" s="6">
        <f t="shared" ref="B35:AF35" si="7">((B32)+(B33))+(B34)</f>
        <v>305955.44</v>
      </c>
      <c r="C35" s="6">
        <f t="shared" si="7"/>
        <v>0</v>
      </c>
      <c r="D35" s="6">
        <f t="shared" si="7"/>
        <v>0</v>
      </c>
      <c r="E35" s="6">
        <f t="shared" si="7"/>
        <v>203695.87</v>
      </c>
      <c r="F35" s="6">
        <f t="shared" si="7"/>
        <v>26906.32</v>
      </c>
      <c r="G35" s="6">
        <f t="shared" si="7"/>
        <v>562316.05999999994</v>
      </c>
      <c r="H35" s="6">
        <f t="shared" si="7"/>
        <v>5121.4399999999996</v>
      </c>
      <c r="I35" s="6">
        <f t="shared" si="7"/>
        <v>45020.68</v>
      </c>
      <c r="J35" s="6">
        <f t="shared" si="7"/>
        <v>0</v>
      </c>
      <c r="K35" s="6">
        <f t="shared" si="7"/>
        <v>55765.599999999999</v>
      </c>
      <c r="L35" s="6">
        <f t="shared" si="7"/>
        <v>58205.98</v>
      </c>
      <c r="M35" s="6">
        <f t="shared" si="7"/>
        <v>41614.639999999999</v>
      </c>
      <c r="N35" s="6">
        <f t="shared" si="7"/>
        <v>1203.93</v>
      </c>
      <c r="O35" s="6">
        <f t="shared" si="7"/>
        <v>-887.11</v>
      </c>
      <c r="P35" s="6">
        <f t="shared" si="7"/>
        <v>31191.16</v>
      </c>
      <c r="Q35" s="6">
        <f t="shared" si="7"/>
        <v>360831.06</v>
      </c>
      <c r="R35" s="6">
        <f t="shared" si="7"/>
        <v>61185</v>
      </c>
      <c r="S35" s="6">
        <f t="shared" si="7"/>
        <v>122324.78</v>
      </c>
      <c r="T35" s="6">
        <f t="shared" si="7"/>
        <v>287238.09000000003</v>
      </c>
      <c r="U35" s="6">
        <f t="shared" si="7"/>
        <v>61278.83</v>
      </c>
      <c r="V35" s="6">
        <f t="shared" si="7"/>
        <v>35000</v>
      </c>
      <c r="W35" s="6">
        <f t="shared" si="7"/>
        <v>151199.32</v>
      </c>
      <c r="X35" s="6">
        <f t="shared" si="7"/>
        <v>202760.71</v>
      </c>
      <c r="Y35" s="6">
        <f t="shared" si="7"/>
        <v>107307.76</v>
      </c>
      <c r="Z35" s="6">
        <f t="shared" si="7"/>
        <v>167895.78</v>
      </c>
      <c r="AA35" s="6">
        <f t="shared" si="7"/>
        <v>2410.4</v>
      </c>
      <c r="AB35" s="6">
        <f t="shared" si="7"/>
        <v>3034.2</v>
      </c>
      <c r="AC35" s="6">
        <f t="shared" si="7"/>
        <v>3957.69</v>
      </c>
      <c r="AD35" s="6">
        <f t="shared" si="7"/>
        <v>0</v>
      </c>
      <c r="AE35" s="6">
        <f t="shared" si="7"/>
        <v>25404.42</v>
      </c>
      <c r="AF35" s="6">
        <f t="shared" si="7"/>
        <v>0</v>
      </c>
      <c r="AG35" s="6">
        <f t="shared" si="6"/>
        <v>2927938.0499999989</v>
      </c>
    </row>
    <row r="36" spans="1:33" x14ac:dyDescent="0.25">
      <c r="A36" s="3" t="s">
        <v>62</v>
      </c>
      <c r="B36" s="5">
        <f>0</f>
        <v>0</v>
      </c>
      <c r="C36" s="4"/>
      <c r="D36" s="4"/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  <c r="S36" s="5">
        <f>0</f>
        <v>0</v>
      </c>
      <c r="T36" s="4"/>
      <c r="U36" s="4"/>
      <c r="V36" s="4"/>
      <c r="W36" s="4"/>
      <c r="X36" s="4"/>
      <c r="Y36" s="4"/>
      <c r="Z36" s="4"/>
      <c r="AA36" s="4"/>
      <c r="AB36" s="4"/>
      <c r="AC36" s="4"/>
      <c r="AD36" s="4"/>
      <c r="AE36" s="4"/>
      <c r="AF36" s="4"/>
      <c r="AG36" s="5">
        <f t="shared" si="6"/>
        <v>0</v>
      </c>
    </row>
    <row r="37" spans="1:33" x14ac:dyDescent="0.25">
      <c r="A37" s="3" t="s">
        <v>63</v>
      </c>
      <c r="B37" s="4"/>
      <c r="C37" s="4"/>
      <c r="D37" s="4"/>
      <c r="E37" s="5">
        <f>163.04</f>
        <v>163.04</v>
      </c>
      <c r="F37" s="4"/>
      <c r="G37" s="4"/>
      <c r="H37" s="5">
        <f>0.69</f>
        <v>0.69</v>
      </c>
      <c r="I37" s="5">
        <f>6.31</f>
        <v>6.31</v>
      </c>
      <c r="J37" s="4"/>
      <c r="K37" s="5">
        <f>7.49</f>
        <v>7.49</v>
      </c>
      <c r="L37" s="4"/>
      <c r="M37" s="4"/>
      <c r="N37" s="5">
        <f>0.19</f>
        <v>0.19</v>
      </c>
      <c r="O37" s="5">
        <f>-134.41</f>
        <v>-134.41</v>
      </c>
      <c r="P37" s="4"/>
      <c r="Q37" s="4"/>
      <c r="R37" s="4"/>
      <c r="S37" s="5">
        <f>4.96</f>
        <v>4.96</v>
      </c>
      <c r="T37" s="4"/>
      <c r="U37" s="5">
        <f>14</f>
        <v>14</v>
      </c>
      <c r="V37" s="4"/>
      <c r="W37" s="5">
        <f>19.71</f>
        <v>19.71</v>
      </c>
      <c r="X37" s="5">
        <f>29.13</f>
        <v>29.13</v>
      </c>
      <c r="Y37" s="5">
        <f>10.93</f>
        <v>10.93</v>
      </c>
      <c r="Z37" s="5">
        <f>17.91</f>
        <v>17.91</v>
      </c>
      <c r="AA37" s="5">
        <f>1</f>
        <v>1</v>
      </c>
      <c r="AB37" s="5">
        <f>0</f>
        <v>0</v>
      </c>
      <c r="AC37" s="5">
        <f>0.8</f>
        <v>0.8</v>
      </c>
      <c r="AD37" s="4"/>
      <c r="AE37" s="5">
        <f>3.72</f>
        <v>3.72</v>
      </c>
      <c r="AF37" s="4"/>
      <c r="AG37" s="5">
        <f t="shared" si="6"/>
        <v>145.47</v>
      </c>
    </row>
    <row r="38" spans="1:33" x14ac:dyDescent="0.25">
      <c r="A38" s="3" t="s">
        <v>64</v>
      </c>
      <c r="B38" s="5">
        <f>8645.27</f>
        <v>8645.27</v>
      </c>
      <c r="C38" s="4"/>
      <c r="D38" s="4"/>
      <c r="E38" s="4"/>
      <c r="F38" s="5">
        <f>1501.68</f>
        <v>1501.68</v>
      </c>
      <c r="G38" s="5">
        <f>6103.11</f>
        <v>6103.11</v>
      </c>
      <c r="H38" s="4"/>
      <c r="I38" s="4"/>
      <c r="J38" s="4"/>
      <c r="K38" s="4"/>
      <c r="L38" s="4"/>
      <c r="M38" s="5">
        <f>2424.53</f>
        <v>2424.5300000000002</v>
      </c>
      <c r="N38" s="4"/>
      <c r="O38" s="4"/>
      <c r="P38" s="4"/>
      <c r="Q38" s="5">
        <f>1312.68</f>
        <v>1312.68</v>
      </c>
      <c r="R38" s="4"/>
      <c r="S38" s="5">
        <f>989.04</f>
        <v>989.04</v>
      </c>
      <c r="T38" s="5">
        <f>17127.69</f>
        <v>17127.689999999999</v>
      </c>
      <c r="U38" s="4"/>
      <c r="V38" s="5">
        <f>2113.51</f>
        <v>2113.5100000000002</v>
      </c>
      <c r="W38" s="5">
        <f>879.92</f>
        <v>879.92</v>
      </c>
      <c r="X38" s="5">
        <f>1173.05</f>
        <v>1173.05</v>
      </c>
      <c r="Y38" s="4"/>
      <c r="Z38" s="4"/>
      <c r="AA38" s="4"/>
      <c r="AB38" s="4"/>
      <c r="AC38" s="4"/>
      <c r="AD38" s="4"/>
      <c r="AE38" s="4"/>
      <c r="AF38" s="4"/>
      <c r="AG38" s="5">
        <f t="shared" si="6"/>
        <v>42270.48</v>
      </c>
    </row>
    <row r="39" spans="1:33" x14ac:dyDescent="0.25">
      <c r="A39" s="3" t="s">
        <v>65</v>
      </c>
      <c r="B39" s="5">
        <f>4202.78</f>
        <v>4202.78</v>
      </c>
      <c r="C39" s="4"/>
      <c r="D39" s="4"/>
      <c r="E39" s="5">
        <f>2876.19</f>
        <v>2876.19</v>
      </c>
      <c r="F39" s="5">
        <f>351.19</f>
        <v>351.19</v>
      </c>
      <c r="G39" s="5">
        <f>7702.26</f>
        <v>7702.26</v>
      </c>
      <c r="H39" s="5">
        <f>71.66</f>
        <v>71.66</v>
      </c>
      <c r="I39" s="5">
        <f>627.53</f>
        <v>627.53</v>
      </c>
      <c r="J39" s="4"/>
      <c r="K39" s="5">
        <f>474.72</f>
        <v>474.72</v>
      </c>
      <c r="L39" s="5">
        <f>757.67</f>
        <v>757.67</v>
      </c>
      <c r="M39" s="5">
        <f>567.06</f>
        <v>567.05999999999995</v>
      </c>
      <c r="N39" s="5">
        <f>17.46</f>
        <v>17.46</v>
      </c>
      <c r="O39" s="5">
        <f>-12.82</f>
        <v>-12.82</v>
      </c>
      <c r="P39" s="5">
        <f>447.23</f>
        <v>447.23</v>
      </c>
      <c r="Q39" s="5">
        <f>4295.93</f>
        <v>4295.93</v>
      </c>
      <c r="R39" s="5">
        <f>437.17</f>
        <v>437.17</v>
      </c>
      <c r="S39" s="5">
        <f>1722.79</f>
        <v>1722.79</v>
      </c>
      <c r="T39" s="5">
        <f>4005.77</f>
        <v>4005.77</v>
      </c>
      <c r="U39" s="5">
        <f>866.51</f>
        <v>866.51</v>
      </c>
      <c r="V39" s="5">
        <f>494.3</f>
        <v>494.3</v>
      </c>
      <c r="W39" s="5">
        <f>2109.15</f>
        <v>2109.15</v>
      </c>
      <c r="X39" s="5">
        <f>2822.9</f>
        <v>2822.9</v>
      </c>
      <c r="Y39" s="5">
        <f>1341.87</f>
        <v>1341.87</v>
      </c>
      <c r="Z39" s="5">
        <f>2270.77</f>
        <v>2270.77</v>
      </c>
      <c r="AA39" s="5">
        <f>32.96</f>
        <v>32.96</v>
      </c>
      <c r="AB39" s="5">
        <f>40.37</f>
        <v>40.369999999999997</v>
      </c>
      <c r="AC39" s="5">
        <f>57.96</f>
        <v>57.96</v>
      </c>
      <c r="AD39" s="4"/>
      <c r="AE39" s="5">
        <f>343.86</f>
        <v>343.86</v>
      </c>
      <c r="AF39" s="4"/>
      <c r="AG39" s="5">
        <f t="shared" si="6"/>
        <v>38925.24</v>
      </c>
    </row>
    <row r="40" spans="1:33" x14ac:dyDescent="0.25">
      <c r="A40" s="3" t="s">
        <v>66</v>
      </c>
      <c r="B40" s="5">
        <f>7851.62</f>
        <v>7851.62</v>
      </c>
      <c r="C40" s="4"/>
      <c r="D40" s="4"/>
      <c r="E40" s="5">
        <f>33493.84</f>
        <v>33493.839999999997</v>
      </c>
      <c r="F40" s="4"/>
      <c r="G40" s="5">
        <f>13694.66</f>
        <v>13694.66</v>
      </c>
      <c r="H40" s="5">
        <f>845.42</f>
        <v>845.42</v>
      </c>
      <c r="I40" s="5">
        <f>7731.4</f>
        <v>7731.4</v>
      </c>
      <c r="J40" s="4"/>
      <c r="K40" s="5">
        <f>5408.48</f>
        <v>5408.48</v>
      </c>
      <c r="L40" s="5">
        <f>2398.84</f>
        <v>2398.84</v>
      </c>
      <c r="M40" s="4"/>
      <c r="N40" s="5">
        <f>193.89</f>
        <v>193.89</v>
      </c>
      <c r="O40" s="5">
        <f>-22.64</f>
        <v>-22.64</v>
      </c>
      <c r="P40" s="5">
        <f>935.76</f>
        <v>935.76</v>
      </c>
      <c r="Q40" s="5">
        <f>10135.01</f>
        <v>10135.01</v>
      </c>
      <c r="R40" s="5">
        <f>935.62</f>
        <v>935.62</v>
      </c>
      <c r="S40" s="5">
        <f>14894.74</f>
        <v>14894.74</v>
      </c>
      <c r="T40" s="4"/>
      <c r="U40" s="5">
        <f>10137.98</f>
        <v>10137.98</v>
      </c>
      <c r="V40" s="4"/>
      <c r="W40" s="5">
        <f>22159.36</f>
        <v>22159.360000000001</v>
      </c>
      <c r="X40" s="5">
        <f>29732.91</f>
        <v>29732.91</v>
      </c>
      <c r="Y40" s="5">
        <f>13882.26</f>
        <v>13882.26</v>
      </c>
      <c r="Z40" s="5">
        <f>26102.14</f>
        <v>26102.14</v>
      </c>
      <c r="AA40" s="5">
        <f>119.4</f>
        <v>119.4</v>
      </c>
      <c r="AB40" s="5">
        <f>159.12</f>
        <v>159.12</v>
      </c>
      <c r="AC40" s="5">
        <f>203.73</f>
        <v>203.73</v>
      </c>
      <c r="AD40" s="4"/>
      <c r="AE40" s="5">
        <f>3657.48</f>
        <v>3657.48</v>
      </c>
      <c r="AF40" s="4"/>
      <c r="AG40" s="5">
        <f t="shared" si="6"/>
        <v>204651.02</v>
      </c>
    </row>
    <row r="41" spans="1:33" x14ac:dyDescent="0.25">
      <c r="A41" s="3" t="s">
        <v>67</v>
      </c>
      <c r="B41" s="5">
        <f>40364.58</f>
        <v>40364.58</v>
      </c>
      <c r="C41" s="4"/>
      <c r="D41" s="4"/>
      <c r="E41" s="4"/>
      <c r="F41" s="4"/>
      <c r="G41" s="5">
        <f>28130.32</f>
        <v>28130.32</v>
      </c>
      <c r="H41" s="4"/>
      <c r="I41" s="4"/>
      <c r="J41" s="4"/>
      <c r="K41" s="4"/>
      <c r="L41" s="4"/>
      <c r="M41" s="5">
        <f>11148.51</f>
        <v>11148.51</v>
      </c>
      <c r="N41" s="4"/>
      <c r="O41" s="4"/>
      <c r="P41" s="4"/>
      <c r="Q41" s="5">
        <f>5958.4</f>
        <v>5958.4</v>
      </c>
      <c r="R41" s="4"/>
      <c r="S41" s="5">
        <f>2410.88</f>
        <v>2410.88</v>
      </c>
      <c r="T41" s="5">
        <f>72782.21</f>
        <v>72782.210000000006</v>
      </c>
      <c r="U41" s="4"/>
      <c r="V41" s="5">
        <f>9376.5</f>
        <v>9376.5</v>
      </c>
      <c r="W41" s="5">
        <f>2395.32</f>
        <v>2395.3200000000002</v>
      </c>
      <c r="X41" s="5">
        <f>2395.26</f>
        <v>2395.2600000000002</v>
      </c>
      <c r="Y41" s="4"/>
      <c r="Z41" s="4"/>
      <c r="AA41" s="4"/>
      <c r="AB41" s="4"/>
      <c r="AC41" s="4"/>
      <c r="AD41" s="4"/>
      <c r="AE41" s="4"/>
      <c r="AF41" s="4"/>
      <c r="AG41" s="5">
        <f t="shared" si="6"/>
        <v>174961.98</v>
      </c>
    </row>
    <row r="42" spans="1:33" x14ac:dyDescent="0.25">
      <c r="A42" s="3" t="s">
        <v>68</v>
      </c>
      <c r="B42" s="4"/>
      <c r="C42" s="4"/>
      <c r="D42" s="4"/>
      <c r="E42" s="5">
        <f>22120.52</f>
        <v>22120.52</v>
      </c>
      <c r="F42" s="4"/>
      <c r="G42" s="4"/>
      <c r="H42" s="5">
        <f>845.43</f>
        <v>845.43</v>
      </c>
      <c r="I42" s="5">
        <f>7731.39</f>
        <v>7731.39</v>
      </c>
      <c r="J42" s="4"/>
      <c r="K42" s="5">
        <f>1607.13</f>
        <v>1607.13</v>
      </c>
      <c r="L42" s="4"/>
      <c r="M42" s="4"/>
      <c r="N42" s="5">
        <f>212.78</f>
        <v>212.78</v>
      </c>
      <c r="O42" s="5">
        <f>-144.86</f>
        <v>-144.86000000000001</v>
      </c>
      <c r="P42" s="4"/>
      <c r="Q42" s="4"/>
      <c r="R42" s="4"/>
      <c r="S42" s="5">
        <f>5259.96</f>
        <v>5259.96</v>
      </c>
      <c r="T42" s="5">
        <f>3860.8</f>
        <v>3860.8</v>
      </c>
      <c r="U42" s="5">
        <f>9659.02</f>
        <v>9659.02</v>
      </c>
      <c r="V42" s="4"/>
      <c r="W42" s="5">
        <f>13996.75</f>
        <v>13996.75</v>
      </c>
      <c r="X42" s="5">
        <f>21265.88</f>
        <v>21265.88</v>
      </c>
      <c r="Y42" s="5">
        <f>8209.18</f>
        <v>8209.18</v>
      </c>
      <c r="Z42" s="5">
        <f>12454.56</f>
        <v>12454.56</v>
      </c>
      <c r="AA42" s="5">
        <f>1225.02</f>
        <v>1225.02</v>
      </c>
      <c r="AB42" s="5">
        <f>0</f>
        <v>0</v>
      </c>
      <c r="AC42" s="5">
        <f>140</f>
        <v>140</v>
      </c>
      <c r="AD42" s="4"/>
      <c r="AE42" s="5">
        <f>3943.71</f>
        <v>3943.71</v>
      </c>
      <c r="AF42" s="4"/>
      <c r="AG42" s="5">
        <f t="shared" si="6"/>
        <v>112387.27000000002</v>
      </c>
    </row>
    <row r="43" spans="1:33" x14ac:dyDescent="0.25">
      <c r="A43" s="3" t="s">
        <v>69</v>
      </c>
      <c r="B43" s="5">
        <f>337.42</f>
        <v>337.42</v>
      </c>
      <c r="C43" s="4"/>
      <c r="D43" s="4"/>
      <c r="E43" s="4"/>
      <c r="F43" s="4"/>
      <c r="G43" s="5">
        <f>442.76</f>
        <v>442.76</v>
      </c>
      <c r="H43" s="4"/>
      <c r="I43" s="5">
        <f>60</f>
        <v>60</v>
      </c>
      <c r="J43" s="4"/>
      <c r="K43" s="4"/>
      <c r="L43" s="5">
        <f>60</f>
        <v>60</v>
      </c>
      <c r="M43" s="4"/>
      <c r="N43" s="4"/>
      <c r="O43" s="4"/>
      <c r="P43" s="5">
        <f>60</f>
        <v>60</v>
      </c>
      <c r="Q43" s="5">
        <f>60</f>
        <v>60</v>
      </c>
      <c r="R43" s="4"/>
      <c r="S43" s="5">
        <f>45</f>
        <v>45</v>
      </c>
      <c r="T43" s="5">
        <f>135</f>
        <v>135</v>
      </c>
      <c r="U43" s="4"/>
      <c r="V43" s="4"/>
      <c r="W43" s="4"/>
      <c r="X43" s="5">
        <f>70.06</f>
        <v>70.06</v>
      </c>
      <c r="Y43" s="5">
        <f>120</f>
        <v>120</v>
      </c>
      <c r="Z43" s="5">
        <f>120</f>
        <v>120</v>
      </c>
      <c r="AA43" s="4"/>
      <c r="AB43" s="4"/>
      <c r="AC43" s="4"/>
      <c r="AD43" s="4"/>
      <c r="AE43" s="4"/>
      <c r="AF43" s="4"/>
      <c r="AG43" s="5">
        <f t="shared" si="6"/>
        <v>1510.24</v>
      </c>
    </row>
    <row r="44" spans="1:33" x14ac:dyDescent="0.25">
      <c r="A44" s="3" t="s">
        <v>70</v>
      </c>
      <c r="B44" s="5">
        <f>2047</f>
        <v>2047</v>
      </c>
      <c r="C44" s="4"/>
      <c r="D44" s="4"/>
      <c r="E44" s="5">
        <f>1346</f>
        <v>1346</v>
      </c>
      <c r="F44" s="5">
        <f>178</f>
        <v>178</v>
      </c>
      <c r="G44" s="5">
        <f>3665</f>
        <v>3665</v>
      </c>
      <c r="H44" s="4"/>
      <c r="I44" s="5">
        <f>292</f>
        <v>292</v>
      </c>
      <c r="J44" s="4"/>
      <c r="K44" s="5">
        <f>394</f>
        <v>394</v>
      </c>
      <c r="L44" s="5">
        <f>385</f>
        <v>385</v>
      </c>
      <c r="M44" s="5">
        <f>264</f>
        <v>264</v>
      </c>
      <c r="N44" s="4"/>
      <c r="O44" s="4"/>
      <c r="P44" s="5">
        <f>206</f>
        <v>206</v>
      </c>
      <c r="Q44" s="5">
        <f>2364</f>
        <v>2364</v>
      </c>
      <c r="R44" s="5">
        <f>438</f>
        <v>438</v>
      </c>
      <c r="S44" s="5">
        <f>713.25</f>
        <v>713.25</v>
      </c>
      <c r="T44" s="5">
        <f>1900</f>
        <v>1900</v>
      </c>
      <c r="U44" s="5">
        <f>436</f>
        <v>436</v>
      </c>
      <c r="V44" s="5">
        <f>232</f>
        <v>232</v>
      </c>
      <c r="W44" s="4"/>
      <c r="X44" s="5">
        <f>2239</f>
        <v>2239</v>
      </c>
      <c r="Y44" s="5">
        <f>721</f>
        <v>721</v>
      </c>
      <c r="Z44" s="5">
        <f>1058</f>
        <v>1058</v>
      </c>
      <c r="AA44" s="4"/>
      <c r="AB44" s="5">
        <f>36</f>
        <v>36</v>
      </c>
      <c r="AC44" s="5">
        <f>66</f>
        <v>66</v>
      </c>
      <c r="AD44" s="4"/>
      <c r="AE44" s="4"/>
      <c r="AF44" s="4"/>
      <c r="AG44" s="5">
        <f t="shared" si="6"/>
        <v>18980.25</v>
      </c>
    </row>
    <row r="45" spans="1:33" x14ac:dyDescent="0.25">
      <c r="A45" s="3" t="s">
        <v>71</v>
      </c>
      <c r="B45" s="4"/>
      <c r="C45" s="4"/>
      <c r="D45" s="4"/>
      <c r="E45" s="5">
        <f>4073.95</f>
        <v>4073.95</v>
      </c>
      <c r="F45" s="4"/>
      <c r="G45" s="5">
        <f>5000</f>
        <v>5000</v>
      </c>
      <c r="H45" s="4"/>
      <c r="I45" s="5">
        <f>900.39</f>
        <v>900.39</v>
      </c>
      <c r="J45" s="4"/>
      <c r="K45" s="4"/>
      <c r="L45" s="4"/>
      <c r="M45" s="4"/>
      <c r="N45" s="4"/>
      <c r="O45" s="4"/>
      <c r="P45" s="5">
        <f>311.92</f>
        <v>311.92</v>
      </c>
      <c r="Q45" s="5">
        <f>7153.09</f>
        <v>7153.09</v>
      </c>
      <c r="R45" s="5">
        <f>623.7</f>
        <v>623.70000000000005</v>
      </c>
      <c r="S45" s="5">
        <f>894.18</f>
        <v>894.18</v>
      </c>
      <c r="T45" s="4"/>
      <c r="U45" s="5">
        <f>1225.58</f>
        <v>1225.58</v>
      </c>
      <c r="V45" s="4"/>
      <c r="W45" s="4"/>
      <c r="X45" s="4"/>
      <c r="Y45" s="5">
        <f>2146.14</f>
        <v>2146.14</v>
      </c>
      <c r="Z45" s="5">
        <f>3357.94</f>
        <v>3357.94</v>
      </c>
      <c r="AA45" s="4"/>
      <c r="AB45" s="4"/>
      <c r="AC45" s="5">
        <f>79.15</f>
        <v>79.150000000000006</v>
      </c>
      <c r="AD45" s="4"/>
      <c r="AE45" s="4"/>
      <c r="AF45" s="4"/>
      <c r="AG45" s="5">
        <f t="shared" si="6"/>
        <v>25766.039999999997</v>
      </c>
    </row>
    <row r="46" spans="1:33" x14ac:dyDescent="0.25">
      <c r="A46" s="3" t="s">
        <v>72</v>
      </c>
      <c r="B46" s="4"/>
      <c r="C46" s="4"/>
      <c r="D46" s="4"/>
      <c r="E46" s="5">
        <f>229.32</f>
        <v>229.32</v>
      </c>
      <c r="F46" s="4"/>
      <c r="G46" s="4"/>
      <c r="H46" s="5">
        <f>5.52</f>
        <v>5.52</v>
      </c>
      <c r="I46" s="5">
        <f>50.48</f>
        <v>50.48</v>
      </c>
      <c r="J46" s="4"/>
      <c r="K46" s="5">
        <f>59.92</f>
        <v>59.92</v>
      </c>
      <c r="L46" s="4"/>
      <c r="M46" s="4"/>
      <c r="N46" s="5">
        <f>1.52</f>
        <v>1.52</v>
      </c>
      <c r="O46" s="5">
        <f>-0.28</f>
        <v>-0.28000000000000003</v>
      </c>
      <c r="P46" s="4"/>
      <c r="Q46" s="4"/>
      <c r="R46" s="4"/>
      <c r="S46" s="5">
        <f>39.68</f>
        <v>39.68</v>
      </c>
      <c r="T46" s="4"/>
      <c r="U46" s="5">
        <f>112</f>
        <v>112</v>
      </c>
      <c r="V46" s="4"/>
      <c r="W46" s="5">
        <f>157.68</f>
        <v>157.68</v>
      </c>
      <c r="X46" s="5">
        <f>233.04</f>
        <v>233.04</v>
      </c>
      <c r="Y46" s="5">
        <f>87.44</f>
        <v>87.44</v>
      </c>
      <c r="Z46" s="5">
        <f>143.28</f>
        <v>143.28</v>
      </c>
      <c r="AA46" s="5">
        <f>8</f>
        <v>8</v>
      </c>
      <c r="AB46" s="5">
        <f>0</f>
        <v>0</v>
      </c>
      <c r="AC46" s="5">
        <f>6.4</f>
        <v>6.4</v>
      </c>
      <c r="AD46" s="4"/>
      <c r="AE46" s="5">
        <f>29.76</f>
        <v>29.76</v>
      </c>
      <c r="AF46" s="4"/>
      <c r="AG46" s="5">
        <f t="shared" si="6"/>
        <v>1163.76</v>
      </c>
    </row>
    <row r="47" spans="1:33" x14ac:dyDescent="0.25">
      <c r="A47" s="3" t="s">
        <v>73</v>
      </c>
      <c r="B47" s="6">
        <f t="shared" ref="B47:AF47" si="8">((((((((((B36)+(B37))+(B38))+(B39))+(B40))+(B41))+(B42))+(B43))+(B44))+(B45))+(B46)</f>
        <v>63448.67</v>
      </c>
      <c r="C47" s="6">
        <f t="shared" si="8"/>
        <v>0</v>
      </c>
      <c r="D47" s="6">
        <f t="shared" si="8"/>
        <v>0</v>
      </c>
      <c r="E47" s="6">
        <f t="shared" si="8"/>
        <v>64302.859999999993</v>
      </c>
      <c r="F47" s="6">
        <f t="shared" si="8"/>
        <v>2030.8700000000001</v>
      </c>
      <c r="G47" s="6">
        <f t="shared" si="8"/>
        <v>64738.11</v>
      </c>
      <c r="H47" s="6">
        <f t="shared" si="8"/>
        <v>1768.7199999999998</v>
      </c>
      <c r="I47" s="6">
        <f t="shared" si="8"/>
        <v>17399.5</v>
      </c>
      <c r="J47" s="6">
        <f t="shared" si="8"/>
        <v>0</v>
      </c>
      <c r="K47" s="6">
        <f t="shared" si="8"/>
        <v>7951.74</v>
      </c>
      <c r="L47" s="6">
        <f t="shared" si="8"/>
        <v>3601.51</v>
      </c>
      <c r="M47" s="6">
        <f t="shared" si="8"/>
        <v>14404.1</v>
      </c>
      <c r="N47" s="6">
        <f t="shared" si="8"/>
        <v>425.84</v>
      </c>
      <c r="O47" s="6">
        <f t="shared" si="8"/>
        <v>-315.01</v>
      </c>
      <c r="P47" s="6">
        <f t="shared" si="8"/>
        <v>1960.91</v>
      </c>
      <c r="Q47" s="6">
        <f t="shared" si="8"/>
        <v>31279.11</v>
      </c>
      <c r="R47" s="6">
        <f t="shared" si="8"/>
        <v>2434.4899999999998</v>
      </c>
      <c r="S47" s="6">
        <f t="shared" si="8"/>
        <v>26974.48</v>
      </c>
      <c r="T47" s="6">
        <f t="shared" si="8"/>
        <v>99811.470000000016</v>
      </c>
      <c r="U47" s="6">
        <f t="shared" si="8"/>
        <v>22451.090000000004</v>
      </c>
      <c r="V47" s="6">
        <f t="shared" si="8"/>
        <v>12216.310000000001</v>
      </c>
      <c r="W47" s="6">
        <f t="shared" si="8"/>
        <v>41717.89</v>
      </c>
      <c r="X47" s="6">
        <f t="shared" si="8"/>
        <v>59961.23</v>
      </c>
      <c r="Y47" s="6">
        <f t="shared" si="8"/>
        <v>26518.819999999996</v>
      </c>
      <c r="Z47" s="6">
        <f t="shared" si="8"/>
        <v>45524.6</v>
      </c>
      <c r="AA47" s="6">
        <f t="shared" si="8"/>
        <v>1386.38</v>
      </c>
      <c r="AB47" s="6">
        <f t="shared" si="8"/>
        <v>235.49</v>
      </c>
      <c r="AC47" s="6">
        <f t="shared" si="8"/>
        <v>554.04</v>
      </c>
      <c r="AD47" s="6">
        <f t="shared" si="8"/>
        <v>0</v>
      </c>
      <c r="AE47" s="6">
        <f t="shared" si="8"/>
        <v>7978.5300000000007</v>
      </c>
      <c r="AF47" s="6">
        <f t="shared" si="8"/>
        <v>0</v>
      </c>
      <c r="AG47" s="6">
        <f t="shared" si="6"/>
        <v>620761.75</v>
      </c>
    </row>
    <row r="48" spans="1:33" x14ac:dyDescent="0.25">
      <c r="A48" s="3" t="s">
        <v>74</v>
      </c>
      <c r="B48" s="4"/>
      <c r="C48" s="4"/>
      <c r="D48" s="4"/>
      <c r="E48" s="4"/>
      <c r="F48" s="4"/>
      <c r="G48" s="4"/>
      <c r="H48" s="4"/>
      <c r="I48" s="4"/>
      <c r="J48" s="4"/>
      <c r="K48" s="4"/>
      <c r="L48" s="4"/>
      <c r="M48" s="4"/>
      <c r="N48" s="4"/>
      <c r="O48" s="4"/>
      <c r="P48" s="4"/>
      <c r="Q48" s="4"/>
      <c r="R48" s="4"/>
      <c r="S48" s="4"/>
      <c r="T48" s="4"/>
      <c r="U48" s="4"/>
      <c r="V48" s="4"/>
      <c r="W48" s="4"/>
      <c r="X48" s="4"/>
      <c r="Y48" s="4"/>
      <c r="Z48" s="4"/>
      <c r="AA48" s="4"/>
      <c r="AB48" s="4"/>
      <c r="AC48" s="4"/>
      <c r="AD48" s="4"/>
      <c r="AE48" s="4"/>
      <c r="AF48" s="4"/>
      <c r="AG48" s="5">
        <f t="shared" si="6"/>
        <v>0</v>
      </c>
    </row>
    <row r="49" spans="1:33" x14ac:dyDescent="0.25">
      <c r="A49" s="3" t="s">
        <v>75</v>
      </c>
      <c r="B49" s="5">
        <f>14490.8</f>
        <v>14490.8</v>
      </c>
      <c r="C49" s="4"/>
      <c r="D49" s="4"/>
      <c r="E49" s="5">
        <f>10</f>
        <v>10</v>
      </c>
      <c r="F49" s="4"/>
      <c r="G49" s="5">
        <f>2765</f>
        <v>2765</v>
      </c>
      <c r="H49" s="4"/>
      <c r="I49" s="5">
        <f>51.25</f>
        <v>51.25</v>
      </c>
      <c r="J49" s="5">
        <f>50000</f>
        <v>50000</v>
      </c>
      <c r="K49" s="4"/>
      <c r="L49" s="5">
        <f>153.7</f>
        <v>153.69999999999999</v>
      </c>
      <c r="M49" s="4"/>
      <c r="N49" s="5">
        <f>600</f>
        <v>600</v>
      </c>
      <c r="O49" s="5">
        <f>58330</f>
        <v>58330</v>
      </c>
      <c r="P49" s="5">
        <f>61.25</f>
        <v>61.25</v>
      </c>
      <c r="Q49" s="5">
        <f>61.25</f>
        <v>61.25</v>
      </c>
      <c r="R49" s="5">
        <f>575</f>
        <v>575</v>
      </c>
      <c r="S49" s="5">
        <f>61.25</f>
        <v>61.25</v>
      </c>
      <c r="T49" s="5">
        <f>286.25</f>
        <v>286.25</v>
      </c>
      <c r="U49" s="4"/>
      <c r="V49" s="4"/>
      <c r="W49" s="5">
        <f>8670.9</f>
        <v>8670.9</v>
      </c>
      <c r="X49" s="5">
        <f>6775.53</f>
        <v>6775.53</v>
      </c>
      <c r="Y49" s="5">
        <f>61.25</f>
        <v>61.25</v>
      </c>
      <c r="Z49" s="5">
        <f>122.5</f>
        <v>122.5</v>
      </c>
      <c r="AA49" s="4"/>
      <c r="AB49" s="4"/>
      <c r="AC49" s="4"/>
      <c r="AD49" s="4"/>
      <c r="AE49" s="4"/>
      <c r="AF49" s="4"/>
      <c r="AG49" s="5">
        <f t="shared" si="6"/>
        <v>143075.93</v>
      </c>
    </row>
    <row r="50" spans="1:33" x14ac:dyDescent="0.25">
      <c r="A50" s="3" t="s">
        <v>76</v>
      </c>
      <c r="B50" s="5">
        <f>17600</f>
        <v>17600</v>
      </c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  <c r="AD50" s="4"/>
      <c r="AE50" s="4"/>
      <c r="AF50" s="5">
        <f>0</f>
        <v>0</v>
      </c>
      <c r="AG50" s="5">
        <f t="shared" si="6"/>
        <v>17600</v>
      </c>
    </row>
    <row r="51" spans="1:33" x14ac:dyDescent="0.25">
      <c r="A51" s="3" t="s">
        <v>77</v>
      </c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  <c r="O51" s="4"/>
      <c r="P51" s="4"/>
      <c r="Q51" s="4"/>
      <c r="R51" s="4"/>
      <c r="S51" s="4"/>
      <c r="T51" s="4"/>
      <c r="U51" s="4"/>
      <c r="V51" s="4"/>
      <c r="W51" s="4"/>
      <c r="X51" s="5">
        <f>798.42</f>
        <v>798.42</v>
      </c>
      <c r="Y51" s="4"/>
      <c r="Z51" s="4"/>
      <c r="AA51" s="4"/>
      <c r="AB51" s="4"/>
      <c r="AC51" s="4"/>
      <c r="AD51" s="4"/>
      <c r="AE51" s="4"/>
      <c r="AF51" s="4"/>
      <c r="AG51" s="5">
        <f t="shared" si="6"/>
        <v>798.42</v>
      </c>
    </row>
    <row r="52" spans="1:33" x14ac:dyDescent="0.25">
      <c r="A52" s="3" t="s">
        <v>78</v>
      </c>
      <c r="B52" s="5">
        <f>5120.39</f>
        <v>5120.3900000000003</v>
      </c>
      <c r="C52" s="4"/>
      <c r="D52" s="4"/>
      <c r="E52" s="4"/>
      <c r="F52" s="4"/>
      <c r="G52" s="5">
        <f>3902.19</f>
        <v>3902.19</v>
      </c>
      <c r="H52" s="4"/>
      <c r="I52" s="4"/>
      <c r="J52" s="4"/>
      <c r="K52" s="4"/>
      <c r="L52" s="4"/>
      <c r="M52" s="4"/>
      <c r="N52" s="4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  <c r="AD52" s="4"/>
      <c r="AE52" s="4"/>
      <c r="AF52" s="4"/>
      <c r="AG52" s="5">
        <f t="shared" si="6"/>
        <v>9022.58</v>
      </c>
    </row>
    <row r="53" spans="1:33" x14ac:dyDescent="0.25">
      <c r="A53" s="3" t="s">
        <v>79</v>
      </c>
      <c r="B53" s="5">
        <f>3913.86</f>
        <v>3913.86</v>
      </c>
      <c r="C53" s="4"/>
      <c r="D53" s="4"/>
      <c r="E53" s="5">
        <f>849.24</f>
        <v>849.24</v>
      </c>
      <c r="F53" s="4"/>
      <c r="G53" s="5">
        <f>7784.7</f>
        <v>7784.7</v>
      </c>
      <c r="H53" s="4"/>
      <c r="I53" s="5">
        <f>141.54</f>
        <v>141.54</v>
      </c>
      <c r="J53" s="4"/>
      <c r="K53" s="5">
        <f>141.54</f>
        <v>141.54</v>
      </c>
      <c r="L53" s="5">
        <f>283.08</f>
        <v>283.08</v>
      </c>
      <c r="M53" s="4"/>
      <c r="N53" s="4"/>
      <c r="O53" s="4"/>
      <c r="P53" s="5">
        <f>141.54</f>
        <v>141.54</v>
      </c>
      <c r="Q53" s="4"/>
      <c r="R53" s="4"/>
      <c r="S53" s="5">
        <f>620.88</f>
        <v>620.88</v>
      </c>
      <c r="T53" s="4"/>
      <c r="U53" s="4"/>
      <c r="V53" s="4"/>
      <c r="W53" s="5">
        <f>727.92</f>
        <v>727.92</v>
      </c>
      <c r="X53" s="5">
        <f>545.94</f>
        <v>545.94000000000005</v>
      </c>
      <c r="Y53" s="5">
        <f>283.08</f>
        <v>283.08</v>
      </c>
      <c r="Z53" s="5">
        <f>424.62</f>
        <v>424.62</v>
      </c>
      <c r="AA53" s="4"/>
      <c r="AB53" s="4"/>
      <c r="AC53" s="4"/>
      <c r="AD53" s="4"/>
      <c r="AE53" s="5">
        <f>60.66</f>
        <v>60.66</v>
      </c>
      <c r="AF53" s="4"/>
      <c r="AG53" s="5">
        <f t="shared" si="6"/>
        <v>15918.600000000002</v>
      </c>
    </row>
    <row r="54" spans="1:33" x14ac:dyDescent="0.25">
      <c r="A54" s="3" t="s">
        <v>80</v>
      </c>
      <c r="B54" s="6">
        <f t="shared" ref="B54:AF54" si="9">(((((B48)+(B49))+(B50))+(B51))+(B52))+(B53)</f>
        <v>41125.050000000003</v>
      </c>
      <c r="C54" s="6">
        <f t="shared" si="9"/>
        <v>0</v>
      </c>
      <c r="D54" s="6">
        <f t="shared" si="9"/>
        <v>0</v>
      </c>
      <c r="E54" s="6">
        <f t="shared" si="9"/>
        <v>859.24</v>
      </c>
      <c r="F54" s="6">
        <f t="shared" si="9"/>
        <v>0</v>
      </c>
      <c r="G54" s="6">
        <f t="shared" si="9"/>
        <v>14451.89</v>
      </c>
      <c r="H54" s="6">
        <f t="shared" si="9"/>
        <v>0</v>
      </c>
      <c r="I54" s="6">
        <f t="shared" si="9"/>
        <v>192.79</v>
      </c>
      <c r="J54" s="6">
        <f t="shared" si="9"/>
        <v>50000</v>
      </c>
      <c r="K54" s="6">
        <f t="shared" si="9"/>
        <v>141.54</v>
      </c>
      <c r="L54" s="6">
        <f t="shared" si="9"/>
        <v>436.78</v>
      </c>
      <c r="M54" s="6">
        <f t="shared" si="9"/>
        <v>0</v>
      </c>
      <c r="N54" s="6">
        <f t="shared" si="9"/>
        <v>600</v>
      </c>
      <c r="O54" s="6">
        <f t="shared" si="9"/>
        <v>58330</v>
      </c>
      <c r="P54" s="6">
        <f t="shared" si="9"/>
        <v>202.79</v>
      </c>
      <c r="Q54" s="6">
        <f t="shared" si="9"/>
        <v>61.25</v>
      </c>
      <c r="R54" s="6">
        <f t="shared" si="9"/>
        <v>575</v>
      </c>
      <c r="S54" s="6">
        <f t="shared" si="9"/>
        <v>682.13</v>
      </c>
      <c r="T54" s="6">
        <f t="shared" si="9"/>
        <v>286.25</v>
      </c>
      <c r="U54" s="6">
        <f t="shared" si="9"/>
        <v>0</v>
      </c>
      <c r="V54" s="6">
        <f t="shared" si="9"/>
        <v>0</v>
      </c>
      <c r="W54" s="6">
        <f t="shared" si="9"/>
        <v>9398.82</v>
      </c>
      <c r="X54" s="6">
        <f t="shared" si="9"/>
        <v>8119.8899999999994</v>
      </c>
      <c r="Y54" s="6">
        <f t="shared" si="9"/>
        <v>344.33</v>
      </c>
      <c r="Z54" s="6">
        <f t="shared" si="9"/>
        <v>547.12</v>
      </c>
      <c r="AA54" s="6">
        <f t="shared" si="9"/>
        <v>0</v>
      </c>
      <c r="AB54" s="6">
        <f t="shared" si="9"/>
        <v>0</v>
      </c>
      <c r="AC54" s="6">
        <f t="shared" si="9"/>
        <v>0</v>
      </c>
      <c r="AD54" s="6">
        <f t="shared" si="9"/>
        <v>0</v>
      </c>
      <c r="AE54" s="6">
        <f t="shared" si="9"/>
        <v>60.66</v>
      </c>
      <c r="AF54" s="6">
        <f t="shared" si="9"/>
        <v>0</v>
      </c>
      <c r="AG54" s="6">
        <f t="shared" si="6"/>
        <v>186415.52999999997</v>
      </c>
    </row>
    <row r="55" spans="1:33" x14ac:dyDescent="0.25">
      <c r="A55" s="3" t="s">
        <v>81</v>
      </c>
      <c r="B55" s="5">
        <f>28373.32</f>
        <v>28373.32</v>
      </c>
      <c r="C55" s="4"/>
      <c r="D55" s="4"/>
      <c r="E55" s="5">
        <f>500</f>
        <v>500</v>
      </c>
      <c r="F55" s="4"/>
      <c r="G55" s="5">
        <f>3777.94</f>
        <v>3777.94</v>
      </c>
      <c r="H55" s="4"/>
      <c r="I55" s="5">
        <f>80</f>
        <v>80</v>
      </c>
      <c r="J55" s="4"/>
      <c r="K55" s="5">
        <f>26137.76</f>
        <v>26137.759999999998</v>
      </c>
      <c r="L55" s="5">
        <f>80</f>
        <v>80</v>
      </c>
      <c r="M55" s="4"/>
      <c r="N55" s="4"/>
      <c r="O55" s="4"/>
      <c r="P55" s="4"/>
      <c r="Q55" s="4"/>
      <c r="R55" s="4"/>
      <c r="S55" s="5">
        <f>52851</f>
        <v>52851</v>
      </c>
      <c r="T55" s="4"/>
      <c r="U55" s="4"/>
      <c r="V55" s="4"/>
      <c r="W55" s="4"/>
      <c r="X55" s="4"/>
      <c r="Y55" s="5">
        <f>80</f>
        <v>80</v>
      </c>
      <c r="Z55" s="5">
        <f>10414.63</f>
        <v>10414.629999999999</v>
      </c>
      <c r="AA55" s="4"/>
      <c r="AB55" s="4"/>
      <c r="AC55" s="4"/>
      <c r="AD55" s="4"/>
      <c r="AE55" s="5">
        <f>7583</f>
        <v>7583</v>
      </c>
      <c r="AF55" s="5">
        <f>0</f>
        <v>0</v>
      </c>
      <c r="AG55" s="5">
        <f t="shared" si="6"/>
        <v>129877.65</v>
      </c>
    </row>
    <row r="56" spans="1:33" x14ac:dyDescent="0.25">
      <c r="A56" s="3" t="s">
        <v>82</v>
      </c>
      <c r="B56" s="4"/>
      <c r="C56" s="4"/>
      <c r="D56" s="4"/>
      <c r="E56" s="4"/>
      <c r="F56" s="4"/>
      <c r="G56" s="4"/>
      <c r="H56" s="4"/>
      <c r="I56" s="4"/>
      <c r="J56" s="4"/>
      <c r="K56" s="4"/>
      <c r="L56" s="4"/>
      <c r="M56" s="4"/>
      <c r="N56" s="4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  <c r="AD56" s="4"/>
      <c r="AE56" s="4"/>
      <c r="AF56" s="4"/>
      <c r="AG56" s="5">
        <f t="shared" si="6"/>
        <v>0</v>
      </c>
    </row>
    <row r="57" spans="1:33" x14ac:dyDescent="0.25">
      <c r="A57" s="3" t="s">
        <v>83</v>
      </c>
      <c r="B57" s="5">
        <f>663.56</f>
        <v>663.56</v>
      </c>
      <c r="C57" s="4"/>
      <c r="D57" s="4"/>
      <c r="E57" s="4"/>
      <c r="F57" s="4"/>
      <c r="G57" s="5">
        <f>1347.25</f>
        <v>1347.25</v>
      </c>
      <c r="H57" s="4"/>
      <c r="I57" s="4"/>
      <c r="J57" s="4"/>
      <c r="K57" s="4"/>
      <c r="L57" s="4"/>
      <c r="M57" s="4"/>
      <c r="N57" s="4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  <c r="AD57" s="4"/>
      <c r="AE57" s="4"/>
      <c r="AF57" s="4"/>
      <c r="AG57" s="5">
        <f t="shared" si="6"/>
        <v>2010.81</v>
      </c>
    </row>
    <row r="58" spans="1:33" x14ac:dyDescent="0.25">
      <c r="A58" s="3" t="s">
        <v>84</v>
      </c>
      <c r="B58" s="5">
        <f>1808.4</f>
        <v>1808.4</v>
      </c>
      <c r="C58" s="4"/>
      <c r="D58" s="4"/>
      <c r="E58" s="4"/>
      <c r="F58" s="4"/>
      <c r="G58" s="5">
        <f>3671.6</f>
        <v>3671.6</v>
      </c>
      <c r="H58" s="4"/>
      <c r="I58" s="4"/>
      <c r="J58" s="4"/>
      <c r="K58" s="4"/>
      <c r="L58" s="4"/>
      <c r="M58" s="4"/>
      <c r="N58" s="4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  <c r="AD58" s="4"/>
      <c r="AE58" s="4"/>
      <c r="AF58" s="4"/>
      <c r="AG58" s="5">
        <f t="shared" si="6"/>
        <v>5480</v>
      </c>
    </row>
    <row r="59" spans="1:33" x14ac:dyDescent="0.25">
      <c r="A59" s="3" t="s">
        <v>85</v>
      </c>
      <c r="B59" s="5">
        <f>2035.78</f>
        <v>2035.78</v>
      </c>
      <c r="C59" s="4"/>
      <c r="D59" s="4"/>
      <c r="E59" s="4"/>
      <c r="F59" s="4"/>
      <c r="G59" s="5">
        <f>3960.67</f>
        <v>3960.67</v>
      </c>
      <c r="H59" s="4"/>
      <c r="I59" s="4"/>
      <c r="J59" s="4"/>
      <c r="K59" s="4"/>
      <c r="L59" s="4"/>
      <c r="M59" s="4"/>
      <c r="N59" s="4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  <c r="AD59" s="4"/>
      <c r="AE59" s="4"/>
      <c r="AF59" s="4"/>
      <c r="AG59" s="5">
        <f t="shared" si="6"/>
        <v>5996.45</v>
      </c>
    </row>
    <row r="60" spans="1:33" x14ac:dyDescent="0.25">
      <c r="A60" s="3" t="s">
        <v>86</v>
      </c>
      <c r="B60" s="5">
        <f>182995.21</f>
        <v>182995.21</v>
      </c>
      <c r="C60" s="4"/>
      <c r="D60" s="4"/>
      <c r="E60" s="4"/>
      <c r="F60" s="4"/>
      <c r="G60" s="5">
        <f>92142.95</f>
        <v>92142.95</v>
      </c>
      <c r="H60" s="4"/>
      <c r="I60" s="4"/>
      <c r="J60" s="4"/>
      <c r="K60" s="4"/>
      <c r="L60" s="4"/>
      <c r="M60" s="4"/>
      <c r="N60" s="4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  <c r="AD60" s="4"/>
      <c r="AE60" s="4"/>
      <c r="AF60" s="4"/>
      <c r="AG60" s="5">
        <f t="shared" si="6"/>
        <v>275138.15999999997</v>
      </c>
    </row>
    <row r="61" spans="1:33" x14ac:dyDescent="0.25">
      <c r="A61" s="3" t="s">
        <v>87</v>
      </c>
      <c r="B61" s="4"/>
      <c r="C61" s="4"/>
      <c r="D61" s="4"/>
      <c r="E61" s="5">
        <f>14000</f>
        <v>14000</v>
      </c>
      <c r="F61" s="4"/>
      <c r="G61" s="4"/>
      <c r="H61" s="4"/>
      <c r="I61" s="4"/>
      <c r="J61" s="4"/>
      <c r="K61" s="4"/>
      <c r="L61" s="4"/>
      <c r="M61" s="4"/>
      <c r="N61" s="4"/>
      <c r="O61" s="4"/>
      <c r="P61" s="4"/>
      <c r="Q61" s="4"/>
      <c r="R61" s="5">
        <f>700</f>
        <v>700</v>
      </c>
      <c r="S61" s="4"/>
      <c r="T61" s="4"/>
      <c r="U61" s="4"/>
      <c r="V61" s="4"/>
      <c r="W61" s="5">
        <f>40000</f>
        <v>40000</v>
      </c>
      <c r="X61" s="4"/>
      <c r="Y61" s="4"/>
      <c r="Z61" s="4"/>
      <c r="AA61" s="4"/>
      <c r="AB61" s="4"/>
      <c r="AC61" s="4"/>
      <c r="AD61" s="4"/>
      <c r="AE61" s="4"/>
      <c r="AF61" s="4"/>
      <c r="AG61" s="5">
        <f t="shared" si="6"/>
        <v>54700</v>
      </c>
    </row>
    <row r="62" spans="1:33" x14ac:dyDescent="0.25">
      <c r="A62" s="3" t="s">
        <v>88</v>
      </c>
      <c r="B62" s="5">
        <f>8300.78</f>
        <v>8300.7800000000007</v>
      </c>
      <c r="C62" s="4"/>
      <c r="D62" s="4"/>
      <c r="E62" s="4"/>
      <c r="F62" s="4"/>
      <c r="G62" s="5">
        <f>16853.1</f>
        <v>16853.099999999999</v>
      </c>
      <c r="H62" s="4"/>
      <c r="I62" s="4"/>
      <c r="J62" s="4"/>
      <c r="K62" s="4"/>
      <c r="L62" s="4"/>
      <c r="M62" s="4"/>
      <c r="N62" s="4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  <c r="AD62" s="4"/>
      <c r="AE62" s="4"/>
      <c r="AF62" s="4"/>
      <c r="AG62" s="5">
        <f t="shared" si="6"/>
        <v>25153.879999999997</v>
      </c>
    </row>
    <row r="63" spans="1:33" x14ac:dyDescent="0.25">
      <c r="A63" s="3" t="s">
        <v>89</v>
      </c>
      <c r="B63" s="5">
        <f>3748.15</f>
        <v>3748.15</v>
      </c>
      <c r="C63" s="4"/>
      <c r="D63" s="4"/>
      <c r="E63" s="5">
        <f>20.52</f>
        <v>20.52</v>
      </c>
      <c r="F63" s="4"/>
      <c r="G63" s="5">
        <f>5037.43</f>
        <v>5037.43</v>
      </c>
      <c r="H63" s="4"/>
      <c r="I63" s="4"/>
      <c r="J63" s="4"/>
      <c r="K63" s="4"/>
      <c r="L63" s="4"/>
      <c r="M63" s="4"/>
      <c r="N63" s="4"/>
      <c r="O63" s="5">
        <f>84</f>
        <v>84</v>
      </c>
      <c r="P63" s="4"/>
      <c r="Q63" s="4"/>
      <c r="R63" s="4"/>
      <c r="S63" s="4"/>
      <c r="T63" s="4"/>
      <c r="U63" s="4"/>
      <c r="V63" s="4"/>
      <c r="W63" s="5">
        <f>222.45</f>
        <v>222.45</v>
      </c>
      <c r="X63" s="5">
        <f>165</f>
        <v>165</v>
      </c>
      <c r="Y63" s="4"/>
      <c r="Z63" s="5">
        <f>149.9</f>
        <v>149.9</v>
      </c>
      <c r="AA63" s="5">
        <f>1999.96</f>
        <v>1999.96</v>
      </c>
      <c r="AB63" s="5">
        <f>1882.27</f>
        <v>1882.27</v>
      </c>
      <c r="AC63" s="4"/>
      <c r="AD63" s="4"/>
      <c r="AE63" s="4"/>
      <c r="AF63" s="4"/>
      <c r="AG63" s="5">
        <f t="shared" si="6"/>
        <v>13309.68</v>
      </c>
    </row>
    <row r="64" spans="1:33" x14ac:dyDescent="0.25">
      <c r="A64" s="3" t="s">
        <v>90</v>
      </c>
      <c r="B64" s="5">
        <f>3701.52</f>
        <v>3701.52</v>
      </c>
      <c r="C64" s="4"/>
      <c r="D64" s="4"/>
      <c r="E64" s="5">
        <f>219.99</f>
        <v>219.99</v>
      </c>
      <c r="F64" s="4"/>
      <c r="G64" s="4"/>
      <c r="H64" s="4"/>
      <c r="I64" s="4"/>
      <c r="J64" s="4"/>
      <c r="K64" s="4"/>
      <c r="L64" s="4"/>
      <c r="M64" s="4"/>
      <c r="N64" s="4"/>
      <c r="O64" s="4"/>
      <c r="P64" s="4"/>
      <c r="Q64" s="4"/>
      <c r="R64" s="5">
        <f>979.98</f>
        <v>979.98</v>
      </c>
      <c r="S64" s="4"/>
      <c r="T64" s="4"/>
      <c r="U64" s="4"/>
      <c r="V64" s="4"/>
      <c r="W64" s="4"/>
      <c r="X64" s="4"/>
      <c r="Y64" s="4"/>
      <c r="Z64" s="5">
        <f>4381.14</f>
        <v>4381.1400000000003</v>
      </c>
      <c r="AA64" s="4"/>
      <c r="AB64" s="4"/>
      <c r="AC64" s="4"/>
      <c r="AD64" s="4"/>
      <c r="AE64" s="4"/>
      <c r="AF64" s="4"/>
      <c r="AG64" s="5">
        <f t="shared" ref="AG64:AG95" si="10">((((((((((((((((((((((((((((((B64)+(C64))+(D64))+(E64))+(F64))+(G64))+(H64))+(I64))+(J64))+(K64))+(L64))+(M64))+(N64))+(O64))+(P64))+(Q64))+(R64))+(S64))+(T64))+(U64))+(V64))+(W64))+(X64))+(Y64))+(Z64))+(AA64))+(AB64))+(AC64))+(AD64))+(AE64))+(AF64)</f>
        <v>9282.630000000001</v>
      </c>
    </row>
    <row r="65" spans="1:33" x14ac:dyDescent="0.25">
      <c r="A65" s="3" t="s">
        <v>91</v>
      </c>
      <c r="B65" s="5">
        <f>1968.01</f>
        <v>1968.01</v>
      </c>
      <c r="C65" s="4"/>
      <c r="D65" s="4"/>
      <c r="E65" s="4"/>
      <c r="F65" s="4"/>
      <c r="G65" s="5">
        <f>12014</f>
        <v>12014</v>
      </c>
      <c r="H65" s="4"/>
      <c r="I65" s="4"/>
      <c r="J65" s="4"/>
      <c r="K65" s="4"/>
      <c r="L65" s="4"/>
      <c r="M65" s="4"/>
      <c r="N65" s="4"/>
      <c r="O65" s="4"/>
      <c r="P65" s="4"/>
      <c r="Q65" s="4"/>
      <c r="R65" s="5">
        <f>938.6</f>
        <v>938.6</v>
      </c>
      <c r="S65" s="4"/>
      <c r="T65" s="4"/>
      <c r="U65" s="4"/>
      <c r="V65" s="4"/>
      <c r="W65" s="4"/>
      <c r="X65" s="5">
        <f>95.21</f>
        <v>95.21</v>
      </c>
      <c r="Y65" s="4"/>
      <c r="Z65" s="5">
        <f>1077.27</f>
        <v>1077.27</v>
      </c>
      <c r="AA65" s="4"/>
      <c r="AB65" s="4"/>
      <c r="AC65" s="4"/>
      <c r="AD65" s="4"/>
      <c r="AE65" s="4"/>
      <c r="AF65" s="4"/>
      <c r="AG65" s="5">
        <f t="shared" si="10"/>
        <v>16093.09</v>
      </c>
    </row>
    <row r="66" spans="1:33" x14ac:dyDescent="0.25">
      <c r="A66" s="3" t="s">
        <v>92</v>
      </c>
      <c r="B66" s="4"/>
      <c r="C66" s="4"/>
      <c r="D66" s="4"/>
      <c r="E66" s="4"/>
      <c r="F66" s="4"/>
      <c r="G66" s="5">
        <f>15676.4</f>
        <v>15676.4</v>
      </c>
      <c r="H66" s="4"/>
      <c r="I66" s="4"/>
      <c r="J66" s="4"/>
      <c r="K66" s="4"/>
      <c r="L66" s="4"/>
      <c r="M66" s="4"/>
      <c r="N66" s="4"/>
      <c r="O66" s="4"/>
      <c r="P66" s="4"/>
      <c r="Q66" s="4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  <c r="AD66" s="4"/>
      <c r="AE66" s="4"/>
      <c r="AF66" s="4"/>
      <c r="AG66" s="5">
        <f t="shared" si="10"/>
        <v>15676.4</v>
      </c>
    </row>
    <row r="67" spans="1:33" x14ac:dyDescent="0.25">
      <c r="A67" s="3" t="s">
        <v>93</v>
      </c>
      <c r="B67" s="6">
        <f t="shared" ref="B67:AF67" si="11">((((((((((B56)+(B57))+(B58))+(B59))+(B60))+(B61))+(B62))+(B63))+(B64))+(B65))+(B66)</f>
        <v>205221.40999999997</v>
      </c>
      <c r="C67" s="6">
        <f t="shared" si="11"/>
        <v>0</v>
      </c>
      <c r="D67" s="6">
        <f t="shared" si="11"/>
        <v>0</v>
      </c>
      <c r="E67" s="6">
        <f t="shared" si="11"/>
        <v>14240.51</v>
      </c>
      <c r="F67" s="6">
        <f t="shared" si="11"/>
        <v>0</v>
      </c>
      <c r="G67" s="6">
        <f t="shared" si="11"/>
        <v>150703.4</v>
      </c>
      <c r="H67" s="6">
        <f t="shared" si="11"/>
        <v>0</v>
      </c>
      <c r="I67" s="6">
        <f t="shared" si="11"/>
        <v>0</v>
      </c>
      <c r="J67" s="6">
        <f t="shared" si="11"/>
        <v>0</v>
      </c>
      <c r="K67" s="6">
        <f t="shared" si="11"/>
        <v>0</v>
      </c>
      <c r="L67" s="6">
        <f t="shared" si="11"/>
        <v>0</v>
      </c>
      <c r="M67" s="6">
        <f t="shared" si="11"/>
        <v>0</v>
      </c>
      <c r="N67" s="6">
        <f t="shared" si="11"/>
        <v>0</v>
      </c>
      <c r="O67" s="6">
        <f t="shared" si="11"/>
        <v>84</v>
      </c>
      <c r="P67" s="6">
        <f t="shared" si="11"/>
        <v>0</v>
      </c>
      <c r="Q67" s="6">
        <f t="shared" si="11"/>
        <v>0</v>
      </c>
      <c r="R67" s="6">
        <f t="shared" si="11"/>
        <v>2618.58</v>
      </c>
      <c r="S67" s="6">
        <f t="shared" si="11"/>
        <v>0</v>
      </c>
      <c r="T67" s="6">
        <f t="shared" si="11"/>
        <v>0</v>
      </c>
      <c r="U67" s="6">
        <f t="shared" si="11"/>
        <v>0</v>
      </c>
      <c r="V67" s="6">
        <f t="shared" si="11"/>
        <v>0</v>
      </c>
      <c r="W67" s="6">
        <f t="shared" si="11"/>
        <v>40222.449999999997</v>
      </c>
      <c r="X67" s="6">
        <f t="shared" si="11"/>
        <v>260.20999999999998</v>
      </c>
      <c r="Y67" s="6">
        <f t="shared" si="11"/>
        <v>0</v>
      </c>
      <c r="Z67" s="6">
        <f t="shared" si="11"/>
        <v>5608.3099999999995</v>
      </c>
      <c r="AA67" s="6">
        <f t="shared" si="11"/>
        <v>1999.96</v>
      </c>
      <c r="AB67" s="6">
        <f t="shared" si="11"/>
        <v>1882.27</v>
      </c>
      <c r="AC67" s="6">
        <f t="shared" si="11"/>
        <v>0</v>
      </c>
      <c r="AD67" s="6">
        <f t="shared" si="11"/>
        <v>0</v>
      </c>
      <c r="AE67" s="6">
        <f t="shared" si="11"/>
        <v>0</v>
      </c>
      <c r="AF67" s="6">
        <f t="shared" si="11"/>
        <v>0</v>
      </c>
      <c r="AG67" s="6">
        <f t="shared" si="10"/>
        <v>422841.10000000003</v>
      </c>
    </row>
    <row r="68" spans="1:33" x14ac:dyDescent="0.25">
      <c r="A68" s="3" t="s">
        <v>94</v>
      </c>
      <c r="B68" s="4"/>
      <c r="C68" s="4"/>
      <c r="D68" s="4"/>
      <c r="E68" s="4"/>
      <c r="F68" s="4"/>
      <c r="G68" s="4"/>
      <c r="H68" s="4"/>
      <c r="I68" s="4"/>
      <c r="J68" s="4"/>
      <c r="K68" s="4"/>
      <c r="L68" s="4"/>
      <c r="M68" s="4"/>
      <c r="N68" s="4"/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  <c r="AD68" s="4"/>
      <c r="AE68" s="4"/>
      <c r="AF68" s="4"/>
      <c r="AG68" s="5">
        <f t="shared" si="10"/>
        <v>0</v>
      </c>
    </row>
    <row r="69" spans="1:33" x14ac:dyDescent="0.25">
      <c r="A69" s="3" t="s">
        <v>95</v>
      </c>
      <c r="B69" s="5">
        <f>12135.28</f>
        <v>12135.28</v>
      </c>
      <c r="C69" s="4"/>
      <c r="D69" s="4"/>
      <c r="E69" s="4"/>
      <c r="F69" s="4"/>
      <c r="G69" s="5">
        <f>16393.22</f>
        <v>16393.22</v>
      </c>
      <c r="H69" s="4"/>
      <c r="I69" s="4"/>
      <c r="J69" s="4"/>
      <c r="K69" s="4"/>
      <c r="L69" s="4"/>
      <c r="M69" s="4"/>
      <c r="N69" s="4"/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  <c r="AD69" s="4"/>
      <c r="AE69" s="4"/>
      <c r="AF69" s="4"/>
      <c r="AG69" s="5">
        <f t="shared" si="10"/>
        <v>28528.5</v>
      </c>
    </row>
    <row r="70" spans="1:33" x14ac:dyDescent="0.25">
      <c r="A70" s="3" t="s">
        <v>96</v>
      </c>
      <c r="B70" s="5">
        <f>9186.71</f>
        <v>9186.7099999999991</v>
      </c>
      <c r="C70" s="4"/>
      <c r="D70" s="4"/>
      <c r="E70" s="4"/>
      <c r="F70" s="4"/>
      <c r="G70" s="5">
        <f>18651.79</f>
        <v>18651.79</v>
      </c>
      <c r="H70" s="4"/>
      <c r="I70" s="4"/>
      <c r="J70" s="4"/>
      <c r="K70" s="4"/>
      <c r="L70" s="4"/>
      <c r="M70" s="4"/>
      <c r="N70" s="4"/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  <c r="AD70" s="4"/>
      <c r="AE70" s="4"/>
      <c r="AF70" s="4"/>
      <c r="AG70" s="5">
        <f t="shared" si="10"/>
        <v>27838.5</v>
      </c>
    </row>
    <row r="71" spans="1:33" x14ac:dyDescent="0.25">
      <c r="A71" s="3" t="s">
        <v>97</v>
      </c>
      <c r="B71" s="6">
        <f t="shared" ref="B71:AF71" si="12">((B68)+(B69))+(B70)</f>
        <v>21321.989999999998</v>
      </c>
      <c r="C71" s="6">
        <f t="shared" si="12"/>
        <v>0</v>
      </c>
      <c r="D71" s="6">
        <f t="shared" si="12"/>
        <v>0</v>
      </c>
      <c r="E71" s="6">
        <f t="shared" si="12"/>
        <v>0</v>
      </c>
      <c r="F71" s="6">
        <f t="shared" si="12"/>
        <v>0</v>
      </c>
      <c r="G71" s="6">
        <f t="shared" si="12"/>
        <v>35045.01</v>
      </c>
      <c r="H71" s="6">
        <f t="shared" si="12"/>
        <v>0</v>
      </c>
      <c r="I71" s="6">
        <f t="shared" si="12"/>
        <v>0</v>
      </c>
      <c r="J71" s="6">
        <f t="shared" si="12"/>
        <v>0</v>
      </c>
      <c r="K71" s="6">
        <f t="shared" si="12"/>
        <v>0</v>
      </c>
      <c r="L71" s="6">
        <f t="shared" si="12"/>
        <v>0</v>
      </c>
      <c r="M71" s="6">
        <f t="shared" si="12"/>
        <v>0</v>
      </c>
      <c r="N71" s="6">
        <f t="shared" si="12"/>
        <v>0</v>
      </c>
      <c r="O71" s="6">
        <f t="shared" si="12"/>
        <v>0</v>
      </c>
      <c r="P71" s="6">
        <f t="shared" si="12"/>
        <v>0</v>
      </c>
      <c r="Q71" s="6">
        <f t="shared" si="12"/>
        <v>0</v>
      </c>
      <c r="R71" s="6">
        <f t="shared" si="12"/>
        <v>0</v>
      </c>
      <c r="S71" s="6">
        <f t="shared" si="12"/>
        <v>0</v>
      </c>
      <c r="T71" s="6">
        <f t="shared" si="12"/>
        <v>0</v>
      </c>
      <c r="U71" s="6">
        <f t="shared" si="12"/>
        <v>0</v>
      </c>
      <c r="V71" s="6">
        <f t="shared" si="12"/>
        <v>0</v>
      </c>
      <c r="W71" s="6">
        <f t="shared" si="12"/>
        <v>0</v>
      </c>
      <c r="X71" s="6">
        <f t="shared" si="12"/>
        <v>0</v>
      </c>
      <c r="Y71" s="6">
        <f t="shared" si="12"/>
        <v>0</v>
      </c>
      <c r="Z71" s="6">
        <f t="shared" si="12"/>
        <v>0</v>
      </c>
      <c r="AA71" s="6">
        <f t="shared" si="12"/>
        <v>0</v>
      </c>
      <c r="AB71" s="6">
        <f t="shared" si="12"/>
        <v>0</v>
      </c>
      <c r="AC71" s="6">
        <f t="shared" si="12"/>
        <v>0</v>
      </c>
      <c r="AD71" s="6">
        <f t="shared" si="12"/>
        <v>0</v>
      </c>
      <c r="AE71" s="6">
        <f t="shared" si="12"/>
        <v>0</v>
      </c>
      <c r="AF71" s="6">
        <f t="shared" si="12"/>
        <v>0</v>
      </c>
      <c r="AG71" s="6">
        <f t="shared" si="10"/>
        <v>56367</v>
      </c>
    </row>
    <row r="72" spans="1:33" x14ac:dyDescent="0.25">
      <c r="A72" s="3" t="s">
        <v>98</v>
      </c>
      <c r="B72" s="4"/>
      <c r="C72" s="4"/>
      <c r="D72" s="4"/>
      <c r="E72" s="4"/>
      <c r="F72" s="4"/>
      <c r="G72" s="4"/>
      <c r="H72" s="4"/>
      <c r="I72" s="4"/>
      <c r="J72" s="4"/>
      <c r="K72" s="4"/>
      <c r="L72" s="4"/>
      <c r="M72" s="4"/>
      <c r="N72" s="4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  <c r="AD72" s="4"/>
      <c r="AE72" s="4"/>
      <c r="AF72" s="4"/>
      <c r="AG72" s="5">
        <f t="shared" si="10"/>
        <v>0</v>
      </c>
    </row>
    <row r="73" spans="1:33" x14ac:dyDescent="0.25">
      <c r="A73" s="3" t="s">
        <v>99</v>
      </c>
      <c r="B73" s="5">
        <f>361.34</f>
        <v>361.34</v>
      </c>
      <c r="C73" s="4"/>
      <c r="D73" s="4"/>
      <c r="E73" s="4"/>
      <c r="F73" s="4"/>
      <c r="G73" s="5">
        <f>216.8</f>
        <v>216.8</v>
      </c>
      <c r="H73" s="4"/>
      <c r="I73" s="4"/>
      <c r="J73" s="4"/>
      <c r="K73" s="4"/>
      <c r="L73" s="4"/>
      <c r="M73" s="4"/>
      <c r="N73" s="4"/>
      <c r="O73" s="4"/>
      <c r="P73" s="4"/>
      <c r="Q73" s="4"/>
      <c r="R73" s="4"/>
      <c r="S73" s="4"/>
      <c r="T73" s="4"/>
      <c r="U73" s="4"/>
      <c r="V73" s="4"/>
      <c r="W73" s="5">
        <f>72.27</f>
        <v>72.27</v>
      </c>
      <c r="X73" s="5">
        <f>72.27</f>
        <v>72.27</v>
      </c>
      <c r="Y73" s="4"/>
      <c r="Z73" s="4"/>
      <c r="AA73" s="4"/>
      <c r="AB73" s="4"/>
      <c r="AC73" s="4"/>
      <c r="AD73" s="4"/>
      <c r="AE73" s="4"/>
      <c r="AF73" s="4"/>
      <c r="AG73" s="5">
        <f t="shared" si="10"/>
        <v>722.68</v>
      </c>
    </row>
    <row r="74" spans="1:33" x14ac:dyDescent="0.25">
      <c r="A74" s="3" t="s">
        <v>100</v>
      </c>
      <c r="B74" s="5">
        <f>143.12</f>
        <v>143.12</v>
      </c>
      <c r="C74" s="4"/>
      <c r="D74" s="4"/>
      <c r="E74" s="4"/>
      <c r="F74" s="4"/>
      <c r="G74" s="5">
        <f>80.6</f>
        <v>80.599999999999994</v>
      </c>
      <c r="H74" s="4"/>
      <c r="I74" s="4"/>
      <c r="J74" s="4"/>
      <c r="K74" s="4"/>
      <c r="L74" s="4"/>
      <c r="M74" s="4"/>
      <c r="N74" s="4"/>
      <c r="O74" s="4"/>
      <c r="P74" s="4"/>
      <c r="Q74" s="4"/>
      <c r="R74" s="4"/>
      <c r="S74" s="4"/>
      <c r="T74" s="4"/>
      <c r="U74" s="4"/>
      <c r="V74" s="4"/>
      <c r="W74" s="5">
        <f>53.73</f>
        <v>53.73</v>
      </c>
      <c r="X74" s="4"/>
      <c r="Y74" s="4"/>
      <c r="Z74" s="4"/>
      <c r="AA74" s="4"/>
      <c r="AB74" s="4"/>
      <c r="AC74" s="4"/>
      <c r="AD74" s="4"/>
      <c r="AE74" s="4"/>
      <c r="AF74" s="4"/>
      <c r="AG74" s="5">
        <f t="shared" si="10"/>
        <v>277.45</v>
      </c>
    </row>
    <row r="75" spans="1:33" x14ac:dyDescent="0.25">
      <c r="A75" s="3" t="s">
        <v>101</v>
      </c>
      <c r="B75" s="5">
        <f>7147.73</f>
        <v>7147.73</v>
      </c>
      <c r="C75" s="4"/>
      <c r="D75" s="4"/>
      <c r="E75" s="5">
        <f>2385.93</f>
        <v>2385.9299999999998</v>
      </c>
      <c r="F75" s="4"/>
      <c r="G75" s="5">
        <f>6479.92</f>
        <v>6479.92</v>
      </c>
      <c r="H75" s="4"/>
      <c r="I75" s="5">
        <f>34.36</f>
        <v>34.36</v>
      </c>
      <c r="J75" s="4"/>
      <c r="K75" s="4"/>
      <c r="L75" s="4"/>
      <c r="M75" s="4"/>
      <c r="N75" s="4"/>
      <c r="O75" s="4"/>
      <c r="P75" s="4"/>
      <c r="Q75" s="4"/>
      <c r="R75" s="5">
        <f>34.36</f>
        <v>34.36</v>
      </c>
      <c r="S75" s="5">
        <f>330.25</f>
        <v>330.25</v>
      </c>
      <c r="T75" s="4"/>
      <c r="U75" s="4"/>
      <c r="V75" s="4"/>
      <c r="W75" s="5">
        <f>1652.55</f>
        <v>1652.55</v>
      </c>
      <c r="X75" s="5">
        <f>1607.15</f>
        <v>1607.15</v>
      </c>
      <c r="Y75" s="5">
        <f>628.22</f>
        <v>628.22</v>
      </c>
      <c r="Z75" s="5">
        <f>1125.31</f>
        <v>1125.31</v>
      </c>
      <c r="AA75" s="4"/>
      <c r="AB75" s="4"/>
      <c r="AC75" s="4"/>
      <c r="AD75" s="4"/>
      <c r="AE75" s="5">
        <f>68.2</f>
        <v>68.2</v>
      </c>
      <c r="AF75" s="4"/>
      <c r="AG75" s="5">
        <f t="shared" si="10"/>
        <v>21493.980000000007</v>
      </c>
    </row>
    <row r="76" spans="1:33" x14ac:dyDescent="0.25">
      <c r="A76" s="3" t="s">
        <v>102</v>
      </c>
      <c r="B76" s="5">
        <f>1303.48</f>
        <v>1303.48</v>
      </c>
      <c r="C76" s="4"/>
      <c r="D76" s="4"/>
      <c r="E76" s="4"/>
      <c r="F76" s="4"/>
      <c r="G76" s="5">
        <f>1794.9</f>
        <v>1794.9</v>
      </c>
      <c r="H76" s="4"/>
      <c r="I76" s="4"/>
      <c r="J76" s="4"/>
      <c r="K76" s="4"/>
      <c r="L76" s="4"/>
      <c r="M76" s="4"/>
      <c r="N76" s="4"/>
      <c r="O76" s="4"/>
      <c r="P76" s="4"/>
      <c r="Q76" s="4"/>
      <c r="R76" s="4"/>
      <c r="S76" s="4"/>
      <c r="T76" s="4"/>
      <c r="U76" s="4"/>
      <c r="V76" s="4"/>
      <c r="W76" s="5">
        <f>836.47</f>
        <v>836.47</v>
      </c>
      <c r="X76" s="5">
        <f>1309.2</f>
        <v>1309.2</v>
      </c>
      <c r="Y76" s="4"/>
      <c r="Z76" s="4"/>
      <c r="AA76" s="4"/>
      <c r="AB76" s="4"/>
      <c r="AC76" s="4"/>
      <c r="AD76" s="4"/>
      <c r="AE76" s="4"/>
      <c r="AF76" s="4"/>
      <c r="AG76" s="5">
        <f t="shared" si="10"/>
        <v>5244.05</v>
      </c>
    </row>
    <row r="77" spans="1:33" x14ac:dyDescent="0.25">
      <c r="A77" s="3" t="s">
        <v>103</v>
      </c>
      <c r="B77" s="5">
        <f>9579.41</f>
        <v>9579.41</v>
      </c>
      <c r="C77" s="4"/>
      <c r="D77" s="4"/>
      <c r="E77" s="5">
        <f>1305.56</f>
        <v>1305.56</v>
      </c>
      <c r="F77" s="4"/>
      <c r="G77" s="5">
        <f>218.7</f>
        <v>218.7</v>
      </c>
      <c r="H77" s="4"/>
      <c r="I77" s="5">
        <f>66.64</f>
        <v>66.64</v>
      </c>
      <c r="J77" s="4"/>
      <c r="K77" s="4"/>
      <c r="L77" s="5">
        <f>237.56</f>
        <v>237.56</v>
      </c>
      <c r="M77" s="4"/>
      <c r="N77" s="5">
        <f>98.24</f>
        <v>98.24</v>
      </c>
      <c r="O77" s="5">
        <f>1022.94</f>
        <v>1022.94</v>
      </c>
      <c r="P77" s="4"/>
      <c r="Q77" s="4"/>
      <c r="R77" s="5">
        <f>411.9</f>
        <v>411.9</v>
      </c>
      <c r="S77" s="5">
        <f>57.23</f>
        <v>57.23</v>
      </c>
      <c r="T77" s="4"/>
      <c r="U77" s="4"/>
      <c r="V77" s="4"/>
      <c r="W77" s="4"/>
      <c r="X77" s="4"/>
      <c r="Y77" s="5">
        <f>234.43</f>
        <v>234.43</v>
      </c>
      <c r="Z77" s="5">
        <f>675.53</f>
        <v>675.53</v>
      </c>
      <c r="AA77" s="4"/>
      <c r="AB77" s="4"/>
      <c r="AC77" s="4"/>
      <c r="AD77" s="4"/>
      <c r="AE77" s="4"/>
      <c r="AF77" s="4"/>
      <c r="AG77" s="5">
        <f t="shared" si="10"/>
        <v>13908.14</v>
      </c>
    </row>
    <row r="78" spans="1:33" x14ac:dyDescent="0.25">
      <c r="A78" s="3" t="s">
        <v>104</v>
      </c>
      <c r="B78" s="5">
        <f>63964.91</f>
        <v>63964.91</v>
      </c>
      <c r="C78" s="5">
        <f>215</f>
        <v>215</v>
      </c>
      <c r="D78" s="5">
        <f>3700</f>
        <v>3700</v>
      </c>
      <c r="E78" s="5">
        <f>11328.69</f>
        <v>11328.69</v>
      </c>
      <c r="F78" s="4"/>
      <c r="G78" s="5">
        <f>10087.94</f>
        <v>10087.94</v>
      </c>
      <c r="H78" s="5">
        <f>81</f>
        <v>81</v>
      </c>
      <c r="I78" s="5">
        <f>202.28</f>
        <v>202.28</v>
      </c>
      <c r="J78" s="4"/>
      <c r="K78" s="5">
        <f>29526.97</f>
        <v>29526.97</v>
      </c>
      <c r="L78" s="5">
        <f>373.82</f>
        <v>373.82</v>
      </c>
      <c r="M78" s="4"/>
      <c r="N78" s="5">
        <f>201.5</f>
        <v>201.5</v>
      </c>
      <c r="O78" s="5">
        <f>2448.3</f>
        <v>2448.3000000000002</v>
      </c>
      <c r="P78" s="5">
        <f>81</f>
        <v>81</v>
      </c>
      <c r="Q78" s="4"/>
      <c r="R78" s="5">
        <f>2946.55</f>
        <v>2946.55</v>
      </c>
      <c r="S78" s="5">
        <f>344004.56</f>
        <v>344004.56</v>
      </c>
      <c r="T78" s="4"/>
      <c r="U78" s="4"/>
      <c r="V78" s="4"/>
      <c r="W78" s="5">
        <f>6916.59</f>
        <v>6916.59</v>
      </c>
      <c r="X78" s="5">
        <f>14033.12</f>
        <v>14033.12</v>
      </c>
      <c r="Y78" s="5">
        <f>15711.16</f>
        <v>15711.16</v>
      </c>
      <c r="Z78" s="5">
        <f>7295.1</f>
        <v>7295.1</v>
      </c>
      <c r="AA78" s="4"/>
      <c r="AB78" s="4"/>
      <c r="AC78" s="4"/>
      <c r="AD78" s="4"/>
      <c r="AE78" s="5">
        <f>67449.28</f>
        <v>67449.279999999999</v>
      </c>
      <c r="AF78" s="5">
        <f>0</f>
        <v>0</v>
      </c>
      <c r="AG78" s="5">
        <f t="shared" si="10"/>
        <v>580567.77</v>
      </c>
    </row>
    <row r="79" spans="1:33" x14ac:dyDescent="0.25">
      <c r="A79" s="3" t="s">
        <v>105</v>
      </c>
      <c r="B79" s="5">
        <f>1555.21</f>
        <v>1555.21</v>
      </c>
      <c r="C79" s="4"/>
      <c r="D79" s="4"/>
      <c r="E79" s="4"/>
      <c r="F79" s="4"/>
      <c r="G79" s="5">
        <f>2348.78</f>
        <v>2348.7800000000002</v>
      </c>
      <c r="H79" s="4"/>
      <c r="I79" s="4"/>
      <c r="J79" s="4"/>
      <c r="K79" s="4"/>
      <c r="L79" s="4"/>
      <c r="M79" s="4"/>
      <c r="N79" s="4"/>
      <c r="O79" s="4"/>
      <c r="P79" s="4"/>
      <c r="Q79" s="4"/>
      <c r="R79" s="4"/>
      <c r="S79" s="5">
        <f>69.15</f>
        <v>69.150000000000006</v>
      </c>
      <c r="T79" s="4"/>
      <c r="U79" s="4"/>
      <c r="V79" s="4"/>
      <c r="W79" s="4"/>
      <c r="X79" s="4"/>
      <c r="Y79" s="4"/>
      <c r="Z79" s="4"/>
      <c r="AA79" s="4"/>
      <c r="AB79" s="4"/>
      <c r="AC79" s="4"/>
      <c r="AD79" s="4"/>
      <c r="AE79" s="4"/>
      <c r="AF79" s="4"/>
      <c r="AG79" s="5">
        <f t="shared" si="10"/>
        <v>3973.1400000000003</v>
      </c>
    </row>
    <row r="80" spans="1:33" x14ac:dyDescent="0.25">
      <c r="A80" s="3" t="s">
        <v>106</v>
      </c>
      <c r="B80" s="6">
        <f t="shared" ref="B80:AF80" si="13">(((((((B72)+(B73))+(B74))+(B75))+(B76))+(B77))+(B78))+(B79)</f>
        <v>84055.200000000012</v>
      </c>
      <c r="C80" s="6">
        <f t="shared" si="13"/>
        <v>215</v>
      </c>
      <c r="D80" s="6">
        <f t="shared" si="13"/>
        <v>3700</v>
      </c>
      <c r="E80" s="6">
        <f t="shared" si="13"/>
        <v>15020.18</v>
      </c>
      <c r="F80" s="6">
        <f t="shared" si="13"/>
        <v>0</v>
      </c>
      <c r="G80" s="6">
        <f t="shared" si="13"/>
        <v>21227.64</v>
      </c>
      <c r="H80" s="6">
        <f t="shared" si="13"/>
        <v>81</v>
      </c>
      <c r="I80" s="6">
        <f t="shared" si="13"/>
        <v>303.27999999999997</v>
      </c>
      <c r="J80" s="6">
        <f t="shared" si="13"/>
        <v>0</v>
      </c>
      <c r="K80" s="6">
        <f t="shared" si="13"/>
        <v>29526.97</v>
      </c>
      <c r="L80" s="6">
        <f t="shared" si="13"/>
        <v>611.38</v>
      </c>
      <c r="M80" s="6">
        <f t="shared" si="13"/>
        <v>0</v>
      </c>
      <c r="N80" s="6">
        <f t="shared" si="13"/>
        <v>299.74</v>
      </c>
      <c r="O80" s="6">
        <f t="shared" si="13"/>
        <v>3471.2400000000002</v>
      </c>
      <c r="P80" s="6">
        <f t="shared" si="13"/>
        <v>81</v>
      </c>
      <c r="Q80" s="6">
        <f t="shared" si="13"/>
        <v>0</v>
      </c>
      <c r="R80" s="6">
        <f t="shared" si="13"/>
        <v>3392.8100000000004</v>
      </c>
      <c r="S80" s="6">
        <f t="shared" si="13"/>
        <v>344461.19</v>
      </c>
      <c r="T80" s="6">
        <f t="shared" si="13"/>
        <v>0</v>
      </c>
      <c r="U80" s="6">
        <f t="shared" si="13"/>
        <v>0</v>
      </c>
      <c r="V80" s="6">
        <f t="shared" si="13"/>
        <v>0</v>
      </c>
      <c r="W80" s="6">
        <f t="shared" si="13"/>
        <v>9531.61</v>
      </c>
      <c r="X80" s="6">
        <f t="shared" si="13"/>
        <v>17021.740000000002</v>
      </c>
      <c r="Y80" s="6">
        <f t="shared" si="13"/>
        <v>16573.810000000001</v>
      </c>
      <c r="Z80" s="6">
        <f t="shared" si="13"/>
        <v>9095.94</v>
      </c>
      <c r="AA80" s="6">
        <f t="shared" si="13"/>
        <v>0</v>
      </c>
      <c r="AB80" s="6">
        <f t="shared" si="13"/>
        <v>0</v>
      </c>
      <c r="AC80" s="6">
        <f t="shared" si="13"/>
        <v>0</v>
      </c>
      <c r="AD80" s="6">
        <f t="shared" si="13"/>
        <v>0</v>
      </c>
      <c r="AE80" s="6">
        <f t="shared" si="13"/>
        <v>67517.48</v>
      </c>
      <c r="AF80" s="6">
        <f t="shared" si="13"/>
        <v>0</v>
      </c>
      <c r="AG80" s="6">
        <f t="shared" si="10"/>
        <v>626187.21</v>
      </c>
    </row>
    <row r="81" spans="1:33" x14ac:dyDescent="0.25">
      <c r="A81" s="3" t="s">
        <v>107</v>
      </c>
      <c r="B81" s="4"/>
      <c r="C81" s="4"/>
      <c r="D81" s="4"/>
      <c r="E81" s="4"/>
      <c r="F81" s="4"/>
      <c r="G81" s="4"/>
      <c r="H81" s="4"/>
      <c r="I81" s="4"/>
      <c r="J81" s="4"/>
      <c r="K81" s="4"/>
      <c r="L81" s="4"/>
      <c r="M81" s="4"/>
      <c r="N81" s="4"/>
      <c r="O81" s="4"/>
      <c r="P81" s="4"/>
      <c r="Q81" s="4"/>
      <c r="R81" s="4"/>
      <c r="S81" s="4"/>
      <c r="T81" s="4"/>
      <c r="U81" s="4"/>
      <c r="V81" s="4"/>
      <c r="W81" s="4"/>
      <c r="X81" s="4"/>
      <c r="Y81" s="4"/>
      <c r="Z81" s="4"/>
      <c r="AA81" s="4"/>
      <c r="AB81" s="4"/>
      <c r="AC81" s="4"/>
      <c r="AD81" s="4"/>
      <c r="AE81" s="4"/>
      <c r="AF81" s="4"/>
      <c r="AG81" s="5">
        <f t="shared" si="10"/>
        <v>0</v>
      </c>
    </row>
    <row r="82" spans="1:33" x14ac:dyDescent="0.25">
      <c r="A82" s="3" t="s">
        <v>108</v>
      </c>
      <c r="B82" s="4"/>
      <c r="C82" s="4"/>
      <c r="D82" s="4"/>
      <c r="E82" s="4"/>
      <c r="F82" s="4"/>
      <c r="G82" s="4"/>
      <c r="H82" s="4"/>
      <c r="I82" s="4"/>
      <c r="J82" s="4"/>
      <c r="K82" s="4"/>
      <c r="L82" s="4"/>
      <c r="M82" s="4"/>
      <c r="N82" s="4"/>
      <c r="O82" s="4"/>
      <c r="P82" s="4"/>
      <c r="Q82" s="5">
        <f>122772.8</f>
        <v>122772.8</v>
      </c>
      <c r="R82" s="5">
        <f>4100</f>
        <v>4100</v>
      </c>
      <c r="S82" s="5">
        <f>1237.5</f>
        <v>1237.5</v>
      </c>
      <c r="T82" s="4"/>
      <c r="U82" s="4"/>
      <c r="V82" s="4"/>
      <c r="W82" s="5">
        <f>6874.85</f>
        <v>6874.85</v>
      </c>
      <c r="X82" s="5">
        <f>9834.08</f>
        <v>9834.08</v>
      </c>
      <c r="Y82" s="4"/>
      <c r="Z82" s="5">
        <f>5596.9</f>
        <v>5596.9</v>
      </c>
      <c r="AA82" s="4"/>
      <c r="AB82" s="4"/>
      <c r="AC82" s="4"/>
      <c r="AD82" s="4"/>
      <c r="AE82" s="5">
        <f>52506.35</f>
        <v>52506.35</v>
      </c>
      <c r="AF82" s="5">
        <f>0</f>
        <v>0</v>
      </c>
      <c r="AG82" s="5">
        <f t="shared" si="10"/>
        <v>202922.47999999998</v>
      </c>
    </row>
    <row r="83" spans="1:33" x14ac:dyDescent="0.25">
      <c r="A83" s="3" t="s">
        <v>109</v>
      </c>
      <c r="B83" s="5">
        <f>2690</f>
        <v>2690</v>
      </c>
      <c r="C83" s="4"/>
      <c r="D83" s="4"/>
      <c r="E83" s="5">
        <f>1817.23</f>
        <v>1817.23</v>
      </c>
      <c r="F83" s="4"/>
      <c r="G83" s="5">
        <f>260</f>
        <v>260</v>
      </c>
      <c r="H83" s="4"/>
      <c r="I83" s="4"/>
      <c r="J83" s="4"/>
      <c r="K83" s="4"/>
      <c r="L83" s="4"/>
      <c r="M83" s="4"/>
      <c r="N83" s="4"/>
      <c r="O83" s="4"/>
      <c r="P83" s="4"/>
      <c r="Q83" s="4"/>
      <c r="R83" s="5">
        <f>1700</f>
        <v>1700</v>
      </c>
      <c r="S83" s="5">
        <f>11210</f>
        <v>11210</v>
      </c>
      <c r="T83" s="4"/>
      <c r="U83" s="4"/>
      <c r="V83" s="4"/>
      <c r="W83" s="5">
        <f>1120</f>
        <v>1120</v>
      </c>
      <c r="X83" s="5">
        <f>3568</f>
        <v>3568</v>
      </c>
      <c r="Y83" s="5">
        <f>4470</f>
        <v>4470</v>
      </c>
      <c r="Z83" s="5">
        <f>9749</f>
        <v>9749</v>
      </c>
      <c r="AA83" s="4"/>
      <c r="AB83" s="4"/>
      <c r="AC83" s="4"/>
      <c r="AD83" s="4"/>
      <c r="AE83" s="5">
        <f>44904.89</f>
        <v>44904.89</v>
      </c>
      <c r="AF83" s="4"/>
      <c r="AG83" s="5">
        <f t="shared" si="10"/>
        <v>81489.119999999995</v>
      </c>
    </row>
    <row r="84" spans="1:33" x14ac:dyDescent="0.25">
      <c r="A84" s="3" t="s">
        <v>110</v>
      </c>
      <c r="B84" s="5">
        <f>18220.76</f>
        <v>18220.759999999998</v>
      </c>
      <c r="C84" s="4"/>
      <c r="D84" s="4"/>
      <c r="E84" s="5">
        <f>6724.25</f>
        <v>6724.25</v>
      </c>
      <c r="F84" s="4"/>
      <c r="G84" s="5">
        <f>2929.14</f>
        <v>2929.14</v>
      </c>
      <c r="H84" s="4"/>
      <c r="I84" s="5">
        <f>618.15</f>
        <v>618.15</v>
      </c>
      <c r="J84" s="4"/>
      <c r="K84" s="4"/>
      <c r="L84" s="5">
        <f>559.75</f>
        <v>559.75</v>
      </c>
      <c r="M84" s="4"/>
      <c r="N84" s="5">
        <f>130.86</f>
        <v>130.86000000000001</v>
      </c>
      <c r="O84" s="5">
        <f>35</f>
        <v>35</v>
      </c>
      <c r="P84" s="4"/>
      <c r="Q84" s="4"/>
      <c r="R84" s="5">
        <f>16987.34</f>
        <v>16987.34</v>
      </c>
      <c r="S84" s="5">
        <f>7091.97</f>
        <v>7091.97</v>
      </c>
      <c r="T84" s="4"/>
      <c r="U84" s="5">
        <f>161733.4</f>
        <v>161733.4</v>
      </c>
      <c r="V84" s="4"/>
      <c r="W84" s="5">
        <f>5328.65</f>
        <v>5328.65</v>
      </c>
      <c r="X84" s="5">
        <f>9038.72</f>
        <v>9038.7199999999993</v>
      </c>
      <c r="Y84" s="5">
        <f>11622.19</f>
        <v>11622.19</v>
      </c>
      <c r="Z84" s="5">
        <f>14877.78</f>
        <v>14877.78</v>
      </c>
      <c r="AA84" s="4"/>
      <c r="AB84" s="4"/>
      <c r="AC84" s="4"/>
      <c r="AD84" s="4"/>
      <c r="AE84" s="5">
        <f>679</f>
        <v>679</v>
      </c>
      <c r="AF84" s="5">
        <f>0</f>
        <v>0</v>
      </c>
      <c r="AG84" s="5">
        <f t="shared" si="10"/>
        <v>256576.96</v>
      </c>
    </row>
    <row r="85" spans="1:33" x14ac:dyDescent="0.25">
      <c r="A85" s="3" t="s">
        <v>111</v>
      </c>
      <c r="B85" s="5">
        <f>681.85</f>
        <v>681.85</v>
      </c>
      <c r="C85" s="4"/>
      <c r="D85" s="4"/>
      <c r="E85" s="5">
        <f>183.65</f>
        <v>183.65</v>
      </c>
      <c r="F85" s="4"/>
      <c r="G85" s="5">
        <f>4499</f>
        <v>4499</v>
      </c>
      <c r="H85" s="4"/>
      <c r="I85" s="4"/>
      <c r="J85" s="4"/>
      <c r="K85" s="4"/>
      <c r="L85" s="4"/>
      <c r="M85" s="4"/>
      <c r="N85" s="5">
        <f>2756.34</f>
        <v>2756.34</v>
      </c>
      <c r="O85" s="5">
        <f>14.98</f>
        <v>14.98</v>
      </c>
      <c r="P85" s="4"/>
      <c r="Q85" s="4"/>
      <c r="R85" s="4"/>
      <c r="S85" s="5">
        <f>629.7</f>
        <v>629.70000000000005</v>
      </c>
      <c r="T85" s="4"/>
      <c r="U85" s="4"/>
      <c r="V85" s="4"/>
      <c r="W85" s="5">
        <f>8664.97</f>
        <v>8664.9699999999993</v>
      </c>
      <c r="X85" s="5">
        <f>7943.43</f>
        <v>7943.43</v>
      </c>
      <c r="Y85" s="4"/>
      <c r="Z85" s="5">
        <f>3674.98</f>
        <v>3674.98</v>
      </c>
      <c r="AA85" s="5">
        <f>663.29</f>
        <v>663.29</v>
      </c>
      <c r="AB85" s="5">
        <f>1196.45</f>
        <v>1196.45</v>
      </c>
      <c r="AC85" s="4"/>
      <c r="AD85" s="4"/>
      <c r="AE85" s="4"/>
      <c r="AF85" s="4"/>
      <c r="AG85" s="5">
        <f t="shared" si="10"/>
        <v>30908.639999999999</v>
      </c>
    </row>
    <row r="86" spans="1:33" x14ac:dyDescent="0.25">
      <c r="A86" s="3" t="s">
        <v>112</v>
      </c>
      <c r="B86" s="5">
        <f>6600.36</f>
        <v>6600.36</v>
      </c>
      <c r="C86" s="4"/>
      <c r="D86" s="4"/>
      <c r="E86" s="4"/>
      <c r="F86" s="4"/>
      <c r="G86" s="4"/>
      <c r="H86" s="4"/>
      <c r="I86" s="4"/>
      <c r="J86" s="4"/>
      <c r="K86" s="4"/>
      <c r="L86" s="4"/>
      <c r="M86" s="4"/>
      <c r="N86" s="4"/>
      <c r="O86" s="4"/>
      <c r="P86" s="4"/>
      <c r="Q86" s="4"/>
      <c r="R86" s="4"/>
      <c r="S86" s="4"/>
      <c r="T86" s="4"/>
      <c r="U86" s="4"/>
      <c r="V86" s="4"/>
      <c r="W86" s="4"/>
      <c r="X86" s="4"/>
      <c r="Y86" s="4"/>
      <c r="Z86" s="4"/>
      <c r="AA86" s="4"/>
      <c r="AB86" s="4"/>
      <c r="AC86" s="4"/>
      <c r="AD86" s="4"/>
      <c r="AE86" s="4"/>
      <c r="AF86" s="4"/>
      <c r="AG86" s="5">
        <f t="shared" si="10"/>
        <v>6600.36</v>
      </c>
    </row>
    <row r="87" spans="1:33" x14ac:dyDescent="0.25">
      <c r="A87" s="3" t="s">
        <v>113</v>
      </c>
      <c r="B87" s="6">
        <f t="shared" ref="B87:AF87" si="14">(((((B81)+(B82))+(B83))+(B84))+(B85))+(B86)</f>
        <v>28192.969999999998</v>
      </c>
      <c r="C87" s="6">
        <f t="shared" si="14"/>
        <v>0</v>
      </c>
      <c r="D87" s="6">
        <f t="shared" si="14"/>
        <v>0</v>
      </c>
      <c r="E87" s="6">
        <f t="shared" si="14"/>
        <v>8725.1299999999992</v>
      </c>
      <c r="F87" s="6">
        <f t="shared" si="14"/>
        <v>0</v>
      </c>
      <c r="G87" s="6">
        <f t="shared" si="14"/>
        <v>7688.1399999999994</v>
      </c>
      <c r="H87" s="6">
        <f t="shared" si="14"/>
        <v>0</v>
      </c>
      <c r="I87" s="6">
        <f t="shared" si="14"/>
        <v>618.15</v>
      </c>
      <c r="J87" s="6">
        <f t="shared" si="14"/>
        <v>0</v>
      </c>
      <c r="K87" s="6">
        <f t="shared" si="14"/>
        <v>0</v>
      </c>
      <c r="L87" s="6">
        <f t="shared" si="14"/>
        <v>559.75</v>
      </c>
      <c r="M87" s="6">
        <f t="shared" si="14"/>
        <v>0</v>
      </c>
      <c r="N87" s="6">
        <f t="shared" si="14"/>
        <v>2887.2000000000003</v>
      </c>
      <c r="O87" s="6">
        <f t="shared" si="14"/>
        <v>49.980000000000004</v>
      </c>
      <c r="P87" s="6">
        <f t="shared" si="14"/>
        <v>0</v>
      </c>
      <c r="Q87" s="6">
        <f t="shared" si="14"/>
        <v>122772.8</v>
      </c>
      <c r="R87" s="6">
        <f t="shared" si="14"/>
        <v>22787.34</v>
      </c>
      <c r="S87" s="6">
        <f t="shared" si="14"/>
        <v>20169.170000000002</v>
      </c>
      <c r="T87" s="6">
        <f t="shared" si="14"/>
        <v>0</v>
      </c>
      <c r="U87" s="6">
        <f t="shared" si="14"/>
        <v>161733.4</v>
      </c>
      <c r="V87" s="6">
        <f t="shared" si="14"/>
        <v>0</v>
      </c>
      <c r="W87" s="6">
        <f t="shared" si="14"/>
        <v>21988.47</v>
      </c>
      <c r="X87" s="6">
        <f t="shared" si="14"/>
        <v>30384.23</v>
      </c>
      <c r="Y87" s="6">
        <f t="shared" si="14"/>
        <v>16092.19</v>
      </c>
      <c r="Z87" s="6">
        <f t="shared" si="14"/>
        <v>33898.660000000003</v>
      </c>
      <c r="AA87" s="6">
        <f t="shared" si="14"/>
        <v>663.29</v>
      </c>
      <c r="AB87" s="6">
        <f t="shared" si="14"/>
        <v>1196.45</v>
      </c>
      <c r="AC87" s="6">
        <f t="shared" si="14"/>
        <v>0</v>
      </c>
      <c r="AD87" s="6">
        <f t="shared" si="14"/>
        <v>0</v>
      </c>
      <c r="AE87" s="6">
        <f t="shared" si="14"/>
        <v>98090.239999999991</v>
      </c>
      <c r="AF87" s="6">
        <f t="shared" si="14"/>
        <v>0</v>
      </c>
      <c r="AG87" s="6">
        <f t="shared" si="10"/>
        <v>578497.55999999994</v>
      </c>
    </row>
    <row r="88" spans="1:33" x14ac:dyDescent="0.25">
      <c r="A88" s="3" t="s">
        <v>114</v>
      </c>
      <c r="B88" s="4"/>
      <c r="C88" s="4"/>
      <c r="D88" s="4"/>
      <c r="E88" s="4"/>
      <c r="F88" s="4"/>
      <c r="G88" s="4"/>
      <c r="H88" s="4"/>
      <c r="I88" s="4"/>
      <c r="J88" s="4"/>
      <c r="K88" s="4"/>
      <c r="L88" s="4"/>
      <c r="M88" s="4"/>
      <c r="N88" s="4"/>
      <c r="O88" s="4"/>
      <c r="P88" s="4"/>
      <c r="Q88" s="4"/>
      <c r="R88" s="4"/>
      <c r="S88" s="4"/>
      <c r="T88" s="4"/>
      <c r="U88" s="4"/>
      <c r="V88" s="4"/>
      <c r="W88" s="4"/>
      <c r="X88" s="4"/>
      <c r="Y88" s="4"/>
      <c r="Z88" s="4"/>
      <c r="AA88" s="4"/>
      <c r="AB88" s="4"/>
      <c r="AC88" s="4"/>
      <c r="AD88" s="4"/>
      <c r="AE88" s="4"/>
      <c r="AF88" s="4"/>
      <c r="AG88" s="5">
        <f t="shared" si="10"/>
        <v>0</v>
      </c>
    </row>
    <row r="89" spans="1:33" x14ac:dyDescent="0.25">
      <c r="A89" s="3" t="s">
        <v>115</v>
      </c>
      <c r="B89" s="5">
        <f>5197.7</f>
        <v>5197.7</v>
      </c>
      <c r="C89" s="4"/>
      <c r="D89" s="4"/>
      <c r="E89" s="4"/>
      <c r="F89" s="4"/>
      <c r="G89" s="5">
        <f>388.77</f>
        <v>388.77</v>
      </c>
      <c r="H89" s="4"/>
      <c r="I89" s="5">
        <f>1072</f>
        <v>1072</v>
      </c>
      <c r="J89" s="4"/>
      <c r="K89" s="4"/>
      <c r="L89" s="4"/>
      <c r="M89" s="4"/>
      <c r="N89" s="4"/>
      <c r="O89" s="4"/>
      <c r="P89" s="4"/>
      <c r="Q89" s="4"/>
      <c r="R89" s="5">
        <f>134</f>
        <v>134</v>
      </c>
      <c r="S89" s="5">
        <f>268</f>
        <v>268</v>
      </c>
      <c r="T89" s="4"/>
      <c r="U89" s="4"/>
      <c r="V89" s="4"/>
      <c r="W89" s="5">
        <f>422.9</f>
        <v>422.9</v>
      </c>
      <c r="X89" s="5">
        <f>4214.96</f>
        <v>4214.96</v>
      </c>
      <c r="Y89" s="5">
        <f>268</f>
        <v>268</v>
      </c>
      <c r="Z89" s="5">
        <f>1551.22</f>
        <v>1551.22</v>
      </c>
      <c r="AA89" s="4"/>
      <c r="AB89" s="4"/>
      <c r="AC89" s="5">
        <f>268</f>
        <v>268</v>
      </c>
      <c r="AD89" s="5">
        <f>670</f>
        <v>670</v>
      </c>
      <c r="AE89" s="4"/>
      <c r="AF89" s="4"/>
      <c r="AG89" s="5">
        <f t="shared" si="10"/>
        <v>14455.549999999997</v>
      </c>
    </row>
    <row r="90" spans="1:33" x14ac:dyDescent="0.25">
      <c r="A90" s="3" t="s">
        <v>116</v>
      </c>
      <c r="B90" s="4"/>
      <c r="C90" s="4"/>
      <c r="D90" s="4"/>
      <c r="E90" s="4"/>
      <c r="F90" s="4"/>
      <c r="G90" s="5">
        <f>7500</f>
        <v>7500</v>
      </c>
      <c r="H90" s="4"/>
      <c r="I90" s="4"/>
      <c r="J90" s="4"/>
      <c r="K90" s="4"/>
      <c r="L90" s="4"/>
      <c r="M90" s="4"/>
      <c r="N90" s="4"/>
      <c r="O90" s="4"/>
      <c r="P90" s="4"/>
      <c r="Q90" s="4"/>
      <c r="R90" s="4"/>
      <c r="S90" s="4"/>
      <c r="T90" s="4"/>
      <c r="U90" s="4"/>
      <c r="V90" s="4"/>
      <c r="W90" s="4"/>
      <c r="X90" s="4"/>
      <c r="Y90" s="4"/>
      <c r="Z90" s="4"/>
      <c r="AA90" s="4"/>
      <c r="AB90" s="4"/>
      <c r="AC90" s="4"/>
      <c r="AD90" s="4"/>
      <c r="AE90" s="4"/>
      <c r="AF90" s="4"/>
      <c r="AG90" s="5">
        <f t="shared" si="10"/>
        <v>7500</v>
      </c>
    </row>
    <row r="91" spans="1:33" x14ac:dyDescent="0.25">
      <c r="A91" s="3" t="s">
        <v>117</v>
      </c>
      <c r="B91" s="5">
        <f>1500</f>
        <v>1500</v>
      </c>
      <c r="C91" s="4"/>
      <c r="D91" s="4"/>
      <c r="E91" s="4"/>
      <c r="F91" s="4"/>
      <c r="G91" s="5">
        <f>1375</f>
        <v>1375</v>
      </c>
      <c r="H91" s="4"/>
      <c r="I91" s="4"/>
      <c r="J91" s="4"/>
      <c r="K91" s="4"/>
      <c r="L91" s="4"/>
      <c r="M91" s="4"/>
      <c r="N91" s="4"/>
      <c r="O91" s="4"/>
      <c r="P91" s="4"/>
      <c r="Q91" s="4"/>
      <c r="R91" s="4"/>
      <c r="S91" s="4"/>
      <c r="T91" s="4"/>
      <c r="U91" s="4"/>
      <c r="V91" s="4"/>
      <c r="W91" s="4"/>
      <c r="X91" s="5">
        <f>463.22</f>
        <v>463.22</v>
      </c>
      <c r="Y91" s="4"/>
      <c r="Z91" s="4"/>
      <c r="AA91" s="4"/>
      <c r="AB91" s="4"/>
      <c r="AC91" s="4"/>
      <c r="AD91" s="4"/>
      <c r="AE91" s="4"/>
      <c r="AF91" s="4"/>
      <c r="AG91" s="5">
        <f t="shared" si="10"/>
        <v>3338.2200000000003</v>
      </c>
    </row>
    <row r="92" spans="1:33" x14ac:dyDescent="0.25">
      <c r="A92" s="3" t="s">
        <v>118</v>
      </c>
      <c r="B92" s="4"/>
      <c r="C92" s="4"/>
      <c r="D92" s="4"/>
      <c r="E92" s="5">
        <f>24587.5</f>
        <v>24587.5</v>
      </c>
      <c r="F92" s="5">
        <f>1446.88</f>
        <v>1446.88</v>
      </c>
      <c r="G92" s="5">
        <f>86421.2</f>
        <v>86421.2</v>
      </c>
      <c r="H92" s="5">
        <f>557.01</f>
        <v>557.01</v>
      </c>
      <c r="I92" s="5">
        <f>6415.74</f>
        <v>6415.74</v>
      </c>
      <c r="J92" s="5">
        <f>0</f>
        <v>0</v>
      </c>
      <c r="K92" s="5">
        <f>11952.35</f>
        <v>11952.35</v>
      </c>
      <c r="L92" s="5">
        <f>6349.54</f>
        <v>6349.54</v>
      </c>
      <c r="M92" s="5">
        <f>4481.49</f>
        <v>4481.49</v>
      </c>
      <c r="N92" s="4"/>
      <c r="O92" s="5">
        <f>6092.58</f>
        <v>6092.58</v>
      </c>
      <c r="P92" s="5">
        <f>3343.59</f>
        <v>3343.59</v>
      </c>
      <c r="Q92" s="5">
        <f>51494.43</f>
        <v>51494.43</v>
      </c>
      <c r="R92" s="5">
        <f>9312.72</f>
        <v>9312.7199999999993</v>
      </c>
      <c r="S92" s="5">
        <f>74162.09</f>
        <v>74162.09</v>
      </c>
      <c r="T92" s="5">
        <f>46480.3</f>
        <v>46480.3</v>
      </c>
      <c r="U92" s="5">
        <f>11277.09</f>
        <v>11277.09</v>
      </c>
      <c r="V92" s="5">
        <f>3777.3</f>
        <v>3777.3</v>
      </c>
      <c r="W92" s="5">
        <f>22241.28</f>
        <v>22241.279999999999</v>
      </c>
      <c r="X92" s="5">
        <f>25843.73</f>
        <v>25843.73</v>
      </c>
      <c r="Y92" s="5">
        <f>23405.89</f>
        <v>23405.89</v>
      </c>
      <c r="Z92" s="5">
        <f>27453.64</f>
        <v>27453.64</v>
      </c>
      <c r="AA92" s="5">
        <f>129.97</f>
        <v>129.97</v>
      </c>
      <c r="AB92" s="5">
        <f>126.97</f>
        <v>126.97</v>
      </c>
      <c r="AC92" s="4"/>
      <c r="AD92" s="4"/>
      <c r="AE92" s="5">
        <f>13475.11</f>
        <v>13475.11</v>
      </c>
      <c r="AF92" s="4"/>
      <c r="AG92" s="5">
        <f t="shared" si="10"/>
        <v>460828.39999999991</v>
      </c>
    </row>
    <row r="93" spans="1:33" x14ac:dyDescent="0.25">
      <c r="A93" s="3" t="s">
        <v>119</v>
      </c>
      <c r="B93" s="6">
        <f t="shared" ref="B93:AF93" si="15">((((B88)+(B89))+(B90))+(B91))+(B92)</f>
        <v>6697.7</v>
      </c>
      <c r="C93" s="6">
        <f t="shared" si="15"/>
        <v>0</v>
      </c>
      <c r="D93" s="6">
        <f t="shared" si="15"/>
        <v>0</v>
      </c>
      <c r="E93" s="6">
        <f t="shared" si="15"/>
        <v>24587.5</v>
      </c>
      <c r="F93" s="6">
        <f t="shared" si="15"/>
        <v>1446.88</v>
      </c>
      <c r="G93" s="6">
        <f t="shared" si="15"/>
        <v>95684.97</v>
      </c>
      <c r="H93" s="6">
        <f t="shared" si="15"/>
        <v>557.01</v>
      </c>
      <c r="I93" s="6">
        <f t="shared" si="15"/>
        <v>7487.74</v>
      </c>
      <c r="J93" s="6">
        <f t="shared" si="15"/>
        <v>0</v>
      </c>
      <c r="K93" s="6">
        <f t="shared" si="15"/>
        <v>11952.35</v>
      </c>
      <c r="L93" s="6">
        <f t="shared" si="15"/>
        <v>6349.54</v>
      </c>
      <c r="M93" s="6">
        <f t="shared" si="15"/>
        <v>4481.49</v>
      </c>
      <c r="N93" s="6">
        <f t="shared" si="15"/>
        <v>0</v>
      </c>
      <c r="O93" s="6">
        <f t="shared" si="15"/>
        <v>6092.58</v>
      </c>
      <c r="P93" s="6">
        <f t="shared" si="15"/>
        <v>3343.59</v>
      </c>
      <c r="Q93" s="6">
        <f t="shared" si="15"/>
        <v>51494.43</v>
      </c>
      <c r="R93" s="6">
        <f t="shared" si="15"/>
        <v>9446.7199999999993</v>
      </c>
      <c r="S93" s="6">
        <f t="shared" si="15"/>
        <v>74430.09</v>
      </c>
      <c r="T93" s="6">
        <f t="shared" si="15"/>
        <v>46480.3</v>
      </c>
      <c r="U93" s="6">
        <f t="shared" si="15"/>
        <v>11277.09</v>
      </c>
      <c r="V93" s="6">
        <f t="shared" si="15"/>
        <v>3777.3</v>
      </c>
      <c r="W93" s="6">
        <f t="shared" si="15"/>
        <v>22664.18</v>
      </c>
      <c r="X93" s="6">
        <f t="shared" si="15"/>
        <v>30521.91</v>
      </c>
      <c r="Y93" s="6">
        <f t="shared" si="15"/>
        <v>23673.89</v>
      </c>
      <c r="Z93" s="6">
        <f t="shared" si="15"/>
        <v>29004.86</v>
      </c>
      <c r="AA93" s="6">
        <f t="shared" si="15"/>
        <v>129.97</v>
      </c>
      <c r="AB93" s="6">
        <f t="shared" si="15"/>
        <v>126.97</v>
      </c>
      <c r="AC93" s="6">
        <f t="shared" si="15"/>
        <v>268</v>
      </c>
      <c r="AD93" s="6">
        <f t="shared" si="15"/>
        <v>670</v>
      </c>
      <c r="AE93" s="6">
        <f t="shared" si="15"/>
        <v>13475.11</v>
      </c>
      <c r="AF93" s="6">
        <f t="shared" si="15"/>
        <v>0</v>
      </c>
      <c r="AG93" s="6">
        <f t="shared" si="10"/>
        <v>486122.16999999987</v>
      </c>
    </row>
    <row r="94" spans="1:33" x14ac:dyDescent="0.25">
      <c r="A94" s="3" t="s">
        <v>120</v>
      </c>
      <c r="B94" s="6">
        <f t="shared" ref="B94:AF94" si="16">((((((((B35)+(B47))+(B54))+(B55))+(B67))+(B71))+(B80))+(B87))+(B93)</f>
        <v>784391.74999999977</v>
      </c>
      <c r="C94" s="6">
        <f t="shared" si="16"/>
        <v>215</v>
      </c>
      <c r="D94" s="6">
        <f t="shared" si="16"/>
        <v>3700</v>
      </c>
      <c r="E94" s="6">
        <f t="shared" si="16"/>
        <v>331931.28999999998</v>
      </c>
      <c r="F94" s="6">
        <f t="shared" si="16"/>
        <v>30384.07</v>
      </c>
      <c r="G94" s="6">
        <f t="shared" si="16"/>
        <v>955633.15999999992</v>
      </c>
      <c r="H94" s="6">
        <f t="shared" si="16"/>
        <v>7528.17</v>
      </c>
      <c r="I94" s="6">
        <f t="shared" si="16"/>
        <v>71102.14</v>
      </c>
      <c r="J94" s="6">
        <f t="shared" si="16"/>
        <v>50000</v>
      </c>
      <c r="K94" s="6">
        <f t="shared" si="16"/>
        <v>131475.96</v>
      </c>
      <c r="L94" s="6">
        <f t="shared" si="16"/>
        <v>69844.94</v>
      </c>
      <c r="M94" s="6">
        <f t="shared" si="16"/>
        <v>60500.229999999996</v>
      </c>
      <c r="N94" s="6">
        <f t="shared" si="16"/>
        <v>5416.7100000000009</v>
      </c>
      <c r="O94" s="6">
        <f t="shared" si="16"/>
        <v>66825.679999999993</v>
      </c>
      <c r="P94" s="6">
        <f t="shared" si="16"/>
        <v>36779.449999999997</v>
      </c>
      <c r="Q94" s="6">
        <f t="shared" si="16"/>
        <v>566438.65</v>
      </c>
      <c r="R94" s="6">
        <f t="shared" si="16"/>
        <v>102439.93999999999</v>
      </c>
      <c r="S94" s="6">
        <f t="shared" si="16"/>
        <v>641892.84000000008</v>
      </c>
      <c r="T94" s="6">
        <f t="shared" si="16"/>
        <v>433816.11000000004</v>
      </c>
      <c r="U94" s="6">
        <f t="shared" si="16"/>
        <v>256740.41</v>
      </c>
      <c r="V94" s="6">
        <f t="shared" si="16"/>
        <v>50993.61</v>
      </c>
      <c r="W94" s="6">
        <f t="shared" si="16"/>
        <v>296722.74000000005</v>
      </c>
      <c r="X94" s="6">
        <f t="shared" si="16"/>
        <v>349029.92</v>
      </c>
      <c r="Y94" s="6">
        <f t="shared" si="16"/>
        <v>190590.8</v>
      </c>
      <c r="Z94" s="6">
        <f t="shared" si="16"/>
        <v>301989.90000000002</v>
      </c>
      <c r="AA94" s="6">
        <f t="shared" si="16"/>
        <v>6590</v>
      </c>
      <c r="AB94" s="6">
        <f t="shared" si="16"/>
        <v>6475.3799999999992</v>
      </c>
      <c r="AC94" s="6">
        <f t="shared" si="16"/>
        <v>4779.7299999999996</v>
      </c>
      <c r="AD94" s="6">
        <f t="shared" si="16"/>
        <v>670</v>
      </c>
      <c r="AE94" s="6">
        <f t="shared" si="16"/>
        <v>220109.44</v>
      </c>
      <c r="AF94" s="6">
        <f t="shared" si="16"/>
        <v>0</v>
      </c>
      <c r="AG94" s="6">
        <f t="shared" si="10"/>
        <v>6035008.0200000014</v>
      </c>
    </row>
    <row r="95" spans="1:33" x14ac:dyDescent="0.25">
      <c r="A95" s="3" t="s">
        <v>121</v>
      </c>
      <c r="B95" s="6">
        <f t="shared" ref="B95:AF95" si="17">(B30)-(B94)</f>
        <v>172196.69000000029</v>
      </c>
      <c r="C95" s="6">
        <f t="shared" si="17"/>
        <v>0</v>
      </c>
      <c r="D95" s="6">
        <f t="shared" si="17"/>
        <v>-3700</v>
      </c>
      <c r="E95" s="6">
        <f t="shared" si="17"/>
        <v>-43730.759999999951</v>
      </c>
      <c r="F95" s="6">
        <f t="shared" si="17"/>
        <v>-4497.869999999999</v>
      </c>
      <c r="G95" s="6">
        <f t="shared" si="17"/>
        <v>840201.74</v>
      </c>
      <c r="H95" s="6">
        <f t="shared" si="17"/>
        <v>0</v>
      </c>
      <c r="I95" s="6">
        <f t="shared" si="17"/>
        <v>-52368.19</v>
      </c>
      <c r="J95" s="6">
        <f t="shared" si="17"/>
        <v>0</v>
      </c>
      <c r="K95" s="6">
        <f t="shared" si="17"/>
        <v>-7164.8899999999849</v>
      </c>
      <c r="L95" s="6">
        <f t="shared" si="17"/>
        <v>20429.72</v>
      </c>
      <c r="M95" s="6">
        <f t="shared" si="17"/>
        <v>-11072.249999999993</v>
      </c>
      <c r="N95" s="6">
        <f t="shared" si="17"/>
        <v>2583.2899999999991</v>
      </c>
      <c r="O95" s="6">
        <f t="shared" si="17"/>
        <v>-50050.679999999993</v>
      </c>
      <c r="P95" s="6">
        <f t="shared" si="17"/>
        <v>33780.050000000003</v>
      </c>
      <c r="Q95" s="6">
        <f t="shared" si="17"/>
        <v>0</v>
      </c>
      <c r="R95" s="6">
        <f t="shared" si="17"/>
        <v>282218.06</v>
      </c>
      <c r="S95" s="6">
        <f t="shared" si="17"/>
        <v>-127198.57000000007</v>
      </c>
      <c r="T95" s="6">
        <f t="shared" si="17"/>
        <v>-63519.960000000021</v>
      </c>
      <c r="U95" s="6">
        <f t="shared" si="17"/>
        <v>0</v>
      </c>
      <c r="V95" s="6">
        <f t="shared" si="17"/>
        <v>-7497.6100000000006</v>
      </c>
      <c r="W95" s="6">
        <f t="shared" si="17"/>
        <v>139.66999999992549</v>
      </c>
      <c r="X95" s="6">
        <f t="shared" si="17"/>
        <v>-93314.919999999984</v>
      </c>
      <c r="Y95" s="6">
        <f t="shared" si="17"/>
        <v>-28756.549999999988</v>
      </c>
      <c r="Z95" s="6">
        <f t="shared" si="17"/>
        <v>-71715.050000000017</v>
      </c>
      <c r="AA95" s="6">
        <f t="shared" si="17"/>
        <v>0</v>
      </c>
      <c r="AB95" s="6">
        <f t="shared" si="17"/>
        <v>-2102.3799999999992</v>
      </c>
      <c r="AC95" s="6">
        <f t="shared" si="17"/>
        <v>-4779.7299999999996</v>
      </c>
      <c r="AD95" s="6">
        <f t="shared" si="17"/>
        <v>-670</v>
      </c>
      <c r="AE95" s="6">
        <f t="shared" si="17"/>
        <v>6301.4100000000035</v>
      </c>
      <c r="AF95" s="6">
        <f t="shared" si="17"/>
        <v>0</v>
      </c>
      <c r="AG95" s="6">
        <f t="shared" si="10"/>
        <v>785711.2200000002</v>
      </c>
    </row>
    <row r="96" spans="1:33" x14ac:dyDescent="0.25">
      <c r="A96" s="3" t="s">
        <v>122</v>
      </c>
      <c r="B96" s="7">
        <f t="shared" ref="B96:AF96" si="18">(B95)+(0)</f>
        <v>172196.69000000029</v>
      </c>
      <c r="C96" s="7">
        <f t="shared" si="18"/>
        <v>0</v>
      </c>
      <c r="D96" s="7">
        <f t="shared" si="18"/>
        <v>-3700</v>
      </c>
      <c r="E96" s="7">
        <f t="shared" si="18"/>
        <v>-43730.759999999951</v>
      </c>
      <c r="F96" s="7">
        <f t="shared" si="18"/>
        <v>-4497.869999999999</v>
      </c>
      <c r="G96" s="7">
        <f t="shared" si="18"/>
        <v>840201.74</v>
      </c>
      <c r="H96" s="7">
        <f t="shared" si="18"/>
        <v>0</v>
      </c>
      <c r="I96" s="7">
        <f t="shared" si="18"/>
        <v>-52368.19</v>
      </c>
      <c r="J96" s="7">
        <f t="shared" si="18"/>
        <v>0</v>
      </c>
      <c r="K96" s="7">
        <f t="shared" si="18"/>
        <v>-7164.8899999999849</v>
      </c>
      <c r="L96" s="7">
        <f t="shared" si="18"/>
        <v>20429.72</v>
      </c>
      <c r="M96" s="7">
        <f t="shared" si="18"/>
        <v>-11072.249999999993</v>
      </c>
      <c r="N96" s="7">
        <f t="shared" si="18"/>
        <v>2583.2899999999991</v>
      </c>
      <c r="O96" s="7">
        <f t="shared" si="18"/>
        <v>-50050.679999999993</v>
      </c>
      <c r="P96" s="7">
        <f t="shared" si="18"/>
        <v>33780.050000000003</v>
      </c>
      <c r="Q96" s="7">
        <f t="shared" si="18"/>
        <v>0</v>
      </c>
      <c r="R96" s="7">
        <f t="shared" si="18"/>
        <v>282218.06</v>
      </c>
      <c r="S96" s="7">
        <f t="shared" si="18"/>
        <v>-127198.57000000007</v>
      </c>
      <c r="T96" s="7">
        <f t="shared" si="18"/>
        <v>-63519.960000000021</v>
      </c>
      <c r="U96" s="7">
        <f t="shared" si="18"/>
        <v>0</v>
      </c>
      <c r="V96" s="7">
        <f t="shared" si="18"/>
        <v>-7497.6100000000006</v>
      </c>
      <c r="W96" s="7">
        <f t="shared" si="18"/>
        <v>139.66999999992549</v>
      </c>
      <c r="X96" s="7">
        <f t="shared" si="18"/>
        <v>-93314.919999999984</v>
      </c>
      <c r="Y96" s="7">
        <f t="shared" si="18"/>
        <v>-28756.549999999988</v>
      </c>
      <c r="Z96" s="7">
        <f t="shared" si="18"/>
        <v>-71715.050000000017</v>
      </c>
      <c r="AA96" s="7">
        <f t="shared" si="18"/>
        <v>0</v>
      </c>
      <c r="AB96" s="7">
        <f t="shared" si="18"/>
        <v>-2102.3799999999992</v>
      </c>
      <c r="AC96" s="7">
        <f t="shared" si="18"/>
        <v>-4779.7299999999996</v>
      </c>
      <c r="AD96" s="7">
        <f t="shared" si="18"/>
        <v>-670</v>
      </c>
      <c r="AE96" s="7">
        <f t="shared" si="18"/>
        <v>6301.4100000000035</v>
      </c>
      <c r="AF96" s="7">
        <f t="shared" si="18"/>
        <v>0</v>
      </c>
      <c r="AG96" s="7">
        <f t="shared" ref="AG96" si="19">((((((((((((((((((((((((((((((B96)+(C96))+(D96))+(E96))+(F96))+(G96))+(H96))+(I96))+(J96))+(K96))+(L96))+(M96))+(N96))+(O96))+(P96))+(Q96))+(R96))+(S96))+(T96))+(U96))+(V96))+(W96))+(X96))+(Y96))+(Z96))+(AA96))+(AB96))+(AC96))+(AD96))+(AE96))+(AF96)</f>
        <v>785711.2200000002</v>
      </c>
    </row>
    <row r="97" spans="1:33" x14ac:dyDescent="0.25">
      <c r="A97" s="3"/>
      <c r="B97" s="4"/>
      <c r="C97" s="4"/>
      <c r="D97" s="4"/>
      <c r="E97" s="4"/>
      <c r="F97" s="4"/>
      <c r="G97" s="4"/>
      <c r="H97" s="4"/>
      <c r="I97" s="4"/>
      <c r="J97" s="4"/>
      <c r="K97" s="4"/>
      <c r="L97" s="4"/>
      <c r="M97" s="4"/>
      <c r="N97" s="4"/>
      <c r="O97" s="4"/>
      <c r="P97" s="4"/>
      <c r="Q97" s="4"/>
      <c r="R97" s="4"/>
      <c r="S97" s="4"/>
      <c r="T97" s="4"/>
      <c r="U97" s="4"/>
      <c r="V97" s="4"/>
      <c r="W97" s="4"/>
      <c r="X97" s="4"/>
      <c r="Y97" s="4"/>
      <c r="Z97" s="4"/>
      <c r="AA97" s="4"/>
      <c r="AB97" s="4"/>
      <c r="AC97" s="4"/>
      <c r="AD97" s="4"/>
      <c r="AE97" s="4"/>
      <c r="AF97" s="4"/>
      <c r="AG97" s="4"/>
    </row>
    <row r="100" spans="1:33" x14ac:dyDescent="0.25">
      <c r="A100" s="8" t="s">
        <v>123</v>
      </c>
      <c r="B100" s="9"/>
      <c r="C100" s="9"/>
      <c r="D100" s="9"/>
      <c r="E100" s="9"/>
      <c r="F100" s="9"/>
      <c r="G100" s="9"/>
      <c r="H100" s="9"/>
      <c r="I100" s="9"/>
      <c r="J100" s="9"/>
      <c r="K100" s="9"/>
      <c r="L100" s="9"/>
      <c r="M100" s="9"/>
      <c r="N100" s="9"/>
      <c r="O100" s="9"/>
      <c r="P100" s="9"/>
      <c r="Q100" s="9"/>
      <c r="R100" s="9"/>
      <c r="S100" s="9"/>
      <c r="T100" s="9"/>
      <c r="U100" s="9"/>
      <c r="V100" s="9"/>
      <c r="W100" s="9"/>
      <c r="X100" s="9"/>
      <c r="Y100" s="9"/>
      <c r="Z100" s="9"/>
      <c r="AA100" s="9"/>
      <c r="AB100" s="9"/>
      <c r="AC100" s="9"/>
      <c r="AD100" s="9"/>
      <c r="AE100" s="9"/>
      <c r="AF100" s="9"/>
      <c r="AG100" s="9"/>
    </row>
  </sheetData>
  <mergeCells count="4">
    <mergeCell ref="A100:AG100"/>
    <mergeCell ref="A1:AG1"/>
    <mergeCell ref="A2:AG2"/>
    <mergeCell ref="A3:AG3"/>
  </mergeCells>
  <pageMargins left="0.7" right="0.7" top="0.75" bottom="0.75" header="0.3" footer="0.3"/>
  <pageSetup paperSize="5" scale="4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Profit and Loss by Class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Jessica Faust</cp:lastModifiedBy>
  <cp:lastPrinted>2023-02-07T17:19:49Z</cp:lastPrinted>
  <dcterms:created xsi:type="dcterms:W3CDTF">2023-02-07T17:13:17Z</dcterms:created>
  <dcterms:modified xsi:type="dcterms:W3CDTF">2023-02-27T13:01:27Z</dcterms:modified>
</cp:coreProperties>
</file>