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BOOKKEEPER\Board Reports\2022-23\"/>
    </mc:Choice>
  </mc:AlternateContent>
  <xr:revisionPtr revIDLastSave="0" documentId="13_ncr:1_{4A78FCE4-9D93-4D61-B99B-24D3FF16716C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Profit and Loss by Class" sheetId="1" r:id="rId1"/>
  </sheets>
  <calcPr calcId="191029"/>
</workbook>
</file>

<file path=xl/calcChain.xml><?xml version="1.0" encoding="utf-8"?>
<calcChain xmlns="http://schemas.openxmlformats.org/spreadsheetml/2006/main">
  <c r="AE92" i="1" l="1"/>
  <c r="AC92" i="1"/>
  <c r="AB92" i="1"/>
  <c r="X92" i="1"/>
  <c r="T92" i="1"/>
  <c r="P92" i="1"/>
  <c r="N92" i="1"/>
  <c r="I92" i="1"/>
  <c r="H92" i="1"/>
  <c r="D92" i="1"/>
  <c r="C92" i="1"/>
  <c r="AD91" i="1"/>
  <c r="AD92" i="1" s="1"/>
  <c r="AB91" i="1"/>
  <c r="AA91" i="1"/>
  <c r="AA92" i="1" s="1"/>
  <c r="Z91" i="1"/>
  <c r="Y91" i="1"/>
  <c r="Y92" i="1" s="1"/>
  <c r="X91" i="1"/>
  <c r="W91" i="1"/>
  <c r="V91" i="1"/>
  <c r="V92" i="1" s="1"/>
  <c r="U91" i="1"/>
  <c r="U92" i="1" s="1"/>
  <c r="T91" i="1"/>
  <c r="S91" i="1"/>
  <c r="S92" i="1" s="1"/>
  <c r="R91" i="1"/>
  <c r="R92" i="1" s="1"/>
  <c r="Q91" i="1"/>
  <c r="Q92" i="1" s="1"/>
  <c r="P91" i="1"/>
  <c r="O91" i="1"/>
  <c r="O92" i="1" s="1"/>
  <c r="M91" i="1"/>
  <c r="M92" i="1" s="1"/>
  <c r="L91" i="1"/>
  <c r="L92" i="1" s="1"/>
  <c r="K91" i="1"/>
  <c r="K92" i="1" s="1"/>
  <c r="J91" i="1"/>
  <c r="J92" i="1" s="1"/>
  <c r="I91" i="1"/>
  <c r="H91" i="1"/>
  <c r="G91" i="1"/>
  <c r="F91" i="1"/>
  <c r="F92" i="1" s="1"/>
  <c r="E91" i="1"/>
  <c r="E92" i="1" s="1"/>
  <c r="AF90" i="1"/>
  <c r="B90" i="1"/>
  <c r="AF89" i="1"/>
  <c r="G89" i="1"/>
  <c r="Z88" i="1"/>
  <c r="Z92" i="1" s="1"/>
  <c r="X88" i="1"/>
  <c r="W88" i="1"/>
  <c r="W92" i="1" s="1"/>
  <c r="G88" i="1"/>
  <c r="AF88" i="1" s="1"/>
  <c r="B88" i="1"/>
  <c r="B92" i="1" s="1"/>
  <c r="AF87" i="1"/>
  <c r="AC86" i="1"/>
  <c r="AB86" i="1"/>
  <c r="AA86" i="1"/>
  <c r="V86" i="1"/>
  <c r="T86" i="1"/>
  <c r="S86" i="1"/>
  <c r="P86" i="1"/>
  <c r="O86" i="1"/>
  <c r="M86" i="1"/>
  <c r="K86" i="1"/>
  <c r="J86" i="1"/>
  <c r="I86" i="1"/>
  <c r="H86" i="1"/>
  <c r="F86" i="1"/>
  <c r="D86" i="1"/>
  <c r="C86" i="1"/>
  <c r="AF85" i="1"/>
  <c r="B85" i="1"/>
  <c r="AA84" i="1"/>
  <c r="Z84" i="1"/>
  <c r="X84" i="1"/>
  <c r="W84" i="1"/>
  <c r="S84" i="1"/>
  <c r="O84" i="1"/>
  <c r="N84" i="1"/>
  <c r="N86" i="1" s="1"/>
  <c r="G84" i="1"/>
  <c r="AF84" i="1" s="1"/>
  <c r="E84" i="1"/>
  <c r="B84" i="1"/>
  <c r="AE83" i="1"/>
  <c r="AE86" i="1" s="1"/>
  <c r="AD83" i="1"/>
  <c r="Z83" i="1"/>
  <c r="Y83" i="1"/>
  <c r="X83" i="1"/>
  <c r="W83" i="1"/>
  <c r="U83" i="1"/>
  <c r="U86" i="1" s="1"/>
  <c r="S83" i="1"/>
  <c r="R83" i="1"/>
  <c r="O83" i="1"/>
  <c r="L83" i="1"/>
  <c r="L86" i="1" s="1"/>
  <c r="I83" i="1"/>
  <c r="G83" i="1"/>
  <c r="G86" i="1" s="1"/>
  <c r="E83" i="1"/>
  <c r="B83" i="1"/>
  <c r="AD82" i="1"/>
  <c r="Z82" i="1"/>
  <c r="Y82" i="1"/>
  <c r="Y86" i="1" s="1"/>
  <c r="X82" i="1"/>
  <c r="W82" i="1"/>
  <c r="W86" i="1" s="1"/>
  <c r="S82" i="1"/>
  <c r="R82" i="1"/>
  <c r="G82" i="1"/>
  <c r="E82" i="1"/>
  <c r="E86" i="1" s="1"/>
  <c r="B82" i="1"/>
  <c r="B86" i="1" s="1"/>
  <c r="AE81" i="1"/>
  <c r="AD81" i="1"/>
  <c r="AD86" i="1" s="1"/>
  <c r="Z81" i="1"/>
  <c r="Z86" i="1" s="1"/>
  <c r="X81" i="1"/>
  <c r="X86" i="1" s="1"/>
  <c r="W81" i="1"/>
  <c r="R81" i="1"/>
  <c r="R86" i="1" s="1"/>
  <c r="Q81" i="1"/>
  <c r="Q86" i="1" s="1"/>
  <c r="AF80" i="1"/>
  <c r="AE79" i="1"/>
  <c r="AC79" i="1"/>
  <c r="AB79" i="1"/>
  <c r="AA79" i="1"/>
  <c r="V79" i="1"/>
  <c r="U79" i="1"/>
  <c r="T79" i="1"/>
  <c r="S79" i="1"/>
  <c r="Q79" i="1"/>
  <c r="M79" i="1"/>
  <c r="K79" i="1"/>
  <c r="J79" i="1"/>
  <c r="F79" i="1"/>
  <c r="S78" i="1"/>
  <c r="G78" i="1"/>
  <c r="AF78" i="1" s="1"/>
  <c r="B78" i="1"/>
  <c r="AE77" i="1"/>
  <c r="AD77" i="1"/>
  <c r="Z77" i="1"/>
  <c r="Y77" i="1"/>
  <c r="X77" i="1"/>
  <c r="W77" i="1"/>
  <c r="W79" i="1" s="1"/>
  <c r="S77" i="1"/>
  <c r="R77" i="1"/>
  <c r="P77" i="1"/>
  <c r="P79" i="1" s="1"/>
  <c r="O77" i="1"/>
  <c r="O79" i="1" s="1"/>
  <c r="N77" i="1"/>
  <c r="L77" i="1"/>
  <c r="K77" i="1"/>
  <c r="H77" i="1"/>
  <c r="H79" i="1" s="1"/>
  <c r="G77" i="1"/>
  <c r="E77" i="1"/>
  <c r="D77" i="1"/>
  <c r="D79" i="1" s="1"/>
  <c r="C77" i="1"/>
  <c r="C79" i="1" s="1"/>
  <c r="B77" i="1"/>
  <c r="AF77" i="1" s="1"/>
  <c r="Z76" i="1"/>
  <c r="Y76" i="1"/>
  <c r="O76" i="1"/>
  <c r="N76" i="1"/>
  <c r="N79" i="1" s="1"/>
  <c r="L76" i="1"/>
  <c r="L79" i="1" s="1"/>
  <c r="I76" i="1"/>
  <c r="I79" i="1" s="1"/>
  <c r="G76" i="1"/>
  <c r="E76" i="1"/>
  <c r="AF76" i="1" s="1"/>
  <c r="B76" i="1"/>
  <c r="X75" i="1"/>
  <c r="W75" i="1"/>
  <c r="G75" i="1"/>
  <c r="B75" i="1"/>
  <c r="AF75" i="1" s="1"/>
  <c r="AD74" i="1"/>
  <c r="AD79" i="1" s="1"/>
  <c r="Z74" i="1"/>
  <c r="Z79" i="1" s="1"/>
  <c r="Y74" i="1"/>
  <c r="Y79" i="1" s="1"/>
  <c r="X74" i="1"/>
  <c r="W74" i="1"/>
  <c r="S74" i="1"/>
  <c r="R74" i="1"/>
  <c r="R79" i="1" s="1"/>
  <c r="I74" i="1"/>
  <c r="G74" i="1"/>
  <c r="E74" i="1"/>
  <c r="E79" i="1" s="1"/>
  <c r="B74" i="1"/>
  <c r="AF74" i="1" s="1"/>
  <c r="W73" i="1"/>
  <c r="G73" i="1"/>
  <c r="B73" i="1"/>
  <c r="AF73" i="1" s="1"/>
  <c r="X72" i="1"/>
  <c r="X79" i="1" s="1"/>
  <c r="W72" i="1"/>
  <c r="G72" i="1"/>
  <c r="G79" i="1" s="1"/>
  <c r="B72" i="1"/>
  <c r="B79" i="1" s="1"/>
  <c r="AF71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G69" i="1"/>
  <c r="B69" i="1"/>
  <c r="B70" i="1" s="1"/>
  <c r="AF70" i="1" s="1"/>
  <c r="G68" i="1"/>
  <c r="AF68" i="1" s="1"/>
  <c r="B68" i="1"/>
  <c r="AF67" i="1"/>
  <c r="AE66" i="1"/>
  <c r="AD66" i="1"/>
  <c r="AC66" i="1"/>
  <c r="Y66" i="1"/>
  <c r="V66" i="1"/>
  <c r="U66" i="1"/>
  <c r="T66" i="1"/>
  <c r="S66" i="1"/>
  <c r="Q66" i="1"/>
  <c r="P66" i="1"/>
  <c r="N66" i="1"/>
  <c r="M66" i="1"/>
  <c r="L66" i="1"/>
  <c r="K66" i="1"/>
  <c r="J66" i="1"/>
  <c r="I66" i="1"/>
  <c r="H66" i="1"/>
  <c r="F66" i="1"/>
  <c r="E66" i="1"/>
  <c r="D66" i="1"/>
  <c r="C66" i="1"/>
  <c r="AF65" i="1"/>
  <c r="G65" i="1"/>
  <c r="Z64" i="1"/>
  <c r="R64" i="1"/>
  <c r="G64" i="1"/>
  <c r="B64" i="1"/>
  <c r="AF64" i="1" s="1"/>
  <c r="Z63" i="1"/>
  <c r="AF63" i="1" s="1"/>
  <c r="E63" i="1"/>
  <c r="B63" i="1"/>
  <c r="AB62" i="1"/>
  <c r="AB66" i="1" s="1"/>
  <c r="AA62" i="1"/>
  <c r="AA66" i="1" s="1"/>
  <c r="Z62" i="1"/>
  <c r="Z66" i="1" s="1"/>
  <c r="X62" i="1"/>
  <c r="X66" i="1" s="1"/>
  <c r="W62" i="1"/>
  <c r="O62" i="1"/>
  <c r="O66" i="1" s="1"/>
  <c r="G62" i="1"/>
  <c r="E62" i="1"/>
  <c r="B62" i="1"/>
  <c r="AF62" i="1" s="1"/>
  <c r="G61" i="1"/>
  <c r="B61" i="1"/>
  <c r="AF61" i="1" s="1"/>
  <c r="AF60" i="1"/>
  <c r="W60" i="1"/>
  <c r="W66" i="1" s="1"/>
  <c r="R60" i="1"/>
  <c r="R66" i="1" s="1"/>
  <c r="E60" i="1"/>
  <c r="AF59" i="1"/>
  <c r="G59" i="1"/>
  <c r="B59" i="1"/>
  <c r="G58" i="1"/>
  <c r="AF58" i="1" s="1"/>
  <c r="B58" i="1"/>
  <c r="G57" i="1"/>
  <c r="B57" i="1"/>
  <c r="AF57" i="1" s="1"/>
  <c r="G56" i="1"/>
  <c r="G66" i="1" s="1"/>
  <c r="B56" i="1"/>
  <c r="B66" i="1" s="1"/>
  <c r="AF55" i="1"/>
  <c r="AE54" i="1"/>
  <c r="AD54" i="1"/>
  <c r="Z54" i="1"/>
  <c r="Y54" i="1"/>
  <c r="S54" i="1"/>
  <c r="L54" i="1"/>
  <c r="K54" i="1"/>
  <c r="I54" i="1"/>
  <c r="G54" i="1"/>
  <c r="E54" i="1"/>
  <c r="B54" i="1"/>
  <c r="AF54" i="1" s="1"/>
  <c r="AC53" i="1"/>
  <c r="AB53" i="1"/>
  <c r="AA53" i="1"/>
  <c r="Y53" i="1"/>
  <c r="X53" i="1"/>
  <c r="V53" i="1"/>
  <c r="U53" i="1"/>
  <c r="P53" i="1"/>
  <c r="N53" i="1"/>
  <c r="M53" i="1"/>
  <c r="H53" i="1"/>
  <c r="F53" i="1"/>
  <c r="D53" i="1"/>
  <c r="C53" i="1"/>
  <c r="AD52" i="1"/>
  <c r="AD53" i="1" s="1"/>
  <c r="Z52" i="1"/>
  <c r="Y52" i="1"/>
  <c r="X52" i="1"/>
  <c r="W52" i="1"/>
  <c r="S52" i="1"/>
  <c r="P52" i="1"/>
  <c r="L52" i="1"/>
  <c r="K52" i="1"/>
  <c r="K53" i="1" s="1"/>
  <c r="I52" i="1"/>
  <c r="G52" i="1"/>
  <c r="E52" i="1"/>
  <c r="AF52" i="1" s="1"/>
  <c r="B52" i="1"/>
  <c r="G51" i="1"/>
  <c r="B51" i="1"/>
  <c r="AF51" i="1" s="1"/>
  <c r="AF50" i="1"/>
  <c r="AE50" i="1"/>
  <c r="AE53" i="1" s="1"/>
  <c r="B50" i="1"/>
  <c r="Z49" i="1"/>
  <c r="Z53" i="1" s="1"/>
  <c r="Y49" i="1"/>
  <c r="X49" i="1"/>
  <c r="W49" i="1"/>
  <c r="W53" i="1" s="1"/>
  <c r="T49" i="1"/>
  <c r="T53" i="1" s="1"/>
  <c r="S49" i="1"/>
  <c r="S53" i="1" s="1"/>
  <c r="R49" i="1"/>
  <c r="R53" i="1" s="1"/>
  <c r="Q49" i="1"/>
  <c r="Q53" i="1" s="1"/>
  <c r="P49" i="1"/>
  <c r="O49" i="1"/>
  <c r="O53" i="1" s="1"/>
  <c r="L49" i="1"/>
  <c r="L53" i="1" s="1"/>
  <c r="J49" i="1"/>
  <c r="J53" i="1" s="1"/>
  <c r="I49" i="1"/>
  <c r="I53" i="1" s="1"/>
  <c r="G49" i="1"/>
  <c r="G53" i="1" s="1"/>
  <c r="E49" i="1"/>
  <c r="B49" i="1"/>
  <c r="B53" i="1" s="1"/>
  <c r="AF48" i="1"/>
  <c r="AE47" i="1"/>
  <c r="M47" i="1"/>
  <c r="J47" i="1"/>
  <c r="F47" i="1"/>
  <c r="D47" i="1"/>
  <c r="C47" i="1"/>
  <c r="AD46" i="1"/>
  <c r="AC46" i="1"/>
  <c r="AB46" i="1"/>
  <c r="AA46" i="1"/>
  <c r="Z46" i="1"/>
  <c r="Y46" i="1"/>
  <c r="X46" i="1"/>
  <c r="W46" i="1"/>
  <c r="U46" i="1"/>
  <c r="S46" i="1"/>
  <c r="O46" i="1"/>
  <c r="N46" i="1"/>
  <c r="K46" i="1"/>
  <c r="I46" i="1"/>
  <c r="H46" i="1"/>
  <c r="E46" i="1"/>
  <c r="AF46" i="1" s="1"/>
  <c r="AC45" i="1"/>
  <c r="Z45" i="1"/>
  <c r="Y45" i="1"/>
  <c r="U45" i="1"/>
  <c r="S45" i="1"/>
  <c r="R45" i="1"/>
  <c r="R47" i="1" s="1"/>
  <c r="Q45" i="1"/>
  <c r="P45" i="1"/>
  <c r="I45" i="1"/>
  <c r="G45" i="1"/>
  <c r="E45" i="1"/>
  <c r="AF45" i="1" s="1"/>
  <c r="S44" i="1"/>
  <c r="B44" i="1"/>
  <c r="AF44" i="1" s="1"/>
  <c r="B43" i="1"/>
  <c r="AF43" i="1" s="1"/>
  <c r="AD42" i="1"/>
  <c r="AC42" i="1"/>
  <c r="AC47" i="1" s="1"/>
  <c r="AB42" i="1"/>
  <c r="AA42" i="1"/>
  <c r="Z42" i="1"/>
  <c r="Z47" i="1" s="1"/>
  <c r="Y42" i="1"/>
  <c r="X42" i="1"/>
  <c r="W42" i="1"/>
  <c r="U42" i="1"/>
  <c r="T42" i="1"/>
  <c r="S42" i="1"/>
  <c r="O42" i="1"/>
  <c r="N42" i="1"/>
  <c r="K42" i="1"/>
  <c r="I42" i="1"/>
  <c r="H42" i="1"/>
  <c r="E42" i="1"/>
  <c r="AF42" i="1" s="1"/>
  <c r="X41" i="1"/>
  <c r="W41" i="1"/>
  <c r="V41" i="1"/>
  <c r="T41" i="1"/>
  <c r="S41" i="1"/>
  <c r="Q41" i="1"/>
  <c r="M41" i="1"/>
  <c r="G41" i="1"/>
  <c r="AF41" i="1" s="1"/>
  <c r="B41" i="1"/>
  <c r="AD40" i="1"/>
  <c r="AC40" i="1"/>
  <c r="AB40" i="1"/>
  <c r="AA40" i="1"/>
  <c r="Z40" i="1"/>
  <c r="Y40" i="1"/>
  <c r="X40" i="1"/>
  <c r="W40" i="1"/>
  <c r="U40" i="1"/>
  <c r="S40" i="1"/>
  <c r="R40" i="1"/>
  <c r="Q40" i="1"/>
  <c r="P40" i="1"/>
  <c r="O40" i="1"/>
  <c r="N40" i="1"/>
  <c r="L40" i="1"/>
  <c r="K40" i="1"/>
  <c r="I40" i="1"/>
  <c r="H40" i="1"/>
  <c r="G40" i="1"/>
  <c r="E40" i="1"/>
  <c r="B40" i="1"/>
  <c r="AF40" i="1" s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P47" i="1" s="1"/>
  <c r="O39" i="1"/>
  <c r="N39" i="1"/>
  <c r="M39" i="1"/>
  <c r="L39" i="1"/>
  <c r="L47" i="1" s="1"/>
  <c r="K39" i="1"/>
  <c r="I39" i="1"/>
  <c r="H39" i="1"/>
  <c r="G39" i="1"/>
  <c r="F39" i="1"/>
  <c r="E39" i="1"/>
  <c r="B39" i="1"/>
  <c r="AF39" i="1" s="1"/>
  <c r="X38" i="1"/>
  <c r="W38" i="1"/>
  <c r="V38" i="1"/>
  <c r="V47" i="1" s="1"/>
  <c r="T38" i="1"/>
  <c r="T47" i="1" s="1"/>
  <c r="S38" i="1"/>
  <c r="Q38" i="1"/>
  <c r="Q47" i="1" s="1"/>
  <c r="M38" i="1"/>
  <c r="G38" i="1"/>
  <c r="G47" i="1" s="1"/>
  <c r="F38" i="1"/>
  <c r="B38" i="1"/>
  <c r="AF38" i="1" s="1"/>
  <c r="AD37" i="1"/>
  <c r="AD47" i="1" s="1"/>
  <c r="AC37" i="1"/>
  <c r="AB37" i="1"/>
  <c r="AB47" i="1" s="1"/>
  <c r="AA37" i="1"/>
  <c r="AA47" i="1" s="1"/>
  <c r="Z37" i="1"/>
  <c r="Y37" i="1"/>
  <c r="Y47" i="1" s="1"/>
  <c r="X37" i="1"/>
  <c r="X47" i="1" s="1"/>
  <c r="W37" i="1"/>
  <c r="W47" i="1" s="1"/>
  <c r="U37" i="1"/>
  <c r="U47" i="1" s="1"/>
  <c r="S37" i="1"/>
  <c r="O37" i="1"/>
  <c r="O47" i="1" s="1"/>
  <c r="N37" i="1"/>
  <c r="N47" i="1" s="1"/>
  <c r="K37" i="1"/>
  <c r="K47" i="1" s="1"/>
  <c r="I37" i="1"/>
  <c r="I47" i="1" s="1"/>
  <c r="H37" i="1"/>
  <c r="H47" i="1" s="1"/>
  <c r="E37" i="1"/>
  <c r="AF36" i="1"/>
  <c r="S36" i="1"/>
  <c r="S47" i="1" s="1"/>
  <c r="B36" i="1"/>
  <c r="AE35" i="1"/>
  <c r="AA35" i="1"/>
  <c r="T35" i="1"/>
  <c r="T93" i="1" s="1"/>
  <c r="S35" i="1"/>
  <c r="S93" i="1" s="1"/>
  <c r="P35" i="1"/>
  <c r="L35" i="1"/>
  <c r="K35" i="1"/>
  <c r="J35" i="1"/>
  <c r="D35" i="1"/>
  <c r="D93" i="1" s="1"/>
  <c r="C35" i="1"/>
  <c r="C93" i="1" s="1"/>
  <c r="X34" i="1"/>
  <c r="X35" i="1" s="1"/>
  <c r="W34" i="1"/>
  <c r="V34" i="1"/>
  <c r="V35" i="1" s="1"/>
  <c r="V93" i="1" s="1"/>
  <c r="T34" i="1"/>
  <c r="S34" i="1"/>
  <c r="Q34" i="1"/>
  <c r="M34" i="1"/>
  <c r="M35" i="1" s="1"/>
  <c r="M93" i="1" s="1"/>
  <c r="G34" i="1"/>
  <c r="F34" i="1"/>
  <c r="F35" i="1" s="1"/>
  <c r="F93" i="1" s="1"/>
  <c r="B34" i="1"/>
  <c r="AF34" i="1" s="1"/>
  <c r="AD33" i="1"/>
  <c r="AD35" i="1" s="1"/>
  <c r="AC33" i="1"/>
  <c r="AC35" i="1" s="1"/>
  <c r="AB33" i="1"/>
  <c r="AB35" i="1" s="1"/>
  <c r="AA33" i="1"/>
  <c r="Z33" i="1"/>
  <c r="Z35" i="1" s="1"/>
  <c r="Y33" i="1"/>
  <c r="Y35" i="1" s="1"/>
  <c r="X33" i="1"/>
  <c r="W33" i="1"/>
  <c r="W35" i="1" s="1"/>
  <c r="W93" i="1" s="1"/>
  <c r="U33" i="1"/>
  <c r="U35" i="1" s="1"/>
  <c r="S33" i="1"/>
  <c r="R33" i="1"/>
  <c r="R35" i="1" s="1"/>
  <c r="Q33" i="1"/>
  <c r="Q35" i="1" s="1"/>
  <c r="P33" i="1"/>
  <c r="O33" i="1"/>
  <c r="O35" i="1" s="1"/>
  <c r="N33" i="1"/>
  <c r="N35" i="1" s="1"/>
  <c r="N93" i="1" s="1"/>
  <c r="L33" i="1"/>
  <c r="K33" i="1"/>
  <c r="I33" i="1"/>
  <c r="I35" i="1" s="1"/>
  <c r="H33" i="1"/>
  <c r="H35" i="1" s="1"/>
  <c r="G33" i="1"/>
  <c r="G35" i="1" s="1"/>
  <c r="E33" i="1"/>
  <c r="E35" i="1" s="1"/>
  <c r="B33" i="1"/>
  <c r="AF33" i="1" s="1"/>
  <c r="AF32" i="1"/>
  <c r="AC30" i="1"/>
  <c r="AC29" i="1"/>
  <c r="T29" i="1"/>
  <c r="T30" i="1" s="1"/>
  <c r="D29" i="1"/>
  <c r="D30" i="1" s="1"/>
  <c r="AE28" i="1"/>
  <c r="AD28" i="1"/>
  <c r="AC28" i="1"/>
  <c r="AA28" i="1"/>
  <c r="X28" i="1"/>
  <c r="T28" i="1"/>
  <c r="S28" i="1"/>
  <c r="P28" i="1"/>
  <c r="O28" i="1"/>
  <c r="N28" i="1"/>
  <c r="M28" i="1"/>
  <c r="L28" i="1"/>
  <c r="K28" i="1"/>
  <c r="H28" i="1"/>
  <c r="G28" i="1"/>
  <c r="F28" i="1"/>
  <c r="D28" i="1"/>
  <c r="C28" i="1"/>
  <c r="B28" i="1"/>
  <c r="AB27" i="1"/>
  <c r="AB28" i="1" s="1"/>
  <c r="AB29" i="1" s="1"/>
  <c r="AB30" i="1" s="1"/>
  <c r="AA27" i="1"/>
  <c r="Z27" i="1"/>
  <c r="Z28" i="1" s="1"/>
  <c r="Y27" i="1"/>
  <c r="Y28" i="1" s="1"/>
  <c r="Y29" i="1" s="1"/>
  <c r="Y30" i="1" s="1"/>
  <c r="X27" i="1"/>
  <c r="W27" i="1"/>
  <c r="W28" i="1" s="1"/>
  <c r="U27" i="1"/>
  <c r="U28" i="1" s="1"/>
  <c r="U29" i="1" s="1"/>
  <c r="U30" i="1" s="1"/>
  <c r="S27" i="1"/>
  <c r="K27" i="1"/>
  <c r="J27" i="1"/>
  <c r="J28" i="1" s="1"/>
  <c r="I27" i="1"/>
  <c r="I28" i="1" s="1"/>
  <c r="I29" i="1" s="1"/>
  <c r="I30" i="1" s="1"/>
  <c r="H27" i="1"/>
  <c r="E27" i="1"/>
  <c r="AF27" i="1" s="1"/>
  <c r="AF26" i="1"/>
  <c r="V26" i="1"/>
  <c r="V28" i="1" s="1"/>
  <c r="T26" i="1"/>
  <c r="Q26" i="1"/>
  <c r="Q28" i="1" s="1"/>
  <c r="Q29" i="1" s="1"/>
  <c r="Q30" i="1" s="1"/>
  <c r="AF25" i="1"/>
  <c r="R25" i="1"/>
  <c r="R28" i="1" s="1"/>
  <c r="B24" i="1"/>
  <c r="AF24" i="1" s="1"/>
  <c r="AF23" i="1"/>
  <c r="B23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O22" i="1"/>
  <c r="N22" i="1"/>
  <c r="M22" i="1"/>
  <c r="K22" i="1"/>
  <c r="J22" i="1"/>
  <c r="I22" i="1"/>
  <c r="H22" i="1"/>
  <c r="G22" i="1"/>
  <c r="F22" i="1"/>
  <c r="E22" i="1"/>
  <c r="D22" i="1"/>
  <c r="C22" i="1"/>
  <c r="B22" i="1"/>
  <c r="AF22" i="1" s="1"/>
  <c r="AF21" i="1"/>
  <c r="G21" i="1"/>
  <c r="AF20" i="1"/>
  <c r="P20" i="1"/>
  <c r="P22" i="1" s="1"/>
  <c r="L20" i="1"/>
  <c r="L22" i="1" s="1"/>
  <c r="L29" i="1" s="1"/>
  <c r="L30" i="1" s="1"/>
  <c r="G20" i="1"/>
  <c r="AE19" i="1"/>
  <c r="AE29" i="1" s="1"/>
  <c r="AE30" i="1" s="1"/>
  <c r="AC19" i="1"/>
  <c r="AB19" i="1"/>
  <c r="AA19" i="1"/>
  <c r="AA29" i="1" s="1"/>
  <c r="AA30" i="1" s="1"/>
  <c r="Z19" i="1"/>
  <c r="Y19" i="1"/>
  <c r="X19" i="1"/>
  <c r="X29" i="1" s="1"/>
  <c r="X30" i="1" s="1"/>
  <c r="W19" i="1"/>
  <c r="V19" i="1"/>
  <c r="V29" i="1" s="1"/>
  <c r="V30" i="1" s="1"/>
  <c r="V94" i="1" s="1"/>
  <c r="V95" i="1" s="1"/>
  <c r="U19" i="1"/>
  <c r="T19" i="1"/>
  <c r="S19" i="1"/>
  <c r="S29" i="1" s="1"/>
  <c r="S30" i="1" s="1"/>
  <c r="Q19" i="1"/>
  <c r="P19" i="1"/>
  <c r="O19" i="1"/>
  <c r="O29" i="1" s="1"/>
  <c r="O30" i="1" s="1"/>
  <c r="L19" i="1"/>
  <c r="K19" i="1"/>
  <c r="K29" i="1" s="1"/>
  <c r="K30" i="1" s="1"/>
  <c r="J19" i="1"/>
  <c r="J29" i="1" s="1"/>
  <c r="J30" i="1" s="1"/>
  <c r="I19" i="1"/>
  <c r="H19" i="1"/>
  <c r="H29" i="1" s="1"/>
  <c r="H30" i="1" s="1"/>
  <c r="G19" i="1"/>
  <c r="G29" i="1" s="1"/>
  <c r="G30" i="1" s="1"/>
  <c r="E19" i="1"/>
  <c r="D19" i="1"/>
  <c r="C19" i="1"/>
  <c r="C29" i="1" s="1"/>
  <c r="C30" i="1" s="1"/>
  <c r="C94" i="1" s="1"/>
  <c r="C95" i="1" s="1"/>
  <c r="G18" i="1"/>
  <c r="AF18" i="1" s="1"/>
  <c r="AF17" i="1"/>
  <c r="C17" i="1"/>
  <c r="B17" i="1"/>
  <c r="AF16" i="1"/>
  <c r="B16" i="1"/>
  <c r="M15" i="1"/>
  <c r="B15" i="1"/>
  <c r="AF15" i="1" s="1"/>
  <c r="AF14" i="1"/>
  <c r="B14" i="1"/>
  <c r="B13" i="1"/>
  <c r="AF13" i="1" s="1"/>
  <c r="AF12" i="1"/>
  <c r="B12" i="1"/>
  <c r="AD11" i="1"/>
  <c r="AD19" i="1" s="1"/>
  <c r="AD29" i="1" s="1"/>
  <c r="AD30" i="1" s="1"/>
  <c r="R11" i="1"/>
  <c r="R19" i="1" s="1"/>
  <c r="R29" i="1" s="1"/>
  <c r="R30" i="1" s="1"/>
  <c r="M11" i="1"/>
  <c r="M19" i="1" s="1"/>
  <c r="M29" i="1" s="1"/>
  <c r="M30" i="1" s="1"/>
  <c r="F11" i="1"/>
  <c r="F19" i="1" s="1"/>
  <c r="F29" i="1" s="1"/>
  <c r="F30" i="1" s="1"/>
  <c r="F94" i="1" s="1"/>
  <c r="F95" i="1" s="1"/>
  <c r="B11" i="1"/>
  <c r="AF11" i="1" s="1"/>
  <c r="AF10" i="1"/>
  <c r="O10" i="1"/>
  <c r="N10" i="1"/>
  <c r="B9" i="1"/>
  <c r="AF9" i="1" s="1"/>
  <c r="AE8" i="1"/>
  <c r="N8" i="1"/>
  <c r="N19" i="1" s="1"/>
  <c r="N29" i="1" s="1"/>
  <c r="N30" i="1" s="1"/>
  <c r="B8" i="1"/>
  <c r="B19" i="1" s="1"/>
  <c r="G7" i="1"/>
  <c r="AF7" i="1" s="1"/>
  <c r="N94" i="1" l="1"/>
  <c r="N95" i="1" s="1"/>
  <c r="M94" i="1"/>
  <c r="M95" i="1" s="1"/>
  <c r="W29" i="1"/>
  <c r="W30" i="1" s="1"/>
  <c r="W94" i="1" s="1"/>
  <c r="W95" i="1" s="1"/>
  <c r="O93" i="1"/>
  <c r="Y93" i="1"/>
  <c r="AA93" i="1"/>
  <c r="X93" i="1"/>
  <c r="X94" i="1" s="1"/>
  <c r="X95" i="1" s="1"/>
  <c r="R94" i="1"/>
  <c r="R95" i="1" s="1"/>
  <c r="O94" i="1"/>
  <c r="O95" i="1" s="1"/>
  <c r="P29" i="1"/>
  <c r="P30" i="1" s="1"/>
  <c r="J93" i="1"/>
  <c r="J94" i="1" s="1"/>
  <c r="J95" i="1" s="1"/>
  <c r="AF66" i="1"/>
  <c r="Q93" i="1"/>
  <c r="Z29" i="1"/>
  <c r="Z30" i="1" s="1"/>
  <c r="D94" i="1"/>
  <c r="D95" i="1" s="1"/>
  <c r="H93" i="1"/>
  <c r="R93" i="1"/>
  <c r="AB93" i="1"/>
  <c r="AB94" i="1" s="1"/>
  <c r="AB95" i="1" s="1"/>
  <c r="K93" i="1"/>
  <c r="K94" i="1" s="1"/>
  <c r="K95" i="1" s="1"/>
  <c r="AF79" i="1"/>
  <c r="AC94" i="1"/>
  <c r="AC95" i="1" s="1"/>
  <c r="AE93" i="1"/>
  <c r="AE94" i="1" s="1"/>
  <c r="AE95" i="1" s="1"/>
  <c r="H94" i="1"/>
  <c r="H95" i="1" s="1"/>
  <c r="AA94" i="1"/>
  <c r="AA95" i="1" s="1"/>
  <c r="Y94" i="1"/>
  <c r="Y95" i="1" s="1"/>
  <c r="T94" i="1"/>
  <c r="T95" i="1" s="1"/>
  <c r="I93" i="1"/>
  <c r="I94" i="1" s="1"/>
  <c r="I95" i="1" s="1"/>
  <c r="AC93" i="1"/>
  <c r="L93" i="1"/>
  <c r="B29" i="1"/>
  <c r="AF19" i="1"/>
  <c r="Q94" i="1"/>
  <c r="Q95" i="1" s="1"/>
  <c r="L94" i="1"/>
  <c r="L95" i="1" s="1"/>
  <c r="Z93" i="1"/>
  <c r="S94" i="1"/>
  <c r="S95" i="1" s="1"/>
  <c r="U93" i="1"/>
  <c r="U94" i="1" s="1"/>
  <c r="U95" i="1" s="1"/>
  <c r="AD93" i="1"/>
  <c r="AD94" i="1" s="1"/>
  <c r="AD95" i="1" s="1"/>
  <c r="P93" i="1"/>
  <c r="AF86" i="1"/>
  <c r="B47" i="1"/>
  <c r="AF49" i="1"/>
  <c r="E53" i="1"/>
  <c r="AF53" i="1" s="1"/>
  <c r="AF8" i="1"/>
  <c r="B35" i="1"/>
  <c r="AF81" i="1"/>
  <c r="AF56" i="1"/>
  <c r="AF72" i="1"/>
  <c r="G92" i="1"/>
  <c r="G93" i="1" s="1"/>
  <c r="G94" i="1" s="1"/>
  <c r="G95" i="1" s="1"/>
  <c r="AF37" i="1"/>
  <c r="E28" i="1"/>
  <c r="E29" i="1" s="1"/>
  <c r="E30" i="1" s="1"/>
  <c r="AF82" i="1"/>
  <c r="AF83" i="1"/>
  <c r="AF91" i="1"/>
  <c r="E47" i="1"/>
  <c r="E93" i="1" s="1"/>
  <c r="AF69" i="1"/>
  <c r="AF47" i="1" l="1"/>
  <c r="AF92" i="1"/>
  <c r="E94" i="1"/>
  <c r="E95" i="1" s="1"/>
  <c r="P94" i="1"/>
  <c r="P95" i="1" s="1"/>
  <c r="AF28" i="1"/>
  <c r="Z94" i="1"/>
  <c r="Z95" i="1" s="1"/>
  <c r="B30" i="1"/>
  <c r="AF29" i="1"/>
  <c r="B93" i="1"/>
  <c r="AF93" i="1" s="1"/>
  <c r="AF35" i="1"/>
  <c r="AF30" i="1" l="1"/>
  <c r="B94" i="1"/>
  <c r="B95" i="1" l="1"/>
  <c r="AF95" i="1" s="1"/>
  <c r="AF94" i="1"/>
</calcChain>
</file>

<file path=xl/sharedStrings.xml><?xml version="1.0" encoding="utf-8"?>
<sst xmlns="http://schemas.openxmlformats.org/spreadsheetml/2006/main" count="124" uniqueCount="124">
  <si>
    <t>0010 - Operations</t>
  </si>
  <si>
    <t>0025 - Staff Account</t>
  </si>
  <si>
    <t>0060 - WHS Crusade for Children</t>
  </si>
  <si>
    <t>0065 - CRRSA</t>
  </si>
  <si>
    <t>0110 - NKYEC</t>
  </si>
  <si>
    <t>1100 - RSP</t>
  </si>
  <si>
    <t>1130 - DEI Support</t>
  </si>
  <si>
    <t>1135 - DEI Grant</t>
  </si>
  <si>
    <t>1140 - DEI Training</t>
  </si>
  <si>
    <t>1260- Positive Action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</si>
  <si>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</si>
  <si>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</si>
  <si>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</si>
  <si>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</si>
  <si>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</si>
  <si>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</si>
  <si>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2200 - Mandarin Program</t>
  </si>
  <si>
    <t>2800 - Arts in Education</t>
  </si>
  <si>
    <t>2910 - DAIL</t>
  </si>
  <si>
    <t>3010 - FRYSC - Fed</t>
  </si>
  <si>
    <t>3220 - PERS Effectiveness Coach</t>
  </si>
  <si>
    <t>336I - IDEA-B 21-22</t>
  </si>
  <si>
    <t>336J - IDEA B 22-23</t>
  </si>
  <si>
    <t>3416- SPF</t>
  </si>
  <si>
    <t>3425 - Deeper Learning</t>
  </si>
  <si>
    <t>345I - Title III EL 21-22</t>
  </si>
  <si>
    <t>345J - Title III  EL 22-23</t>
  </si>
  <si>
    <t>3800 - Trauma Informed</t>
  </si>
  <si>
    <t>4101C - Arts Grant</t>
  </si>
  <si>
    <t>Not Specified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</si>
  <si>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</si>
  <si>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</si>
  <si>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</si>
  <si>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</si>
  <si>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</si>
  <si>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</si>
  <si>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</si>
  <si>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31913 SPONSORSHIP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</si>
  <si>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</si>
  <si>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</si>
  <si>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</si>
  <si>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31997 RENT</t>
  </si>
  <si>
    <t xml:space="preserve">      31999 MISC. REVENUES</t>
  </si>
  <si>
    <t xml:space="preserve">      33111 SEEK FUNDS/ADA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</si>
  <si>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</si>
  <si>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</si>
  <si>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</si>
  <si>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</si>
  <si>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</si>
  <si>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</si>
  <si>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</si>
  <si>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</si>
  <si>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</si>
  <si>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</si>
  <si>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</si>
  <si>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</si>
  <si>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</si>
  <si>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</si>
  <si>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</si>
  <si>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</si>
  <si>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</si>
  <si>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</si>
  <si>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</si>
  <si>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</si>
  <si>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</si>
  <si>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</si>
  <si>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</si>
  <si>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</si>
  <si>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</si>
  <si>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</si>
  <si>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</si>
  <si>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</si>
  <si>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</si>
  <si>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</si>
  <si>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</si>
  <si>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</si>
  <si>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</si>
  <si>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</si>
  <si>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</si>
  <si>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</si>
  <si>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</si>
  <si>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</si>
  <si>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</si>
  <si>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</si>
  <si>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</si>
  <si>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</si>
  <si>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</si>
  <si>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</si>
  <si>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</si>
  <si>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   40734 COMPUTERS</t>
  </si>
  <si>
    <t xml:space="preserve">      40850 BUILDING REPAIR FUND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</si>
  <si>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</si>
  <si>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</si>
  <si>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</si>
  <si>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</si>
  <si>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</si>
  <si>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</si>
  <si>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</si>
  <si>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</si>
  <si>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</si>
  <si>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40550 PRINTING</t>
  </si>
  <si>
    <t xml:space="preserve">      40605 FOOD</t>
  </si>
  <si>
    <t xml:space="preserve">      40610 SUPPLIES</t>
  </si>
  <si>
    <t xml:space="preserve">      40615 JANITORIAL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</si>
  <si>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</si>
  <si>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</si>
  <si>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</si>
  <si>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</si>
  <si>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</si>
  <si>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</si>
  <si>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</si>
  <si>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</si>
  <si>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</si>
  <si>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</si>
  <si>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40830 DISTRICT RECORD FEE</t>
  </si>
  <si>
    <t xml:space="preserve">      40899 OTHER MIISCELLANEOUS EXPENSES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</si>
  <si>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</si>
  <si>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</si>
  <si>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</si>
  <si>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</si>
  <si>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</si>
  <si>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</si>
  <si>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</si>
  <si>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- December,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</si>
</sst>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9"/>
  <sheetViews>
    <sheetView tabSelected="1" topLeftCell="A73" workbookViewId="0">
      <pane xSplit="1" topLeftCell="K1" activePane="topRight" state="frozen"/>
      <selection pane="topRight" activeCell="S43" sqref="S43"/>
    </sheetView>
  </sheetViews>
  <sheetFormatPr defaultRowHeight="15" x14ac:dyDescent="0.25"/>
  <cols>
    <col min="1" max="1" width="37.85546875" customWidth="1"/>
    <col min="2" max="2" width="10.28515625" customWidth="1"/>
    <col min="3" max="3" width="7.7109375" customWidth="1"/>
    <col min="4" max="5" width="10.28515625" customWidth="1"/>
    <col min="6" max="6" width="9.42578125" customWidth="1"/>
    <col min="7" max="7" width="12" customWidth="1"/>
    <col min="8" max="8" width="8.5703125" customWidth="1"/>
    <col min="9" max="9" width="11.140625" customWidth="1"/>
    <col min="10" max="10" width="9.42578125" customWidth="1"/>
    <col min="11" max="11" width="11.140625" customWidth="1"/>
    <col min="12" max="13" width="9.42578125" customWidth="1"/>
    <col min="14" max="14" width="8.5703125" customWidth="1"/>
    <col min="15" max="15" width="11.140625" customWidth="1"/>
    <col min="16" max="16" width="9.42578125" customWidth="1"/>
    <col min="17" max="17" width="10.28515625" customWidth="1"/>
    <col min="18" max="19" width="11.140625" customWidth="1"/>
    <col min="20" max="21" width="10.28515625" customWidth="1"/>
    <col min="22" max="22" width="9.42578125" customWidth="1"/>
    <col min="23" max="24" width="10.28515625" customWidth="1"/>
    <col min="25" max="25" width="11.140625" customWidth="1"/>
    <col min="26" max="26" width="10.28515625" customWidth="1"/>
    <col min="27" max="28" width="8.5703125" customWidth="1"/>
    <col min="29" max="30" width="10.28515625" customWidth="1"/>
    <col min="31" max="31" width="7.7109375" customWidth="1"/>
    <col min="32" max="32" width="12" customWidth="1"/>
  </cols>
  <sheetData>
    <row r="1" spans="1:32" ht="18" x14ac:dyDescent="0.25">
      <c r="A1" s="10" t="s">
        <v>121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18" x14ac:dyDescent="0.25">
      <c r="A2" s="10" t="s">
        <v>122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</row>
    <row r="3" spans="1:32" x14ac:dyDescent="0.25">
      <c r="A3" s="11" t="s">
        <v>123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5" spans="1:32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  <c r="AC5" s="2" t="s">
        <v>27</v>
      </c>
      <c r="AD5" s="2" t="s">
        <v>28</v>
      </c>
      <c r="AE5" s="2" t="s">
        <v>29</v>
      </c>
      <c r="AF5" s="2" t="s">
        <v>30</v>
      </c>
    </row>
    <row r="6" spans="1:32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3" t="s">
        <v>32</v>
      </c>
      <c r="B7" s="4"/>
      <c r="C7" s="4"/>
      <c r="D7" s="4"/>
      <c r="E7" s="4"/>
      <c r="F7" s="4"/>
      <c r="G7" s="5">
        <f>5500</f>
        <v>5500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5">
        <f t="shared" ref="AF7:AF30" si="0">(((((((((((((((((((((((((((((B7)+(C7))+(D7))+(E7))+(F7))+(G7))+(H7))+(I7))+(J7))+(K7))+(L7))+(M7))+(N7))+(O7))+(P7))+(Q7))+(R7))+(S7))+(T7))+(U7))+(V7))+(W7))+(X7))+(Y7))+(Z7))+(AA7))+(AB7))+(AC7))+(AD7))+(AE7)</f>
        <v>5500</v>
      </c>
    </row>
    <row r="8" spans="1:32" x14ac:dyDescent="0.25">
      <c r="A8" s="3" t="s">
        <v>33</v>
      </c>
      <c r="B8" s="5">
        <f>248126.97</f>
        <v>248126.97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>
        <f>400</f>
        <v>400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5">
        <f>0</f>
        <v>0</v>
      </c>
      <c r="AF8" s="5">
        <f t="shared" si="0"/>
        <v>248526.97</v>
      </c>
    </row>
    <row r="9" spans="1:32" x14ac:dyDescent="0.25">
      <c r="A9" s="3" t="s">
        <v>34</v>
      </c>
      <c r="B9" s="5">
        <f>27191.47</f>
        <v>27191.47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5">
        <f t="shared" si="0"/>
        <v>27191.47</v>
      </c>
    </row>
    <row r="10" spans="1:32" x14ac:dyDescent="0.25">
      <c r="A10" s="3" t="s">
        <v>35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">
        <f>7600</f>
        <v>7600</v>
      </c>
      <c r="O10" s="5">
        <f>16775</f>
        <v>16775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5">
        <f t="shared" si="0"/>
        <v>24375</v>
      </c>
    </row>
    <row r="11" spans="1:32" x14ac:dyDescent="0.25">
      <c r="A11" s="3" t="s">
        <v>36</v>
      </c>
      <c r="B11" s="5">
        <f>35000</f>
        <v>35000</v>
      </c>
      <c r="C11" s="4"/>
      <c r="D11" s="4"/>
      <c r="E11" s="4"/>
      <c r="F11" s="5">
        <f>25886.2</f>
        <v>25886.2</v>
      </c>
      <c r="G11" s="4"/>
      <c r="H11" s="4"/>
      <c r="I11" s="4"/>
      <c r="J11" s="4"/>
      <c r="K11" s="4"/>
      <c r="L11" s="4"/>
      <c r="M11" s="5">
        <f>45766.66</f>
        <v>45766.66</v>
      </c>
      <c r="N11" s="4"/>
      <c r="O11" s="4"/>
      <c r="P11" s="4"/>
      <c r="Q11" s="4"/>
      <c r="R11" s="5">
        <f>518363</f>
        <v>518363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5">
        <f>226410.85</f>
        <v>226410.85</v>
      </c>
      <c r="AE11" s="4"/>
      <c r="AF11" s="5">
        <f t="shared" si="0"/>
        <v>851426.71</v>
      </c>
    </row>
    <row r="12" spans="1:32" x14ac:dyDescent="0.25">
      <c r="A12" s="3" t="s">
        <v>37</v>
      </c>
      <c r="B12" s="5">
        <f>750</f>
        <v>750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5">
        <f t="shared" si="0"/>
        <v>750</v>
      </c>
    </row>
    <row r="13" spans="1:32" x14ac:dyDescent="0.25">
      <c r="A13" s="3" t="s">
        <v>38</v>
      </c>
      <c r="B13" s="5">
        <f>10938.55</f>
        <v>10938.55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5">
        <f t="shared" si="0"/>
        <v>10938.55</v>
      </c>
    </row>
    <row r="14" spans="1:32" x14ac:dyDescent="0.25">
      <c r="A14" s="3" t="s">
        <v>39</v>
      </c>
      <c r="B14" s="5">
        <f>29092.25</f>
        <v>29092.25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5">
        <f t="shared" si="0"/>
        <v>29092.25</v>
      </c>
    </row>
    <row r="15" spans="1:32" x14ac:dyDescent="0.25">
      <c r="A15" s="3" t="s">
        <v>40</v>
      </c>
      <c r="B15" s="5">
        <f>369149.86</f>
        <v>369149.86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5">
        <f>3661.32</f>
        <v>3661.32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5">
        <f t="shared" si="0"/>
        <v>372811.18</v>
      </c>
    </row>
    <row r="16" spans="1:32" x14ac:dyDescent="0.25">
      <c r="A16" s="3" t="s">
        <v>41</v>
      </c>
      <c r="B16" s="5">
        <f>54700</f>
        <v>54700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5">
        <f t="shared" si="0"/>
        <v>54700</v>
      </c>
    </row>
    <row r="17" spans="1:32" x14ac:dyDescent="0.25">
      <c r="A17" s="3" t="s">
        <v>42</v>
      </c>
      <c r="B17" s="5">
        <f>1875.04</f>
        <v>1875.04</v>
      </c>
      <c r="C17" s="5">
        <f>190</f>
        <v>190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5">
        <f t="shared" si="0"/>
        <v>2065.04</v>
      </c>
    </row>
    <row r="18" spans="1:32" x14ac:dyDescent="0.25">
      <c r="A18" s="3" t="s">
        <v>43</v>
      </c>
      <c r="B18" s="4"/>
      <c r="C18" s="4"/>
      <c r="D18" s="4"/>
      <c r="E18" s="4"/>
      <c r="F18" s="4"/>
      <c r="G18" s="5">
        <f>97757.98</f>
        <v>97757.98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5">
        <f t="shared" si="0"/>
        <v>97757.98</v>
      </c>
    </row>
    <row r="19" spans="1:32" x14ac:dyDescent="0.25">
      <c r="A19" s="3" t="s">
        <v>44</v>
      </c>
      <c r="B19" s="6">
        <f t="shared" ref="B19:AE19" si="1">(((((((((((B7)+(B8))+(B9))+(B10))+(B11))+(B12))+(B13))+(B14))+(B15))+(B16))+(B17))+(B18)</f>
        <v>776824.14</v>
      </c>
      <c r="C19" s="6">
        <f t="shared" si="1"/>
        <v>190</v>
      </c>
      <c r="D19" s="6">
        <f t="shared" si="1"/>
        <v>0</v>
      </c>
      <c r="E19" s="6">
        <f t="shared" si="1"/>
        <v>0</v>
      </c>
      <c r="F19" s="6">
        <f t="shared" si="1"/>
        <v>25886.2</v>
      </c>
      <c r="G19" s="6">
        <f t="shared" si="1"/>
        <v>103257.98</v>
      </c>
      <c r="H19" s="6">
        <f t="shared" si="1"/>
        <v>0</v>
      </c>
      <c r="I19" s="6">
        <f t="shared" si="1"/>
        <v>0</v>
      </c>
      <c r="J19" s="6">
        <f t="shared" si="1"/>
        <v>0</v>
      </c>
      <c r="K19" s="6">
        <f t="shared" si="1"/>
        <v>0</v>
      </c>
      <c r="L19" s="6">
        <f t="shared" si="1"/>
        <v>0</v>
      </c>
      <c r="M19" s="6">
        <f t="shared" si="1"/>
        <v>49427.98</v>
      </c>
      <c r="N19" s="6">
        <f t="shared" si="1"/>
        <v>8000</v>
      </c>
      <c r="O19" s="6">
        <f t="shared" si="1"/>
        <v>16775</v>
      </c>
      <c r="P19" s="6">
        <f t="shared" si="1"/>
        <v>0</v>
      </c>
      <c r="Q19" s="6">
        <f t="shared" si="1"/>
        <v>0</v>
      </c>
      <c r="R19" s="6">
        <f t="shared" si="1"/>
        <v>518363</v>
      </c>
      <c r="S19" s="6">
        <f t="shared" si="1"/>
        <v>0</v>
      </c>
      <c r="T19" s="6">
        <f t="shared" si="1"/>
        <v>0</v>
      </c>
      <c r="U19" s="6">
        <f t="shared" si="1"/>
        <v>0</v>
      </c>
      <c r="V19" s="6">
        <f t="shared" si="1"/>
        <v>0</v>
      </c>
      <c r="W19" s="6">
        <f t="shared" si="1"/>
        <v>0</v>
      </c>
      <c r="X19" s="6">
        <f t="shared" si="1"/>
        <v>0</v>
      </c>
      <c r="Y19" s="6">
        <f t="shared" si="1"/>
        <v>0</v>
      </c>
      <c r="Z19" s="6">
        <f t="shared" si="1"/>
        <v>0</v>
      </c>
      <c r="AA19" s="6">
        <f t="shared" si="1"/>
        <v>0</v>
      </c>
      <c r="AB19" s="6">
        <f t="shared" si="1"/>
        <v>0</v>
      </c>
      <c r="AC19" s="6">
        <f t="shared" si="1"/>
        <v>0</v>
      </c>
      <c r="AD19" s="6">
        <f t="shared" si="1"/>
        <v>226410.85</v>
      </c>
      <c r="AE19" s="6">
        <f t="shared" si="1"/>
        <v>0</v>
      </c>
      <c r="AF19" s="6">
        <f t="shared" si="0"/>
        <v>1725135.15</v>
      </c>
    </row>
    <row r="20" spans="1:32" x14ac:dyDescent="0.25">
      <c r="A20" s="3" t="s">
        <v>45</v>
      </c>
      <c r="B20" s="4"/>
      <c r="C20" s="4"/>
      <c r="D20" s="4"/>
      <c r="E20" s="4"/>
      <c r="F20" s="4"/>
      <c r="G20" s="5">
        <f>1665483.78</f>
        <v>1665483.78</v>
      </c>
      <c r="H20" s="4"/>
      <c r="I20" s="4"/>
      <c r="J20" s="4"/>
      <c r="K20" s="4"/>
      <c r="L20" s="5">
        <f>64481.9</f>
        <v>64481.9</v>
      </c>
      <c r="M20" s="4"/>
      <c r="N20" s="4"/>
      <c r="O20" s="4"/>
      <c r="P20" s="5">
        <f>70559.5</f>
        <v>70559.5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5">
        <f t="shared" si="0"/>
        <v>1800525.18</v>
      </c>
    </row>
    <row r="21" spans="1:32" x14ac:dyDescent="0.25">
      <c r="A21" s="3" t="s">
        <v>46</v>
      </c>
      <c r="B21" s="4"/>
      <c r="C21" s="4"/>
      <c r="D21" s="4"/>
      <c r="E21" s="4"/>
      <c r="F21" s="4"/>
      <c r="G21" s="5">
        <f>27093.14</f>
        <v>27093.14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5">
        <f t="shared" si="0"/>
        <v>27093.14</v>
      </c>
    </row>
    <row r="22" spans="1:32" x14ac:dyDescent="0.25">
      <c r="A22" s="3" t="s">
        <v>47</v>
      </c>
      <c r="B22" s="6">
        <f t="shared" ref="B22:AE22" si="2">(B20)+(B21)</f>
        <v>0</v>
      </c>
      <c r="C22" s="6">
        <f t="shared" si="2"/>
        <v>0</v>
      </c>
      <c r="D22" s="6">
        <f t="shared" si="2"/>
        <v>0</v>
      </c>
      <c r="E22" s="6">
        <f t="shared" si="2"/>
        <v>0</v>
      </c>
      <c r="F22" s="6">
        <f t="shared" si="2"/>
        <v>0</v>
      </c>
      <c r="G22" s="6">
        <f t="shared" si="2"/>
        <v>1692576.92</v>
      </c>
      <c r="H22" s="6">
        <f t="shared" si="2"/>
        <v>0</v>
      </c>
      <c r="I22" s="6">
        <f t="shared" si="2"/>
        <v>0</v>
      </c>
      <c r="J22" s="6">
        <f t="shared" si="2"/>
        <v>0</v>
      </c>
      <c r="K22" s="6">
        <f t="shared" si="2"/>
        <v>0</v>
      </c>
      <c r="L22" s="6">
        <f t="shared" si="2"/>
        <v>64481.9</v>
      </c>
      <c r="M22" s="6">
        <f t="shared" si="2"/>
        <v>0</v>
      </c>
      <c r="N22" s="6">
        <f t="shared" si="2"/>
        <v>0</v>
      </c>
      <c r="O22" s="6">
        <f t="shared" si="2"/>
        <v>0</v>
      </c>
      <c r="P22" s="6">
        <f t="shared" si="2"/>
        <v>70559.5</v>
      </c>
      <c r="Q22" s="6">
        <f t="shared" si="2"/>
        <v>0</v>
      </c>
      <c r="R22" s="6">
        <f t="shared" si="2"/>
        <v>0</v>
      </c>
      <c r="S22" s="6">
        <f t="shared" si="2"/>
        <v>0</v>
      </c>
      <c r="T22" s="6">
        <f t="shared" si="2"/>
        <v>0</v>
      </c>
      <c r="U22" s="6">
        <f t="shared" si="2"/>
        <v>0</v>
      </c>
      <c r="V22" s="6">
        <f t="shared" si="2"/>
        <v>0</v>
      </c>
      <c r="W22" s="6">
        <f t="shared" si="2"/>
        <v>0</v>
      </c>
      <c r="X22" s="6">
        <f t="shared" si="2"/>
        <v>0</v>
      </c>
      <c r="Y22" s="6">
        <f t="shared" si="2"/>
        <v>0</v>
      </c>
      <c r="Z22" s="6">
        <f t="shared" si="2"/>
        <v>0</v>
      </c>
      <c r="AA22" s="6">
        <f t="shared" si="2"/>
        <v>0</v>
      </c>
      <c r="AB22" s="6">
        <f t="shared" si="2"/>
        <v>0</v>
      </c>
      <c r="AC22" s="6">
        <f t="shared" si="2"/>
        <v>0</v>
      </c>
      <c r="AD22" s="6">
        <f t="shared" si="2"/>
        <v>0</v>
      </c>
      <c r="AE22" s="6">
        <f t="shared" si="2"/>
        <v>0</v>
      </c>
      <c r="AF22" s="6">
        <f t="shared" si="0"/>
        <v>1827618.3199999998</v>
      </c>
    </row>
    <row r="23" spans="1:32" x14ac:dyDescent="0.25">
      <c r="A23" s="3" t="s">
        <v>48</v>
      </c>
      <c r="B23" s="5">
        <f>52920</f>
        <v>52920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5">
        <f t="shared" si="0"/>
        <v>52920</v>
      </c>
    </row>
    <row r="24" spans="1:32" x14ac:dyDescent="0.25">
      <c r="A24" s="3" t="s">
        <v>49</v>
      </c>
      <c r="B24" s="5">
        <f>22506.93</f>
        <v>22506.93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5">
        <f t="shared" si="0"/>
        <v>22506.93</v>
      </c>
    </row>
    <row r="25" spans="1:32" x14ac:dyDescent="0.25">
      <c r="A25" s="3" t="s">
        <v>50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5">
        <f>-133705</f>
        <v>-133705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5">
        <f t="shared" si="0"/>
        <v>-133705</v>
      </c>
    </row>
    <row r="26" spans="1:32" x14ac:dyDescent="0.25">
      <c r="A26" s="3" t="s">
        <v>51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5">
        <f>434426.34</f>
        <v>434426.34</v>
      </c>
      <c r="R26" s="4"/>
      <c r="S26" s="4"/>
      <c r="T26" s="5">
        <f>370296.15</f>
        <v>370296.15</v>
      </c>
      <c r="U26" s="4"/>
      <c r="V26" s="5">
        <f>43496.24</f>
        <v>43496.24</v>
      </c>
      <c r="W26" s="4"/>
      <c r="X26" s="4"/>
      <c r="Y26" s="4"/>
      <c r="Z26" s="4"/>
      <c r="AA26" s="4"/>
      <c r="AB26" s="4"/>
      <c r="AC26" s="4"/>
      <c r="AD26" s="4"/>
      <c r="AE26" s="4"/>
      <c r="AF26" s="5">
        <f t="shared" si="0"/>
        <v>848218.73</v>
      </c>
    </row>
    <row r="27" spans="1:32" x14ac:dyDescent="0.25">
      <c r="A27" s="3" t="s">
        <v>52</v>
      </c>
      <c r="B27" s="4"/>
      <c r="C27" s="4"/>
      <c r="D27" s="4"/>
      <c r="E27" s="5">
        <f>288200.53</f>
        <v>288200.53000000003</v>
      </c>
      <c r="F27" s="4"/>
      <c r="G27" s="4"/>
      <c r="H27" s="5">
        <f>7528.17</f>
        <v>7528.17</v>
      </c>
      <c r="I27" s="5">
        <f>18733.95</f>
        <v>18733.95</v>
      </c>
      <c r="J27" s="5">
        <f>50000</f>
        <v>50000</v>
      </c>
      <c r="K27" s="5">
        <f>61418.68</f>
        <v>61418.68</v>
      </c>
      <c r="L27" s="4"/>
      <c r="M27" s="4"/>
      <c r="N27" s="4"/>
      <c r="O27" s="4"/>
      <c r="P27" s="4"/>
      <c r="Q27" s="4"/>
      <c r="R27" s="4"/>
      <c r="S27" s="5">
        <f>415874.59</f>
        <v>415874.59</v>
      </c>
      <c r="T27" s="4"/>
      <c r="U27" s="5">
        <f>243425.01</f>
        <v>243425.01</v>
      </c>
      <c r="V27" s="4"/>
      <c r="W27" s="5">
        <f>296862.41</f>
        <v>296862.40999999997</v>
      </c>
      <c r="X27" s="5">
        <f>255715</f>
        <v>255715</v>
      </c>
      <c r="Y27" s="5">
        <f>140999.13</f>
        <v>140999.13</v>
      </c>
      <c r="Z27" s="5">
        <f>230274.85</f>
        <v>230274.85</v>
      </c>
      <c r="AA27" s="5">
        <f>6590</f>
        <v>6590</v>
      </c>
      <c r="AB27" s="5">
        <f>4373</f>
        <v>4373</v>
      </c>
      <c r="AC27" s="4"/>
      <c r="AD27" s="4"/>
      <c r="AE27" s="4"/>
      <c r="AF27" s="5">
        <f t="shared" si="0"/>
        <v>2019995.3200000003</v>
      </c>
    </row>
    <row r="28" spans="1:32" x14ac:dyDescent="0.25">
      <c r="A28" s="3" t="s">
        <v>53</v>
      </c>
      <c r="B28" s="6">
        <f t="shared" ref="B28:AE28" si="3">((B25)+(B26))+(B27)</f>
        <v>0</v>
      </c>
      <c r="C28" s="6">
        <f t="shared" si="3"/>
        <v>0</v>
      </c>
      <c r="D28" s="6">
        <f t="shared" si="3"/>
        <v>0</v>
      </c>
      <c r="E28" s="6">
        <f t="shared" si="3"/>
        <v>288200.53000000003</v>
      </c>
      <c r="F28" s="6">
        <f t="shared" si="3"/>
        <v>0</v>
      </c>
      <c r="G28" s="6">
        <f t="shared" si="3"/>
        <v>0</v>
      </c>
      <c r="H28" s="6">
        <f t="shared" si="3"/>
        <v>7528.17</v>
      </c>
      <c r="I28" s="6">
        <f t="shared" si="3"/>
        <v>18733.95</v>
      </c>
      <c r="J28" s="6">
        <f t="shared" si="3"/>
        <v>50000</v>
      </c>
      <c r="K28" s="6">
        <f t="shared" si="3"/>
        <v>61418.68</v>
      </c>
      <c r="L28" s="6">
        <f t="shared" si="3"/>
        <v>0</v>
      </c>
      <c r="M28" s="6">
        <f t="shared" si="3"/>
        <v>0</v>
      </c>
      <c r="N28" s="6">
        <f t="shared" si="3"/>
        <v>0</v>
      </c>
      <c r="O28" s="6">
        <f t="shared" si="3"/>
        <v>0</v>
      </c>
      <c r="P28" s="6">
        <f t="shared" si="3"/>
        <v>0</v>
      </c>
      <c r="Q28" s="6">
        <f t="shared" si="3"/>
        <v>434426.34</v>
      </c>
      <c r="R28" s="6">
        <f t="shared" si="3"/>
        <v>-133705</v>
      </c>
      <c r="S28" s="6">
        <f t="shared" si="3"/>
        <v>415874.59</v>
      </c>
      <c r="T28" s="6">
        <f t="shared" si="3"/>
        <v>370296.15</v>
      </c>
      <c r="U28" s="6">
        <f t="shared" si="3"/>
        <v>243425.01</v>
      </c>
      <c r="V28" s="6">
        <f t="shared" si="3"/>
        <v>43496.24</v>
      </c>
      <c r="W28" s="6">
        <f t="shared" si="3"/>
        <v>296862.40999999997</v>
      </c>
      <c r="X28" s="6">
        <f t="shared" si="3"/>
        <v>255715</v>
      </c>
      <c r="Y28" s="6">
        <f t="shared" si="3"/>
        <v>140999.13</v>
      </c>
      <c r="Z28" s="6">
        <f t="shared" si="3"/>
        <v>230274.85</v>
      </c>
      <c r="AA28" s="6">
        <f t="shared" si="3"/>
        <v>6590</v>
      </c>
      <c r="AB28" s="6">
        <f t="shared" si="3"/>
        <v>4373</v>
      </c>
      <c r="AC28" s="6">
        <f t="shared" si="3"/>
        <v>0</v>
      </c>
      <c r="AD28" s="6">
        <f t="shared" si="3"/>
        <v>0</v>
      </c>
      <c r="AE28" s="6">
        <f t="shared" si="3"/>
        <v>0</v>
      </c>
      <c r="AF28" s="6">
        <f t="shared" si="0"/>
        <v>2734509.0500000003</v>
      </c>
    </row>
    <row r="29" spans="1:32" x14ac:dyDescent="0.25">
      <c r="A29" s="3" t="s">
        <v>54</v>
      </c>
      <c r="B29" s="6">
        <f t="shared" ref="B29:AE29" si="4">((((B19)+(B22))+(B23))+(B24))+(B28)</f>
        <v>852251.07000000007</v>
      </c>
      <c r="C29" s="6">
        <f t="shared" si="4"/>
        <v>190</v>
      </c>
      <c r="D29" s="6">
        <f t="shared" si="4"/>
        <v>0</v>
      </c>
      <c r="E29" s="6">
        <f t="shared" si="4"/>
        <v>288200.53000000003</v>
      </c>
      <c r="F29" s="6">
        <f t="shared" si="4"/>
        <v>25886.2</v>
      </c>
      <c r="G29" s="6">
        <f t="shared" si="4"/>
        <v>1795834.9</v>
      </c>
      <c r="H29" s="6">
        <f t="shared" si="4"/>
        <v>7528.17</v>
      </c>
      <c r="I29" s="6">
        <f t="shared" si="4"/>
        <v>18733.95</v>
      </c>
      <c r="J29" s="6">
        <f t="shared" si="4"/>
        <v>50000</v>
      </c>
      <c r="K29" s="6">
        <f t="shared" si="4"/>
        <v>61418.68</v>
      </c>
      <c r="L29" s="6">
        <f t="shared" si="4"/>
        <v>64481.9</v>
      </c>
      <c r="M29" s="6">
        <f t="shared" si="4"/>
        <v>49427.98</v>
      </c>
      <c r="N29" s="6">
        <f t="shared" si="4"/>
        <v>8000</v>
      </c>
      <c r="O29" s="6">
        <f t="shared" si="4"/>
        <v>16775</v>
      </c>
      <c r="P29" s="6">
        <f t="shared" si="4"/>
        <v>70559.5</v>
      </c>
      <c r="Q29" s="6">
        <f t="shared" si="4"/>
        <v>434426.34</v>
      </c>
      <c r="R29" s="6">
        <f t="shared" si="4"/>
        <v>384658</v>
      </c>
      <c r="S29" s="6">
        <f t="shared" si="4"/>
        <v>415874.59</v>
      </c>
      <c r="T29" s="6">
        <f t="shared" si="4"/>
        <v>370296.15</v>
      </c>
      <c r="U29" s="6">
        <f t="shared" si="4"/>
        <v>243425.01</v>
      </c>
      <c r="V29" s="6">
        <f t="shared" si="4"/>
        <v>43496.24</v>
      </c>
      <c r="W29" s="6">
        <f t="shared" si="4"/>
        <v>296862.40999999997</v>
      </c>
      <c r="X29" s="6">
        <f t="shared" si="4"/>
        <v>255715</v>
      </c>
      <c r="Y29" s="6">
        <f t="shared" si="4"/>
        <v>140999.13</v>
      </c>
      <c r="Z29" s="6">
        <f t="shared" si="4"/>
        <v>230274.85</v>
      </c>
      <c r="AA29" s="6">
        <f t="shared" si="4"/>
        <v>6590</v>
      </c>
      <c r="AB29" s="6">
        <f t="shared" si="4"/>
        <v>4373</v>
      </c>
      <c r="AC29" s="6">
        <f t="shared" si="4"/>
        <v>0</v>
      </c>
      <c r="AD29" s="6">
        <f t="shared" si="4"/>
        <v>226410.85</v>
      </c>
      <c r="AE29" s="6">
        <f t="shared" si="4"/>
        <v>0</v>
      </c>
      <c r="AF29" s="6">
        <f t="shared" si="0"/>
        <v>6362689.4500000002</v>
      </c>
    </row>
    <row r="30" spans="1:32" x14ac:dyDescent="0.25">
      <c r="A30" s="3" t="s">
        <v>55</v>
      </c>
      <c r="B30" s="6">
        <f t="shared" ref="B30:AE30" si="5">(B29)-(0)</f>
        <v>852251.07000000007</v>
      </c>
      <c r="C30" s="6">
        <f t="shared" si="5"/>
        <v>190</v>
      </c>
      <c r="D30" s="6">
        <f t="shared" si="5"/>
        <v>0</v>
      </c>
      <c r="E30" s="6">
        <f t="shared" si="5"/>
        <v>288200.53000000003</v>
      </c>
      <c r="F30" s="6">
        <f t="shared" si="5"/>
        <v>25886.2</v>
      </c>
      <c r="G30" s="6">
        <f t="shared" si="5"/>
        <v>1795834.9</v>
      </c>
      <c r="H30" s="6">
        <f t="shared" si="5"/>
        <v>7528.17</v>
      </c>
      <c r="I30" s="6">
        <f t="shared" si="5"/>
        <v>18733.95</v>
      </c>
      <c r="J30" s="6">
        <f t="shared" si="5"/>
        <v>50000</v>
      </c>
      <c r="K30" s="6">
        <f t="shared" si="5"/>
        <v>61418.68</v>
      </c>
      <c r="L30" s="6">
        <f t="shared" si="5"/>
        <v>64481.9</v>
      </c>
      <c r="M30" s="6">
        <f t="shared" si="5"/>
        <v>49427.98</v>
      </c>
      <c r="N30" s="6">
        <f t="shared" si="5"/>
        <v>8000</v>
      </c>
      <c r="O30" s="6">
        <f t="shared" si="5"/>
        <v>16775</v>
      </c>
      <c r="P30" s="6">
        <f t="shared" si="5"/>
        <v>70559.5</v>
      </c>
      <c r="Q30" s="6">
        <f t="shared" si="5"/>
        <v>434426.34</v>
      </c>
      <c r="R30" s="6">
        <f t="shared" si="5"/>
        <v>384658</v>
      </c>
      <c r="S30" s="6">
        <f t="shared" si="5"/>
        <v>415874.59</v>
      </c>
      <c r="T30" s="6">
        <f t="shared" si="5"/>
        <v>370296.15</v>
      </c>
      <c r="U30" s="6">
        <f t="shared" si="5"/>
        <v>243425.01</v>
      </c>
      <c r="V30" s="6">
        <f t="shared" si="5"/>
        <v>43496.24</v>
      </c>
      <c r="W30" s="6">
        <f t="shared" si="5"/>
        <v>296862.40999999997</v>
      </c>
      <c r="X30" s="6">
        <f t="shared" si="5"/>
        <v>255715</v>
      </c>
      <c r="Y30" s="6">
        <f t="shared" si="5"/>
        <v>140999.13</v>
      </c>
      <c r="Z30" s="6">
        <f t="shared" si="5"/>
        <v>230274.85</v>
      </c>
      <c r="AA30" s="6">
        <f t="shared" si="5"/>
        <v>6590</v>
      </c>
      <c r="AB30" s="6">
        <f t="shared" si="5"/>
        <v>4373</v>
      </c>
      <c r="AC30" s="6">
        <f t="shared" si="5"/>
        <v>0</v>
      </c>
      <c r="AD30" s="6">
        <f t="shared" si="5"/>
        <v>226410.85</v>
      </c>
      <c r="AE30" s="6">
        <f t="shared" si="5"/>
        <v>0</v>
      </c>
      <c r="AF30" s="6">
        <f t="shared" si="0"/>
        <v>6362689.4500000002</v>
      </c>
    </row>
    <row r="31" spans="1:32" x14ac:dyDescent="0.25">
      <c r="A31" s="3" t="s">
        <v>56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 x14ac:dyDescent="0.25">
      <c r="A32" s="3" t="s">
        <v>57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5">
        <f t="shared" ref="AF32:AF63" si="6">(((((((((((((((((((((((((((((B32)+(C32))+(D32))+(E32))+(F32))+(G32))+(H32))+(I32))+(J32))+(K32))+(L32))+(M32))+(N32))+(O32))+(P32))+(Q32))+(R32))+(S32))+(T32))+(U32))+(V32))+(W32))+(X32))+(Y32))+(Z32))+(AA32))+(AB32))+(AC32))+(AD32))+(AE32)</f>
        <v>0</v>
      </c>
    </row>
    <row r="33" spans="1:32" x14ac:dyDescent="0.25">
      <c r="A33" s="3" t="s">
        <v>58</v>
      </c>
      <c r="B33" s="5">
        <f>134079.83</f>
        <v>134079.82999999999</v>
      </c>
      <c r="C33" s="4"/>
      <c r="D33" s="4"/>
      <c r="E33" s="5">
        <f>174435.11</f>
        <v>174435.11</v>
      </c>
      <c r="F33" s="4"/>
      <c r="G33" s="5">
        <f>385615.8</f>
        <v>385615.8</v>
      </c>
      <c r="H33" s="5">
        <f>5121.44</f>
        <v>5121.4399999999996</v>
      </c>
      <c r="I33" s="5">
        <f>37857.52</f>
        <v>37857.519999999997</v>
      </c>
      <c r="J33" s="4"/>
      <c r="K33" s="5">
        <f>51066.16</f>
        <v>51066.16</v>
      </c>
      <c r="L33" s="5">
        <f>49890.84</f>
        <v>49890.84</v>
      </c>
      <c r="M33" s="4"/>
      <c r="N33" s="5">
        <f>1203.93</f>
        <v>1203.93</v>
      </c>
      <c r="O33" s="5">
        <f>-887.11</f>
        <v>-887.11</v>
      </c>
      <c r="P33" s="5">
        <f>26735.28</f>
        <v>26735.279999999999</v>
      </c>
      <c r="Q33" s="5">
        <f>287136.45</f>
        <v>287136.45</v>
      </c>
      <c r="R33" s="5">
        <f>56730</f>
        <v>56730</v>
      </c>
      <c r="S33" s="5">
        <f>97904.42</f>
        <v>97904.42</v>
      </c>
      <c r="T33" s="4"/>
      <c r="U33" s="5">
        <f>56367.19</f>
        <v>56367.19</v>
      </c>
      <c r="V33" s="4"/>
      <c r="W33" s="5">
        <f>136876.84</f>
        <v>136876.84</v>
      </c>
      <c r="X33" s="5">
        <f>137700.59</f>
        <v>137700.59</v>
      </c>
      <c r="Y33" s="5">
        <f>93412.54</f>
        <v>93412.54</v>
      </c>
      <c r="Z33" s="5">
        <f>137080.48</f>
        <v>137080.48000000001</v>
      </c>
      <c r="AA33" s="5">
        <f>2410.4</f>
        <v>2410.4</v>
      </c>
      <c r="AB33" s="5">
        <f>2256.4</f>
        <v>2256.4</v>
      </c>
      <c r="AC33" s="5">
        <f>1319.23</f>
        <v>1319.23</v>
      </c>
      <c r="AD33" s="5">
        <f>25404.42</f>
        <v>25404.42</v>
      </c>
      <c r="AE33" s="4"/>
      <c r="AF33" s="5">
        <f t="shared" si="6"/>
        <v>1899717.7599999998</v>
      </c>
    </row>
    <row r="34" spans="1:32" x14ac:dyDescent="0.25">
      <c r="A34" s="3" t="s">
        <v>59</v>
      </c>
      <c r="B34" s="5">
        <f>130906.69</f>
        <v>130906.69</v>
      </c>
      <c r="C34" s="4"/>
      <c r="D34" s="4"/>
      <c r="E34" s="4"/>
      <c r="F34" s="5">
        <f>23062.56</f>
        <v>23062.560000000001</v>
      </c>
      <c r="G34" s="5">
        <f>88944.63</f>
        <v>88944.63</v>
      </c>
      <c r="H34" s="4"/>
      <c r="I34" s="4"/>
      <c r="J34" s="4"/>
      <c r="K34" s="4"/>
      <c r="L34" s="4"/>
      <c r="M34" s="5">
        <f>34165</f>
        <v>34165</v>
      </c>
      <c r="N34" s="4"/>
      <c r="O34" s="4"/>
      <c r="P34" s="4"/>
      <c r="Q34" s="5">
        <f>19064.04</f>
        <v>19064.04</v>
      </c>
      <c r="R34" s="4"/>
      <c r="S34" s="5">
        <f>11452.66</f>
        <v>11452.66</v>
      </c>
      <c r="T34" s="5">
        <f>246000.09</f>
        <v>246000.09</v>
      </c>
      <c r="U34" s="4"/>
      <c r="V34" s="5">
        <f>30000</f>
        <v>30000</v>
      </c>
      <c r="W34" s="5">
        <f>14322.48</f>
        <v>14322.48</v>
      </c>
      <c r="X34" s="5">
        <f>14322.42</f>
        <v>14322.42</v>
      </c>
      <c r="Y34" s="4"/>
      <c r="Z34" s="4"/>
      <c r="AA34" s="4"/>
      <c r="AB34" s="4"/>
      <c r="AC34" s="4"/>
      <c r="AD34" s="4"/>
      <c r="AE34" s="4"/>
      <c r="AF34" s="5">
        <f t="shared" si="6"/>
        <v>612240.56999999995</v>
      </c>
    </row>
    <row r="35" spans="1:32" x14ac:dyDescent="0.25">
      <c r="A35" s="3" t="s">
        <v>60</v>
      </c>
      <c r="B35" s="6">
        <f t="shared" ref="B35:AE35" si="7">((B32)+(B33))+(B34)</f>
        <v>264986.52</v>
      </c>
      <c r="C35" s="6">
        <f t="shared" si="7"/>
        <v>0</v>
      </c>
      <c r="D35" s="6">
        <f t="shared" si="7"/>
        <v>0</v>
      </c>
      <c r="E35" s="6">
        <f t="shared" si="7"/>
        <v>174435.11</v>
      </c>
      <c r="F35" s="6">
        <f t="shared" si="7"/>
        <v>23062.560000000001</v>
      </c>
      <c r="G35" s="6">
        <f t="shared" si="7"/>
        <v>474560.43</v>
      </c>
      <c r="H35" s="6">
        <f t="shared" si="7"/>
        <v>5121.4399999999996</v>
      </c>
      <c r="I35" s="6">
        <f t="shared" si="7"/>
        <v>37857.519999999997</v>
      </c>
      <c r="J35" s="6">
        <f t="shared" si="7"/>
        <v>0</v>
      </c>
      <c r="K35" s="6">
        <f t="shared" si="7"/>
        <v>51066.16</v>
      </c>
      <c r="L35" s="6">
        <f t="shared" si="7"/>
        <v>49890.84</v>
      </c>
      <c r="M35" s="6">
        <f t="shared" si="7"/>
        <v>34165</v>
      </c>
      <c r="N35" s="6">
        <f t="shared" si="7"/>
        <v>1203.93</v>
      </c>
      <c r="O35" s="6">
        <f t="shared" si="7"/>
        <v>-887.11</v>
      </c>
      <c r="P35" s="6">
        <f t="shared" si="7"/>
        <v>26735.279999999999</v>
      </c>
      <c r="Q35" s="6">
        <f t="shared" si="7"/>
        <v>306200.49</v>
      </c>
      <c r="R35" s="6">
        <f t="shared" si="7"/>
        <v>56730</v>
      </c>
      <c r="S35" s="6">
        <f t="shared" si="7"/>
        <v>109357.08</v>
      </c>
      <c r="T35" s="6">
        <f t="shared" si="7"/>
        <v>246000.09</v>
      </c>
      <c r="U35" s="6">
        <f t="shared" si="7"/>
        <v>56367.19</v>
      </c>
      <c r="V35" s="6">
        <f t="shared" si="7"/>
        <v>30000</v>
      </c>
      <c r="W35" s="6">
        <f t="shared" si="7"/>
        <v>151199.32</v>
      </c>
      <c r="X35" s="6">
        <f t="shared" si="7"/>
        <v>152023.01</v>
      </c>
      <c r="Y35" s="6">
        <f t="shared" si="7"/>
        <v>93412.54</v>
      </c>
      <c r="Z35" s="6">
        <f t="shared" si="7"/>
        <v>137080.48000000001</v>
      </c>
      <c r="AA35" s="6">
        <f t="shared" si="7"/>
        <v>2410.4</v>
      </c>
      <c r="AB35" s="6">
        <f t="shared" si="7"/>
        <v>2256.4</v>
      </c>
      <c r="AC35" s="6">
        <f t="shared" si="7"/>
        <v>1319.23</v>
      </c>
      <c r="AD35" s="6">
        <f t="shared" si="7"/>
        <v>25404.42</v>
      </c>
      <c r="AE35" s="6">
        <f t="shared" si="7"/>
        <v>0</v>
      </c>
      <c r="AF35" s="6">
        <f t="shared" si="6"/>
        <v>2511958.33</v>
      </c>
    </row>
    <row r="36" spans="1:32" x14ac:dyDescent="0.25">
      <c r="A36" s="3" t="s">
        <v>61</v>
      </c>
      <c r="B36" s="5">
        <f>0</f>
        <v>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5">
        <f>0</f>
        <v>0</v>
      </c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5">
        <f t="shared" si="6"/>
        <v>0</v>
      </c>
    </row>
    <row r="37" spans="1:32" x14ac:dyDescent="0.25">
      <c r="A37" s="3" t="s">
        <v>62</v>
      </c>
      <c r="B37" s="4"/>
      <c r="C37" s="4"/>
      <c r="D37" s="4"/>
      <c r="E37" s="5">
        <f>158.95</f>
        <v>158.94999999999999</v>
      </c>
      <c r="F37" s="4"/>
      <c r="G37" s="4"/>
      <c r="H37" s="5">
        <f>0.69</f>
        <v>0.69</v>
      </c>
      <c r="I37" s="5">
        <f>5.31</f>
        <v>5.31</v>
      </c>
      <c r="J37" s="4"/>
      <c r="K37" s="5">
        <f>6.42</f>
        <v>6.42</v>
      </c>
      <c r="L37" s="4"/>
      <c r="M37" s="4"/>
      <c r="N37" s="5">
        <f>0.19</f>
        <v>0.19</v>
      </c>
      <c r="O37" s="5">
        <f>-134.41</f>
        <v>-134.41</v>
      </c>
      <c r="P37" s="4"/>
      <c r="Q37" s="4"/>
      <c r="R37" s="4"/>
      <c r="S37" s="5">
        <f>3.72</f>
        <v>3.72</v>
      </c>
      <c r="T37" s="4"/>
      <c r="U37" s="5">
        <f>12</f>
        <v>12</v>
      </c>
      <c r="V37" s="4"/>
      <c r="W37" s="5">
        <f>19.71</f>
        <v>19.71</v>
      </c>
      <c r="X37" s="5">
        <f>21.84</f>
        <v>21.84</v>
      </c>
      <c r="Y37" s="5">
        <f>8.94</f>
        <v>8.94</v>
      </c>
      <c r="Z37" s="5">
        <f>14.78</f>
        <v>14.78</v>
      </c>
      <c r="AA37" s="5">
        <f>1</f>
        <v>1</v>
      </c>
      <c r="AB37" s="5">
        <f>0</f>
        <v>0</v>
      </c>
      <c r="AC37" s="5">
        <f>0.4</f>
        <v>0.4</v>
      </c>
      <c r="AD37" s="5">
        <f>3.72</f>
        <v>3.72</v>
      </c>
      <c r="AE37" s="4"/>
      <c r="AF37" s="5">
        <f t="shared" si="6"/>
        <v>123.25999999999999</v>
      </c>
    </row>
    <row r="38" spans="1:32" x14ac:dyDescent="0.25">
      <c r="A38" s="3" t="s">
        <v>63</v>
      </c>
      <c r="B38" s="5">
        <f>7464.12</f>
        <v>7464.12</v>
      </c>
      <c r="C38" s="4"/>
      <c r="D38" s="4"/>
      <c r="E38" s="4"/>
      <c r="F38" s="5">
        <f>1289.4</f>
        <v>1289.4000000000001</v>
      </c>
      <c r="G38" s="5">
        <f>5021.78</f>
        <v>5021.78</v>
      </c>
      <c r="H38" s="4"/>
      <c r="I38" s="4"/>
      <c r="J38" s="4"/>
      <c r="K38" s="4"/>
      <c r="L38" s="4"/>
      <c r="M38" s="5">
        <f>1984.71</f>
        <v>1984.71</v>
      </c>
      <c r="N38" s="4"/>
      <c r="O38" s="4"/>
      <c r="P38" s="4"/>
      <c r="Q38" s="5">
        <f>1125.86</f>
        <v>1125.8599999999999</v>
      </c>
      <c r="R38" s="4"/>
      <c r="S38" s="5">
        <f>710.06</f>
        <v>710.06</v>
      </c>
      <c r="T38" s="5">
        <f>14705.11</f>
        <v>14705.11</v>
      </c>
      <c r="U38" s="4"/>
      <c r="V38" s="5">
        <f>1813.23</f>
        <v>1813.23</v>
      </c>
      <c r="W38" s="5">
        <f>879.92</f>
        <v>879.92</v>
      </c>
      <c r="X38" s="5">
        <f>879.85</f>
        <v>879.85</v>
      </c>
      <c r="Y38" s="4"/>
      <c r="Z38" s="4"/>
      <c r="AA38" s="4"/>
      <c r="AB38" s="4"/>
      <c r="AC38" s="4"/>
      <c r="AD38" s="4"/>
      <c r="AE38" s="4"/>
      <c r="AF38" s="5">
        <f t="shared" si="6"/>
        <v>35874.04</v>
      </c>
    </row>
    <row r="39" spans="1:32" x14ac:dyDescent="0.25">
      <c r="A39" s="3" t="s">
        <v>64</v>
      </c>
      <c r="B39" s="5">
        <f>3644.04</f>
        <v>3644.04</v>
      </c>
      <c r="C39" s="4"/>
      <c r="D39" s="4"/>
      <c r="E39" s="5">
        <f>2463.46</f>
        <v>2463.46</v>
      </c>
      <c r="F39" s="5">
        <f>301.54</f>
        <v>301.54000000000002</v>
      </c>
      <c r="G39" s="5">
        <f>6481.79</f>
        <v>6481.79</v>
      </c>
      <c r="H39" s="5">
        <f>71.66</f>
        <v>71.66</v>
      </c>
      <c r="I39" s="5">
        <f>529.75</f>
        <v>529.75</v>
      </c>
      <c r="J39" s="4"/>
      <c r="K39" s="5">
        <f>406.92</f>
        <v>406.92</v>
      </c>
      <c r="L39" s="5">
        <f>650.81</f>
        <v>650.80999999999995</v>
      </c>
      <c r="M39" s="5">
        <f>464.2</f>
        <v>464.2</v>
      </c>
      <c r="N39" s="5">
        <f>17.46</f>
        <v>17.46</v>
      </c>
      <c r="O39" s="5">
        <f>-12.82</f>
        <v>-12.82</v>
      </c>
      <c r="P39" s="5">
        <f>383.8</f>
        <v>383.8</v>
      </c>
      <c r="Q39" s="5">
        <f>4295.93</f>
        <v>4295.93</v>
      </c>
      <c r="R39" s="5">
        <f>374.37</f>
        <v>374.37</v>
      </c>
      <c r="S39" s="5">
        <f>1542.95</f>
        <v>1542.95</v>
      </c>
      <c r="T39" s="5">
        <f>3439.19</f>
        <v>3439.19</v>
      </c>
      <c r="U39" s="5">
        <f>796.35</f>
        <v>796.35</v>
      </c>
      <c r="V39" s="5">
        <f>424.07</f>
        <v>424.07</v>
      </c>
      <c r="W39" s="5">
        <f>2109.15</f>
        <v>2109.15</v>
      </c>
      <c r="X39" s="5">
        <f>2113.76</f>
        <v>2113.7600000000002</v>
      </c>
      <c r="Y39" s="5">
        <f>1150.14</f>
        <v>1150.1400000000001</v>
      </c>
      <c r="Z39" s="5">
        <f>1928.12</f>
        <v>1928.12</v>
      </c>
      <c r="AA39" s="5">
        <f>32.96</f>
        <v>32.96</v>
      </c>
      <c r="AB39" s="5">
        <f>30.14</f>
        <v>30.14</v>
      </c>
      <c r="AC39" s="5">
        <f>19.32</f>
        <v>19.32</v>
      </c>
      <c r="AD39" s="5">
        <f>343.86</f>
        <v>343.86</v>
      </c>
      <c r="AE39" s="4"/>
      <c r="AF39" s="5">
        <f t="shared" si="6"/>
        <v>34002.92</v>
      </c>
    </row>
    <row r="40" spans="1:32" x14ac:dyDescent="0.25">
      <c r="A40" s="3" t="s">
        <v>65</v>
      </c>
      <c r="B40" s="5">
        <f>6836.66</f>
        <v>6836.66</v>
      </c>
      <c r="C40" s="4"/>
      <c r="D40" s="4"/>
      <c r="E40" s="5">
        <f>28662.96</f>
        <v>28662.959999999999</v>
      </c>
      <c r="F40" s="4"/>
      <c r="G40" s="5">
        <f>11568.32</f>
        <v>11568.32</v>
      </c>
      <c r="H40" s="5">
        <f>845.42</f>
        <v>845.42</v>
      </c>
      <c r="I40" s="5">
        <f>6506.14</f>
        <v>6506.14</v>
      </c>
      <c r="J40" s="4"/>
      <c r="K40" s="5">
        <f>4635.84</f>
        <v>4635.84</v>
      </c>
      <c r="L40" s="5">
        <f>2056.14</f>
        <v>2056.14</v>
      </c>
      <c r="M40" s="4"/>
      <c r="N40" s="5">
        <f>193.89</f>
        <v>193.89</v>
      </c>
      <c r="O40" s="5">
        <f>-22.64</f>
        <v>-22.64</v>
      </c>
      <c r="P40" s="5">
        <f>802.08</f>
        <v>802.08</v>
      </c>
      <c r="Q40" s="5">
        <f>8614.11</f>
        <v>8614.11</v>
      </c>
      <c r="R40" s="5">
        <f>801.96</f>
        <v>801.96</v>
      </c>
      <c r="S40" s="5">
        <f>13675.6</f>
        <v>13675.6</v>
      </c>
      <c r="T40" s="4"/>
      <c r="U40" s="5">
        <f>9346.96</f>
        <v>9346.9599999999991</v>
      </c>
      <c r="V40" s="4"/>
      <c r="W40" s="5">
        <f>22159.36</f>
        <v>22159.360000000001</v>
      </c>
      <c r="X40" s="5">
        <f>22292.03</f>
        <v>22292.03</v>
      </c>
      <c r="Y40" s="5">
        <f>11899.08</f>
        <v>11899.08</v>
      </c>
      <c r="Z40" s="5">
        <f>22170.54</f>
        <v>22170.54</v>
      </c>
      <c r="AA40" s="5">
        <f>119.4</f>
        <v>119.4</v>
      </c>
      <c r="AB40" s="5">
        <f>119.34</f>
        <v>119.34</v>
      </c>
      <c r="AC40" s="5">
        <f>67.91</f>
        <v>67.91</v>
      </c>
      <c r="AD40" s="5">
        <f>3657.48</f>
        <v>3657.48</v>
      </c>
      <c r="AE40" s="4"/>
      <c r="AF40" s="5">
        <f t="shared" si="6"/>
        <v>177008.58000000002</v>
      </c>
    </row>
    <row r="41" spans="1:32" x14ac:dyDescent="0.25">
      <c r="A41" s="3" t="s">
        <v>66</v>
      </c>
      <c r="B41" s="5">
        <f>34729.56</f>
        <v>34729.56</v>
      </c>
      <c r="C41" s="4"/>
      <c r="D41" s="4"/>
      <c r="E41" s="4"/>
      <c r="F41" s="4"/>
      <c r="G41" s="5">
        <f>23093.09</f>
        <v>23093.09</v>
      </c>
      <c r="H41" s="4"/>
      <c r="I41" s="4"/>
      <c r="J41" s="4"/>
      <c r="K41" s="4"/>
      <c r="L41" s="4"/>
      <c r="M41" s="5">
        <f>9152.75</f>
        <v>9152.75</v>
      </c>
      <c r="N41" s="4"/>
      <c r="O41" s="4"/>
      <c r="P41" s="4"/>
      <c r="Q41" s="5">
        <f>5107.2</f>
        <v>5107.2</v>
      </c>
      <c r="R41" s="4"/>
      <c r="S41" s="5">
        <f>1205.44</f>
        <v>1205.44</v>
      </c>
      <c r="T41" s="5">
        <f>62330.11</f>
        <v>62330.11</v>
      </c>
      <c r="U41" s="4"/>
      <c r="V41" s="5">
        <f>8037</f>
        <v>8037</v>
      </c>
      <c r="W41" s="5">
        <f>2395.32</f>
        <v>2395.3200000000002</v>
      </c>
      <c r="X41" s="5">
        <f>2395.26</f>
        <v>2395.2600000000002</v>
      </c>
      <c r="Y41" s="4"/>
      <c r="Z41" s="4"/>
      <c r="AA41" s="4"/>
      <c r="AB41" s="4"/>
      <c r="AC41" s="4"/>
      <c r="AD41" s="4"/>
      <c r="AE41" s="4"/>
      <c r="AF41" s="5">
        <f t="shared" si="6"/>
        <v>148445.73000000001</v>
      </c>
    </row>
    <row r="42" spans="1:32" x14ac:dyDescent="0.25">
      <c r="A42" s="3" t="s">
        <v>67</v>
      </c>
      <c r="B42" s="4"/>
      <c r="C42" s="4"/>
      <c r="D42" s="4"/>
      <c r="E42" s="5">
        <f>18981.14</f>
        <v>18981.14</v>
      </c>
      <c r="F42" s="4"/>
      <c r="G42" s="4"/>
      <c r="H42" s="5">
        <f>845.43</f>
        <v>845.43</v>
      </c>
      <c r="I42" s="5">
        <f>6506.13</f>
        <v>6506.13</v>
      </c>
      <c r="J42" s="4"/>
      <c r="K42" s="5">
        <f>1377.54</f>
        <v>1377.54</v>
      </c>
      <c r="L42" s="4"/>
      <c r="M42" s="4"/>
      <c r="N42" s="5">
        <f>212.78</f>
        <v>212.78</v>
      </c>
      <c r="O42" s="5">
        <f>-144.86</f>
        <v>-144.86000000000001</v>
      </c>
      <c r="P42" s="4"/>
      <c r="Q42" s="4"/>
      <c r="R42" s="4"/>
      <c r="S42" s="5">
        <f>3944.55</f>
        <v>3944.55</v>
      </c>
      <c r="T42" s="5">
        <f>3860.8</f>
        <v>3860.8</v>
      </c>
      <c r="U42" s="5">
        <f>8279.16</f>
        <v>8279.16</v>
      </c>
      <c r="V42" s="4"/>
      <c r="W42" s="5">
        <f>13996.75</f>
        <v>13996.75</v>
      </c>
      <c r="X42" s="5">
        <f>15941.01</f>
        <v>15941.01</v>
      </c>
      <c r="Y42" s="5">
        <f>6961.44</f>
        <v>6961.44</v>
      </c>
      <c r="Z42" s="5">
        <f>10471.86</f>
        <v>10471.86</v>
      </c>
      <c r="AA42" s="5">
        <f>1225.02</f>
        <v>1225.02</v>
      </c>
      <c r="AB42" s="5">
        <f>0</f>
        <v>0</v>
      </c>
      <c r="AC42" s="5">
        <f>70</f>
        <v>70</v>
      </c>
      <c r="AD42" s="5">
        <f>3943.71</f>
        <v>3943.71</v>
      </c>
      <c r="AE42" s="4"/>
      <c r="AF42" s="5">
        <f t="shared" si="6"/>
        <v>96472.46</v>
      </c>
    </row>
    <row r="43" spans="1:32" x14ac:dyDescent="0.25">
      <c r="A43" s="3" t="s">
        <v>68</v>
      </c>
      <c r="B43" s="5">
        <f>1318.07</f>
        <v>1318.07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5">
        <f t="shared" si="6"/>
        <v>1318.07</v>
      </c>
    </row>
    <row r="44" spans="1:32" x14ac:dyDescent="0.25">
      <c r="A44" s="3" t="s">
        <v>69</v>
      </c>
      <c r="B44" s="5">
        <f>4820</f>
        <v>4820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5">
        <f>21.25</f>
        <v>21.25</v>
      </c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5">
        <f t="shared" si="6"/>
        <v>4841.25</v>
      </c>
    </row>
    <row r="45" spans="1:32" x14ac:dyDescent="0.25">
      <c r="A45" s="3" t="s">
        <v>70</v>
      </c>
      <c r="B45" s="4"/>
      <c r="C45" s="4"/>
      <c r="D45" s="4"/>
      <c r="E45" s="5">
        <f>3488.73</f>
        <v>3488.73</v>
      </c>
      <c r="F45" s="4"/>
      <c r="G45" s="5">
        <f>5000</f>
        <v>5000</v>
      </c>
      <c r="H45" s="4"/>
      <c r="I45" s="5">
        <f>757.13</f>
        <v>757.13</v>
      </c>
      <c r="J45" s="4"/>
      <c r="K45" s="4"/>
      <c r="L45" s="4"/>
      <c r="M45" s="4"/>
      <c r="N45" s="4"/>
      <c r="O45" s="4"/>
      <c r="P45" s="5">
        <f>267.36</f>
        <v>267.36</v>
      </c>
      <c r="Q45" s="5">
        <f>6060.48</f>
        <v>6060.48</v>
      </c>
      <c r="R45" s="5">
        <f>534.6</f>
        <v>534.6</v>
      </c>
      <c r="S45" s="5">
        <f>635.03</f>
        <v>635.03</v>
      </c>
      <c r="T45" s="4"/>
      <c r="U45" s="5">
        <f>1127.35</f>
        <v>1127.3499999999999</v>
      </c>
      <c r="V45" s="4"/>
      <c r="W45" s="4"/>
      <c r="X45" s="4"/>
      <c r="Y45" s="5">
        <f>1868.24</f>
        <v>1868.24</v>
      </c>
      <c r="Z45" s="5">
        <f>2741.63</f>
        <v>2741.63</v>
      </c>
      <c r="AA45" s="4"/>
      <c r="AB45" s="4"/>
      <c r="AC45" s="5">
        <f>26.38</f>
        <v>26.38</v>
      </c>
      <c r="AD45" s="4"/>
      <c r="AE45" s="4"/>
      <c r="AF45" s="5">
        <f t="shared" si="6"/>
        <v>22506.93</v>
      </c>
    </row>
    <row r="46" spans="1:32" x14ac:dyDescent="0.25">
      <c r="A46" s="3" t="s">
        <v>71</v>
      </c>
      <c r="B46" s="4"/>
      <c r="C46" s="4"/>
      <c r="D46" s="4"/>
      <c r="E46" s="5">
        <f>196.6</f>
        <v>196.6</v>
      </c>
      <c r="F46" s="4"/>
      <c r="G46" s="4"/>
      <c r="H46" s="5">
        <f>5.52</f>
        <v>5.52</v>
      </c>
      <c r="I46" s="5">
        <f>42.48</f>
        <v>42.48</v>
      </c>
      <c r="J46" s="4"/>
      <c r="K46" s="5">
        <f>51.36</f>
        <v>51.36</v>
      </c>
      <c r="L46" s="4"/>
      <c r="M46" s="4"/>
      <c r="N46" s="5">
        <f>1.52</f>
        <v>1.52</v>
      </c>
      <c r="O46" s="5">
        <f>-0.28</f>
        <v>-0.28000000000000003</v>
      </c>
      <c r="P46" s="4"/>
      <c r="Q46" s="4"/>
      <c r="R46" s="4"/>
      <c r="S46" s="5">
        <f>29.76</f>
        <v>29.76</v>
      </c>
      <c r="T46" s="4"/>
      <c r="U46" s="5">
        <f>96</f>
        <v>96</v>
      </c>
      <c r="V46" s="4"/>
      <c r="W46" s="5">
        <f>157.68</f>
        <v>157.68</v>
      </c>
      <c r="X46" s="5">
        <f>174.72</f>
        <v>174.72</v>
      </c>
      <c r="Y46" s="5">
        <f>71.52</f>
        <v>71.52</v>
      </c>
      <c r="Z46" s="5">
        <f>118.24</f>
        <v>118.24</v>
      </c>
      <c r="AA46" s="5">
        <f>8</f>
        <v>8</v>
      </c>
      <c r="AB46" s="5">
        <f>0</f>
        <v>0</v>
      </c>
      <c r="AC46" s="5">
        <f>3.2</f>
        <v>3.2</v>
      </c>
      <c r="AD46" s="5">
        <f>29.76</f>
        <v>29.76</v>
      </c>
      <c r="AE46" s="4"/>
      <c r="AF46" s="5">
        <f t="shared" si="6"/>
        <v>986.08</v>
      </c>
    </row>
    <row r="47" spans="1:32" x14ac:dyDescent="0.25">
      <c r="A47" s="3" t="s">
        <v>72</v>
      </c>
      <c r="B47" s="6">
        <f t="shared" ref="B47:AE47" si="8">((((((((((B36)+(B37))+(B38))+(B39))+(B40))+(B41))+(B42))+(B43))+(B44))+(B45))+(B46)</f>
        <v>58812.45</v>
      </c>
      <c r="C47" s="6">
        <f t="shared" si="8"/>
        <v>0</v>
      </c>
      <c r="D47" s="6">
        <f t="shared" si="8"/>
        <v>0</v>
      </c>
      <c r="E47" s="6">
        <f t="shared" si="8"/>
        <v>53951.839999999997</v>
      </c>
      <c r="F47" s="6">
        <f t="shared" si="8"/>
        <v>1590.94</v>
      </c>
      <c r="G47" s="6">
        <f t="shared" si="8"/>
        <v>51164.979999999996</v>
      </c>
      <c r="H47" s="6">
        <f t="shared" si="8"/>
        <v>1768.7199999999998</v>
      </c>
      <c r="I47" s="6">
        <f t="shared" si="8"/>
        <v>14346.94</v>
      </c>
      <c r="J47" s="6">
        <f t="shared" si="8"/>
        <v>0</v>
      </c>
      <c r="K47" s="6">
        <f t="shared" si="8"/>
        <v>6478.08</v>
      </c>
      <c r="L47" s="6">
        <f t="shared" si="8"/>
        <v>2706.95</v>
      </c>
      <c r="M47" s="6">
        <f t="shared" si="8"/>
        <v>11601.66</v>
      </c>
      <c r="N47" s="6">
        <f t="shared" si="8"/>
        <v>425.84</v>
      </c>
      <c r="O47" s="6">
        <f t="shared" si="8"/>
        <v>-315.01</v>
      </c>
      <c r="P47" s="6">
        <f t="shared" si="8"/>
        <v>1453.2400000000002</v>
      </c>
      <c r="Q47" s="6">
        <f t="shared" si="8"/>
        <v>25203.58</v>
      </c>
      <c r="R47" s="6">
        <f t="shared" si="8"/>
        <v>1710.9299999999998</v>
      </c>
      <c r="S47" s="6">
        <f t="shared" si="8"/>
        <v>21768.359999999997</v>
      </c>
      <c r="T47" s="6">
        <f t="shared" si="8"/>
        <v>84335.21</v>
      </c>
      <c r="U47" s="6">
        <f t="shared" si="8"/>
        <v>19657.82</v>
      </c>
      <c r="V47" s="6">
        <f t="shared" si="8"/>
        <v>10274.299999999999</v>
      </c>
      <c r="W47" s="6">
        <f t="shared" si="8"/>
        <v>41717.89</v>
      </c>
      <c r="X47" s="6">
        <f t="shared" si="8"/>
        <v>43818.47</v>
      </c>
      <c r="Y47" s="6">
        <f t="shared" si="8"/>
        <v>21959.360000000001</v>
      </c>
      <c r="Z47" s="6">
        <f t="shared" si="8"/>
        <v>37445.17</v>
      </c>
      <c r="AA47" s="6">
        <f t="shared" si="8"/>
        <v>1386.38</v>
      </c>
      <c r="AB47" s="6">
        <f t="shared" si="8"/>
        <v>149.48000000000002</v>
      </c>
      <c r="AC47" s="6">
        <f t="shared" si="8"/>
        <v>187.20999999999998</v>
      </c>
      <c r="AD47" s="6">
        <f t="shared" si="8"/>
        <v>7978.5300000000007</v>
      </c>
      <c r="AE47" s="6">
        <f t="shared" si="8"/>
        <v>0</v>
      </c>
      <c r="AF47" s="6">
        <f t="shared" si="6"/>
        <v>521579.31999999995</v>
      </c>
    </row>
    <row r="48" spans="1:32" x14ac:dyDescent="0.25">
      <c r="A48" s="3" t="s">
        <v>73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5">
        <f t="shared" si="6"/>
        <v>0</v>
      </c>
    </row>
    <row r="49" spans="1:32" x14ac:dyDescent="0.25">
      <c r="A49" s="3" t="s">
        <v>74</v>
      </c>
      <c r="B49" s="5">
        <f>14124.8</f>
        <v>14124.8</v>
      </c>
      <c r="C49" s="4"/>
      <c r="D49" s="4"/>
      <c r="E49" s="5">
        <f>10</f>
        <v>10</v>
      </c>
      <c r="F49" s="4"/>
      <c r="G49" s="5">
        <f>2703.75</f>
        <v>2703.75</v>
      </c>
      <c r="H49" s="4"/>
      <c r="I49" s="5">
        <f>51.25</f>
        <v>51.25</v>
      </c>
      <c r="J49" s="5">
        <f>50000</f>
        <v>50000</v>
      </c>
      <c r="K49" s="4"/>
      <c r="L49" s="5">
        <f>153.7</f>
        <v>153.69999999999999</v>
      </c>
      <c r="M49" s="4"/>
      <c r="N49" s="4"/>
      <c r="O49" s="5">
        <f>58330</f>
        <v>58330</v>
      </c>
      <c r="P49" s="5">
        <f>61.25</f>
        <v>61.25</v>
      </c>
      <c r="Q49" s="5">
        <f>61.25</f>
        <v>61.25</v>
      </c>
      <c r="R49" s="5">
        <f>575</f>
        <v>575</v>
      </c>
      <c r="S49" s="5">
        <f>61.25</f>
        <v>61.25</v>
      </c>
      <c r="T49" s="5">
        <f>286.25</f>
        <v>286.25</v>
      </c>
      <c r="U49" s="4"/>
      <c r="V49" s="4"/>
      <c r="W49" s="5">
        <f>8670.9</f>
        <v>8670.9</v>
      </c>
      <c r="X49" s="5">
        <f>1217.02</f>
        <v>1217.02</v>
      </c>
      <c r="Y49" s="5">
        <f>61.25</f>
        <v>61.25</v>
      </c>
      <c r="Z49" s="5">
        <f>122.5</f>
        <v>122.5</v>
      </c>
      <c r="AA49" s="4"/>
      <c r="AB49" s="4"/>
      <c r="AC49" s="4"/>
      <c r="AD49" s="4"/>
      <c r="AE49" s="4"/>
      <c r="AF49" s="5">
        <f t="shared" si="6"/>
        <v>136490.16999999998</v>
      </c>
    </row>
    <row r="50" spans="1:32" x14ac:dyDescent="0.25">
      <c r="A50" s="3" t="s">
        <v>75</v>
      </c>
      <c r="B50" s="5">
        <f>17600</f>
        <v>17600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5">
        <f>0</f>
        <v>0</v>
      </c>
      <c r="AF50" s="5">
        <f t="shared" si="6"/>
        <v>17600</v>
      </c>
    </row>
    <row r="51" spans="1:32" x14ac:dyDescent="0.25">
      <c r="A51" s="3" t="s">
        <v>76</v>
      </c>
      <c r="B51" s="5">
        <f>4335.65</f>
        <v>4335.6499999999996</v>
      </c>
      <c r="C51" s="4"/>
      <c r="D51" s="4"/>
      <c r="E51" s="4"/>
      <c r="F51" s="4"/>
      <c r="G51" s="5">
        <f>3285.62</f>
        <v>3285.62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5">
        <f t="shared" si="6"/>
        <v>7621.2699999999995</v>
      </c>
    </row>
    <row r="52" spans="1:32" x14ac:dyDescent="0.25">
      <c r="A52" s="3" t="s">
        <v>77</v>
      </c>
      <c r="B52" s="5">
        <f>3589.5</f>
        <v>3589.5</v>
      </c>
      <c r="C52" s="4"/>
      <c r="D52" s="4"/>
      <c r="E52" s="5">
        <f>606.6</f>
        <v>606.6</v>
      </c>
      <c r="F52" s="4"/>
      <c r="G52" s="5">
        <f>5560.5</f>
        <v>5560.5</v>
      </c>
      <c r="H52" s="4"/>
      <c r="I52" s="5">
        <f>101.1</f>
        <v>101.1</v>
      </c>
      <c r="J52" s="4"/>
      <c r="K52" s="5">
        <f>101.1</f>
        <v>101.1</v>
      </c>
      <c r="L52" s="5">
        <f>202.2</f>
        <v>202.2</v>
      </c>
      <c r="M52" s="4"/>
      <c r="N52" s="4"/>
      <c r="O52" s="4"/>
      <c r="P52" s="5">
        <f>101.1</f>
        <v>101.1</v>
      </c>
      <c r="Q52" s="4"/>
      <c r="R52" s="4"/>
      <c r="S52" s="5">
        <f>580.44</f>
        <v>580.44000000000005</v>
      </c>
      <c r="T52" s="4"/>
      <c r="U52" s="4"/>
      <c r="V52" s="4"/>
      <c r="W52" s="5">
        <f>727.92</f>
        <v>727.92</v>
      </c>
      <c r="X52" s="5">
        <f>181.98</f>
        <v>181.98</v>
      </c>
      <c r="Y52" s="5">
        <f>202.2</f>
        <v>202.2</v>
      </c>
      <c r="Z52" s="5">
        <f>303.3</f>
        <v>303.3</v>
      </c>
      <c r="AA52" s="4"/>
      <c r="AB52" s="4"/>
      <c r="AC52" s="4"/>
      <c r="AD52" s="5">
        <f>60.66</f>
        <v>60.66</v>
      </c>
      <c r="AE52" s="4"/>
      <c r="AF52" s="5">
        <f t="shared" si="6"/>
        <v>12318.600000000002</v>
      </c>
    </row>
    <row r="53" spans="1:32" x14ac:dyDescent="0.25">
      <c r="A53" s="3" t="s">
        <v>78</v>
      </c>
      <c r="B53" s="6">
        <f t="shared" ref="B53:AE53" si="9">((((B48)+(B49))+(B50))+(B51))+(B52)</f>
        <v>39649.949999999997</v>
      </c>
      <c r="C53" s="6">
        <f t="shared" si="9"/>
        <v>0</v>
      </c>
      <c r="D53" s="6">
        <f t="shared" si="9"/>
        <v>0</v>
      </c>
      <c r="E53" s="6">
        <f t="shared" si="9"/>
        <v>616.6</v>
      </c>
      <c r="F53" s="6">
        <f t="shared" si="9"/>
        <v>0</v>
      </c>
      <c r="G53" s="6">
        <f t="shared" si="9"/>
        <v>11549.869999999999</v>
      </c>
      <c r="H53" s="6">
        <f t="shared" si="9"/>
        <v>0</v>
      </c>
      <c r="I53" s="6">
        <f t="shared" si="9"/>
        <v>152.35</v>
      </c>
      <c r="J53" s="6">
        <f t="shared" si="9"/>
        <v>50000</v>
      </c>
      <c r="K53" s="6">
        <f t="shared" si="9"/>
        <v>101.1</v>
      </c>
      <c r="L53" s="6">
        <f t="shared" si="9"/>
        <v>355.9</v>
      </c>
      <c r="M53" s="6">
        <f t="shared" si="9"/>
        <v>0</v>
      </c>
      <c r="N53" s="6">
        <f t="shared" si="9"/>
        <v>0</v>
      </c>
      <c r="O53" s="6">
        <f t="shared" si="9"/>
        <v>58330</v>
      </c>
      <c r="P53" s="6">
        <f t="shared" si="9"/>
        <v>162.35</v>
      </c>
      <c r="Q53" s="6">
        <f t="shared" si="9"/>
        <v>61.25</v>
      </c>
      <c r="R53" s="6">
        <f t="shared" si="9"/>
        <v>575</v>
      </c>
      <c r="S53" s="6">
        <f t="shared" si="9"/>
        <v>641.69000000000005</v>
      </c>
      <c r="T53" s="6">
        <f t="shared" si="9"/>
        <v>286.25</v>
      </c>
      <c r="U53" s="6">
        <f t="shared" si="9"/>
        <v>0</v>
      </c>
      <c r="V53" s="6">
        <f t="shared" si="9"/>
        <v>0</v>
      </c>
      <c r="W53" s="6">
        <f t="shared" si="9"/>
        <v>9398.82</v>
      </c>
      <c r="X53" s="6">
        <f t="shared" si="9"/>
        <v>1399</v>
      </c>
      <c r="Y53" s="6">
        <f t="shared" si="9"/>
        <v>263.45</v>
      </c>
      <c r="Z53" s="6">
        <f t="shared" si="9"/>
        <v>425.8</v>
      </c>
      <c r="AA53" s="6">
        <f t="shared" si="9"/>
        <v>0</v>
      </c>
      <c r="AB53" s="6">
        <f t="shared" si="9"/>
        <v>0</v>
      </c>
      <c r="AC53" s="6">
        <f t="shared" si="9"/>
        <v>0</v>
      </c>
      <c r="AD53" s="6">
        <f t="shared" si="9"/>
        <v>60.66</v>
      </c>
      <c r="AE53" s="6">
        <f t="shared" si="9"/>
        <v>0</v>
      </c>
      <c r="AF53" s="6">
        <f t="shared" si="6"/>
        <v>174030.04</v>
      </c>
    </row>
    <row r="54" spans="1:32" x14ac:dyDescent="0.25">
      <c r="A54" s="3" t="s">
        <v>79</v>
      </c>
      <c r="B54" s="5">
        <f>27536.61</f>
        <v>27536.61</v>
      </c>
      <c r="C54" s="4"/>
      <c r="D54" s="4"/>
      <c r="E54" s="5">
        <f>500</f>
        <v>500</v>
      </c>
      <c r="F54" s="4"/>
      <c r="G54" s="5">
        <f>2821.07</f>
        <v>2821.07</v>
      </c>
      <c r="H54" s="4"/>
      <c r="I54" s="5">
        <f>80</f>
        <v>80</v>
      </c>
      <c r="J54" s="4"/>
      <c r="K54" s="5">
        <f>26137.76</f>
        <v>26137.759999999998</v>
      </c>
      <c r="L54" s="5">
        <f>80</f>
        <v>80</v>
      </c>
      <c r="M54" s="4"/>
      <c r="N54" s="4"/>
      <c r="O54" s="4"/>
      <c r="P54" s="4"/>
      <c r="Q54" s="4"/>
      <c r="R54" s="4"/>
      <c r="S54" s="5">
        <f>49555</f>
        <v>49555</v>
      </c>
      <c r="T54" s="4"/>
      <c r="U54" s="4"/>
      <c r="V54" s="4"/>
      <c r="W54" s="4"/>
      <c r="X54" s="4"/>
      <c r="Y54" s="5">
        <f>80</f>
        <v>80</v>
      </c>
      <c r="Z54" s="5">
        <f>5007.23</f>
        <v>5007.2299999999996</v>
      </c>
      <c r="AA54" s="4"/>
      <c r="AB54" s="4"/>
      <c r="AC54" s="4"/>
      <c r="AD54" s="5">
        <f>7583</f>
        <v>7583</v>
      </c>
      <c r="AE54" s="5">
        <f>0</f>
        <v>0</v>
      </c>
      <c r="AF54" s="5">
        <f t="shared" si="6"/>
        <v>119380.67</v>
      </c>
    </row>
    <row r="55" spans="1:32" x14ac:dyDescent="0.25">
      <c r="A55" s="3" t="s">
        <v>80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5">
        <f t="shared" si="6"/>
        <v>0</v>
      </c>
    </row>
    <row r="56" spans="1:32" x14ac:dyDescent="0.25">
      <c r="A56" s="3" t="s">
        <v>81</v>
      </c>
      <c r="B56" s="5">
        <f>517.83</f>
        <v>517.83000000000004</v>
      </c>
      <c r="C56" s="4"/>
      <c r="D56" s="4"/>
      <c r="E56" s="4"/>
      <c r="F56" s="4"/>
      <c r="G56" s="5">
        <f>1051.37</f>
        <v>1051.3699999999999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5">
        <f t="shared" si="6"/>
        <v>1569.1999999999998</v>
      </c>
    </row>
    <row r="57" spans="1:32" x14ac:dyDescent="0.25">
      <c r="A57" s="3" t="s">
        <v>82</v>
      </c>
      <c r="B57" s="5">
        <f>1808.4</f>
        <v>1808.4</v>
      </c>
      <c r="C57" s="4"/>
      <c r="D57" s="4"/>
      <c r="E57" s="4"/>
      <c r="F57" s="4"/>
      <c r="G57" s="5">
        <f>3671.6</f>
        <v>3671.6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5">
        <f t="shared" si="6"/>
        <v>5480</v>
      </c>
    </row>
    <row r="58" spans="1:32" x14ac:dyDescent="0.25">
      <c r="A58" s="3" t="s">
        <v>83</v>
      </c>
      <c r="B58" s="5">
        <f>1668.56</f>
        <v>1668.56</v>
      </c>
      <c r="C58" s="4"/>
      <c r="D58" s="4"/>
      <c r="E58" s="4"/>
      <c r="F58" s="4"/>
      <c r="G58" s="5">
        <f>3215.1</f>
        <v>3215.1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5">
        <f t="shared" si="6"/>
        <v>4883.66</v>
      </c>
    </row>
    <row r="59" spans="1:32" x14ac:dyDescent="0.25">
      <c r="A59" s="3" t="s">
        <v>84</v>
      </c>
      <c r="B59" s="5">
        <f>178509.66</f>
        <v>178509.66</v>
      </c>
      <c r="C59" s="4"/>
      <c r="D59" s="4"/>
      <c r="E59" s="4"/>
      <c r="F59" s="4"/>
      <c r="G59" s="5">
        <f>89670.17</f>
        <v>89670.17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5">
        <f t="shared" si="6"/>
        <v>268179.83</v>
      </c>
    </row>
    <row r="60" spans="1:32" x14ac:dyDescent="0.25">
      <c r="A60" s="3" t="s">
        <v>85</v>
      </c>
      <c r="B60" s="4"/>
      <c r="C60" s="4"/>
      <c r="D60" s="4"/>
      <c r="E60" s="5">
        <f>14000</f>
        <v>14000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5">
        <f>700</f>
        <v>700</v>
      </c>
      <c r="S60" s="4"/>
      <c r="T60" s="4"/>
      <c r="U60" s="4"/>
      <c r="V60" s="4"/>
      <c r="W60" s="5">
        <f>40000</f>
        <v>40000</v>
      </c>
      <c r="X60" s="4"/>
      <c r="Y60" s="4"/>
      <c r="Z60" s="4"/>
      <c r="AA60" s="4"/>
      <c r="AB60" s="4"/>
      <c r="AC60" s="4"/>
      <c r="AD60" s="4"/>
      <c r="AE60" s="4"/>
      <c r="AF60" s="5">
        <f t="shared" si="6"/>
        <v>54700</v>
      </c>
    </row>
    <row r="61" spans="1:32" x14ac:dyDescent="0.25">
      <c r="A61" s="3" t="s">
        <v>86</v>
      </c>
      <c r="B61" s="5">
        <f>6206.44</f>
        <v>6206.44</v>
      </c>
      <c r="C61" s="4"/>
      <c r="D61" s="4"/>
      <c r="E61" s="4"/>
      <c r="F61" s="4"/>
      <c r="G61" s="5">
        <f>12600.97</f>
        <v>12600.97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5">
        <f t="shared" si="6"/>
        <v>18807.41</v>
      </c>
    </row>
    <row r="62" spans="1:32" x14ac:dyDescent="0.25">
      <c r="A62" s="3" t="s">
        <v>87</v>
      </c>
      <c r="B62" s="5">
        <f>797.55</f>
        <v>797.55</v>
      </c>
      <c r="C62" s="4"/>
      <c r="D62" s="4"/>
      <c r="E62" s="5">
        <f>20.52</f>
        <v>20.52</v>
      </c>
      <c r="F62" s="4"/>
      <c r="G62" s="5">
        <f>5037.43</f>
        <v>5037.43</v>
      </c>
      <c r="H62" s="4"/>
      <c r="I62" s="4"/>
      <c r="J62" s="4"/>
      <c r="K62" s="4"/>
      <c r="L62" s="4"/>
      <c r="M62" s="4"/>
      <c r="N62" s="4"/>
      <c r="O62" s="5">
        <f>72</f>
        <v>72</v>
      </c>
      <c r="P62" s="4"/>
      <c r="Q62" s="4"/>
      <c r="R62" s="4"/>
      <c r="S62" s="4"/>
      <c r="T62" s="4"/>
      <c r="U62" s="4"/>
      <c r="V62" s="4"/>
      <c r="W62" s="5">
        <f>222.45</f>
        <v>222.45</v>
      </c>
      <c r="X62" s="5">
        <f>110</f>
        <v>110</v>
      </c>
      <c r="Y62" s="4"/>
      <c r="Z62" s="5">
        <f>149.9</f>
        <v>149.9</v>
      </c>
      <c r="AA62" s="5">
        <f>1999.96</f>
        <v>1999.96</v>
      </c>
      <c r="AB62" s="5">
        <f>1882.27</f>
        <v>1882.27</v>
      </c>
      <c r="AC62" s="4"/>
      <c r="AD62" s="4"/>
      <c r="AE62" s="4"/>
      <c r="AF62" s="5">
        <f t="shared" si="6"/>
        <v>10292.08</v>
      </c>
    </row>
    <row r="63" spans="1:32" x14ac:dyDescent="0.25">
      <c r="A63" s="3" t="s">
        <v>88</v>
      </c>
      <c r="B63" s="5">
        <f>3701.52</f>
        <v>3701.52</v>
      </c>
      <c r="C63" s="4"/>
      <c r="D63" s="4"/>
      <c r="E63" s="5">
        <f>219.99</f>
        <v>219.99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5">
        <f>2953.2</f>
        <v>2953.2</v>
      </c>
      <c r="AA63" s="4"/>
      <c r="AB63" s="4"/>
      <c r="AC63" s="4"/>
      <c r="AD63" s="4"/>
      <c r="AE63" s="4"/>
      <c r="AF63" s="5">
        <f t="shared" si="6"/>
        <v>6874.71</v>
      </c>
    </row>
    <row r="64" spans="1:32" x14ac:dyDescent="0.25">
      <c r="A64" s="3" t="s">
        <v>89</v>
      </c>
      <c r="B64" s="5">
        <f>1968.01</f>
        <v>1968.01</v>
      </c>
      <c r="C64" s="4"/>
      <c r="D64" s="4"/>
      <c r="E64" s="4"/>
      <c r="F64" s="4"/>
      <c r="G64" s="5">
        <f>12014</f>
        <v>12014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5">
        <f>938.6</f>
        <v>938.6</v>
      </c>
      <c r="S64" s="4"/>
      <c r="T64" s="4"/>
      <c r="U64" s="4"/>
      <c r="V64" s="4"/>
      <c r="W64" s="4"/>
      <c r="X64" s="4"/>
      <c r="Y64" s="4"/>
      <c r="Z64" s="5">
        <f>1077.27</f>
        <v>1077.27</v>
      </c>
      <c r="AA64" s="4"/>
      <c r="AB64" s="4"/>
      <c r="AC64" s="4"/>
      <c r="AD64" s="4"/>
      <c r="AE64" s="4"/>
      <c r="AF64" s="5">
        <f t="shared" ref="AF64:AF95" si="10">(((((((((((((((((((((((((((((B64)+(C64))+(D64))+(E64))+(F64))+(G64))+(H64))+(I64))+(J64))+(K64))+(L64))+(M64))+(N64))+(O64))+(P64))+(Q64))+(R64))+(S64))+(T64))+(U64))+(V64))+(W64))+(X64))+(Y64))+(Z64))+(AA64))+(AB64))+(AC64))+(AD64))+(AE64)</f>
        <v>15997.880000000001</v>
      </c>
    </row>
    <row r="65" spans="1:32" x14ac:dyDescent="0.25">
      <c r="A65" s="3" t="s">
        <v>90</v>
      </c>
      <c r="B65" s="4"/>
      <c r="C65" s="4"/>
      <c r="D65" s="4"/>
      <c r="E65" s="4"/>
      <c r="F65" s="4"/>
      <c r="G65" s="5">
        <f>15676.4</f>
        <v>15676.4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5">
        <f t="shared" si="10"/>
        <v>15676.4</v>
      </c>
    </row>
    <row r="66" spans="1:32" x14ac:dyDescent="0.25">
      <c r="A66" s="3" t="s">
        <v>91</v>
      </c>
      <c r="B66" s="6">
        <f t="shared" ref="B66:AE66" si="11">((((((((((B55)+(B56))+(B57))+(B58))+(B59))+(B60))+(B61))+(B62))+(B63))+(B64))+(B65)</f>
        <v>195177.97</v>
      </c>
      <c r="C66" s="6">
        <f t="shared" si="11"/>
        <v>0</v>
      </c>
      <c r="D66" s="6">
        <f t="shared" si="11"/>
        <v>0</v>
      </c>
      <c r="E66" s="6">
        <f t="shared" si="11"/>
        <v>14240.51</v>
      </c>
      <c r="F66" s="6">
        <f t="shared" si="11"/>
        <v>0</v>
      </c>
      <c r="G66" s="6">
        <f t="shared" si="11"/>
        <v>142937.03999999998</v>
      </c>
      <c r="H66" s="6">
        <f t="shared" si="11"/>
        <v>0</v>
      </c>
      <c r="I66" s="6">
        <f t="shared" si="11"/>
        <v>0</v>
      </c>
      <c r="J66" s="6">
        <f t="shared" si="11"/>
        <v>0</v>
      </c>
      <c r="K66" s="6">
        <f t="shared" si="11"/>
        <v>0</v>
      </c>
      <c r="L66" s="6">
        <f t="shared" si="11"/>
        <v>0</v>
      </c>
      <c r="M66" s="6">
        <f t="shared" si="11"/>
        <v>0</v>
      </c>
      <c r="N66" s="6">
        <f t="shared" si="11"/>
        <v>0</v>
      </c>
      <c r="O66" s="6">
        <f t="shared" si="11"/>
        <v>72</v>
      </c>
      <c r="P66" s="6">
        <f t="shared" si="11"/>
        <v>0</v>
      </c>
      <c r="Q66" s="6">
        <f t="shared" si="11"/>
        <v>0</v>
      </c>
      <c r="R66" s="6">
        <f t="shared" si="11"/>
        <v>1638.6</v>
      </c>
      <c r="S66" s="6">
        <f t="shared" si="11"/>
        <v>0</v>
      </c>
      <c r="T66" s="6">
        <f t="shared" si="11"/>
        <v>0</v>
      </c>
      <c r="U66" s="6">
        <f t="shared" si="11"/>
        <v>0</v>
      </c>
      <c r="V66" s="6">
        <f t="shared" si="11"/>
        <v>0</v>
      </c>
      <c r="W66" s="6">
        <f t="shared" si="11"/>
        <v>40222.449999999997</v>
      </c>
      <c r="X66" s="6">
        <f t="shared" si="11"/>
        <v>110</v>
      </c>
      <c r="Y66" s="6">
        <f t="shared" si="11"/>
        <v>0</v>
      </c>
      <c r="Z66" s="6">
        <f t="shared" si="11"/>
        <v>4180.37</v>
      </c>
      <c r="AA66" s="6">
        <f t="shared" si="11"/>
        <v>1999.96</v>
      </c>
      <c r="AB66" s="6">
        <f t="shared" si="11"/>
        <v>1882.27</v>
      </c>
      <c r="AC66" s="6">
        <f t="shared" si="11"/>
        <v>0</v>
      </c>
      <c r="AD66" s="6">
        <f t="shared" si="11"/>
        <v>0</v>
      </c>
      <c r="AE66" s="6">
        <f t="shared" si="11"/>
        <v>0</v>
      </c>
      <c r="AF66" s="6">
        <f t="shared" si="10"/>
        <v>402461.17000000004</v>
      </c>
    </row>
    <row r="67" spans="1:32" x14ac:dyDescent="0.25">
      <c r="A67" s="3" t="s">
        <v>92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5">
        <f t="shared" si="10"/>
        <v>0</v>
      </c>
    </row>
    <row r="68" spans="1:32" x14ac:dyDescent="0.25">
      <c r="A68" s="3" t="s">
        <v>93</v>
      </c>
      <c r="B68" s="5">
        <f>12135.28</f>
        <v>12135.28</v>
      </c>
      <c r="C68" s="4"/>
      <c r="D68" s="4"/>
      <c r="E68" s="4"/>
      <c r="F68" s="4"/>
      <c r="G68" s="5">
        <f>16393.22</f>
        <v>16393.22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5">
        <f t="shared" si="10"/>
        <v>28528.5</v>
      </c>
    </row>
    <row r="69" spans="1:32" x14ac:dyDescent="0.25">
      <c r="A69" s="3" t="s">
        <v>94</v>
      </c>
      <c r="B69" s="5">
        <f>9186.71</f>
        <v>9186.7099999999991</v>
      </c>
      <c r="C69" s="4"/>
      <c r="D69" s="4"/>
      <c r="E69" s="4"/>
      <c r="F69" s="4"/>
      <c r="G69" s="5">
        <f>18651.79</f>
        <v>18651.79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5">
        <f t="shared" si="10"/>
        <v>27838.5</v>
      </c>
    </row>
    <row r="70" spans="1:32" x14ac:dyDescent="0.25">
      <c r="A70" s="3" t="s">
        <v>95</v>
      </c>
      <c r="B70" s="6">
        <f t="shared" ref="B70:AE70" si="12">((B67)+(B68))+(B69)</f>
        <v>21321.989999999998</v>
      </c>
      <c r="C70" s="6">
        <f t="shared" si="12"/>
        <v>0</v>
      </c>
      <c r="D70" s="6">
        <f t="shared" si="12"/>
        <v>0</v>
      </c>
      <c r="E70" s="6">
        <f t="shared" si="12"/>
        <v>0</v>
      </c>
      <c r="F70" s="6">
        <f t="shared" si="12"/>
        <v>0</v>
      </c>
      <c r="G70" s="6">
        <f t="shared" si="12"/>
        <v>35045.01</v>
      </c>
      <c r="H70" s="6">
        <f t="shared" si="12"/>
        <v>0</v>
      </c>
      <c r="I70" s="6">
        <f t="shared" si="12"/>
        <v>0</v>
      </c>
      <c r="J70" s="6">
        <f t="shared" si="12"/>
        <v>0</v>
      </c>
      <c r="K70" s="6">
        <f t="shared" si="12"/>
        <v>0</v>
      </c>
      <c r="L70" s="6">
        <f t="shared" si="12"/>
        <v>0</v>
      </c>
      <c r="M70" s="6">
        <f t="shared" si="12"/>
        <v>0</v>
      </c>
      <c r="N70" s="6">
        <f t="shared" si="12"/>
        <v>0</v>
      </c>
      <c r="O70" s="6">
        <f t="shared" si="12"/>
        <v>0</v>
      </c>
      <c r="P70" s="6">
        <f t="shared" si="12"/>
        <v>0</v>
      </c>
      <c r="Q70" s="6">
        <f t="shared" si="12"/>
        <v>0</v>
      </c>
      <c r="R70" s="6">
        <f t="shared" si="12"/>
        <v>0</v>
      </c>
      <c r="S70" s="6">
        <f t="shared" si="12"/>
        <v>0</v>
      </c>
      <c r="T70" s="6">
        <f t="shared" si="12"/>
        <v>0</v>
      </c>
      <c r="U70" s="6">
        <f t="shared" si="12"/>
        <v>0</v>
      </c>
      <c r="V70" s="6">
        <f t="shared" si="12"/>
        <v>0</v>
      </c>
      <c r="W70" s="6">
        <f t="shared" si="12"/>
        <v>0</v>
      </c>
      <c r="X70" s="6">
        <f t="shared" si="12"/>
        <v>0</v>
      </c>
      <c r="Y70" s="6">
        <f t="shared" si="12"/>
        <v>0</v>
      </c>
      <c r="Z70" s="6">
        <f t="shared" si="12"/>
        <v>0</v>
      </c>
      <c r="AA70" s="6">
        <f t="shared" si="12"/>
        <v>0</v>
      </c>
      <c r="AB70" s="6">
        <f t="shared" si="12"/>
        <v>0</v>
      </c>
      <c r="AC70" s="6">
        <f t="shared" si="12"/>
        <v>0</v>
      </c>
      <c r="AD70" s="6">
        <f t="shared" si="12"/>
        <v>0</v>
      </c>
      <c r="AE70" s="6">
        <f t="shared" si="12"/>
        <v>0</v>
      </c>
      <c r="AF70" s="6">
        <f t="shared" si="10"/>
        <v>56367</v>
      </c>
    </row>
    <row r="71" spans="1:32" x14ac:dyDescent="0.25">
      <c r="A71" s="3" t="s">
        <v>96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5">
        <f t="shared" si="10"/>
        <v>0</v>
      </c>
    </row>
    <row r="72" spans="1:32" x14ac:dyDescent="0.25">
      <c r="A72" s="3" t="s">
        <v>97</v>
      </c>
      <c r="B72" s="5">
        <f>361.34</f>
        <v>361.34</v>
      </c>
      <c r="C72" s="4"/>
      <c r="D72" s="4"/>
      <c r="E72" s="4"/>
      <c r="F72" s="4"/>
      <c r="G72" s="5">
        <f>216.8</f>
        <v>216.8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5">
        <f>72.27</f>
        <v>72.27</v>
      </c>
      <c r="X72" s="5">
        <f>72.27</f>
        <v>72.27</v>
      </c>
      <c r="Y72" s="4"/>
      <c r="Z72" s="4"/>
      <c r="AA72" s="4"/>
      <c r="AB72" s="4"/>
      <c r="AC72" s="4"/>
      <c r="AD72" s="4"/>
      <c r="AE72" s="4"/>
      <c r="AF72" s="5">
        <f t="shared" si="10"/>
        <v>722.68</v>
      </c>
    </row>
    <row r="73" spans="1:32" x14ac:dyDescent="0.25">
      <c r="A73" s="3" t="s">
        <v>98</v>
      </c>
      <c r="B73" s="5">
        <f>134.32</f>
        <v>134.32</v>
      </c>
      <c r="C73" s="4"/>
      <c r="D73" s="4"/>
      <c r="E73" s="4"/>
      <c r="F73" s="4"/>
      <c r="G73" s="5">
        <f>80.6</f>
        <v>80.599999999999994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5">
        <f>53.73</f>
        <v>53.73</v>
      </c>
      <c r="X73" s="4"/>
      <c r="Y73" s="4"/>
      <c r="Z73" s="4"/>
      <c r="AA73" s="4"/>
      <c r="AB73" s="4"/>
      <c r="AC73" s="4"/>
      <c r="AD73" s="4"/>
      <c r="AE73" s="4"/>
      <c r="AF73" s="5">
        <f t="shared" si="10"/>
        <v>268.64999999999998</v>
      </c>
    </row>
    <row r="74" spans="1:32" x14ac:dyDescent="0.25">
      <c r="A74" s="3" t="s">
        <v>99</v>
      </c>
      <c r="B74" s="5">
        <f>6568.25</f>
        <v>6568.25</v>
      </c>
      <c r="C74" s="4"/>
      <c r="D74" s="4"/>
      <c r="E74" s="5">
        <f>2018.78</f>
        <v>2018.78</v>
      </c>
      <c r="F74" s="4"/>
      <c r="G74" s="5">
        <f>5643.46</f>
        <v>5643.46</v>
      </c>
      <c r="H74" s="4"/>
      <c r="I74" s="5">
        <f>17.18</f>
        <v>17.18</v>
      </c>
      <c r="J74" s="4"/>
      <c r="K74" s="4"/>
      <c r="L74" s="4"/>
      <c r="M74" s="4"/>
      <c r="N74" s="4"/>
      <c r="O74" s="4"/>
      <c r="P74" s="4"/>
      <c r="Q74" s="4"/>
      <c r="R74" s="5">
        <f>17.18</f>
        <v>17.18</v>
      </c>
      <c r="S74" s="5">
        <f>257.18</f>
        <v>257.18</v>
      </c>
      <c r="T74" s="4"/>
      <c r="U74" s="4"/>
      <c r="V74" s="4"/>
      <c r="W74" s="5">
        <f>1652.55</f>
        <v>1652.55</v>
      </c>
      <c r="X74" s="5">
        <f>853.63</f>
        <v>853.63</v>
      </c>
      <c r="Y74" s="5">
        <f>495.86</f>
        <v>495.86</v>
      </c>
      <c r="Z74" s="5">
        <f>968.31</f>
        <v>968.31</v>
      </c>
      <c r="AA74" s="4"/>
      <c r="AB74" s="4"/>
      <c r="AC74" s="4"/>
      <c r="AD74" s="5">
        <f>68.2</f>
        <v>68.2</v>
      </c>
      <c r="AE74" s="4"/>
      <c r="AF74" s="5">
        <f t="shared" si="10"/>
        <v>18560.580000000005</v>
      </c>
    </row>
    <row r="75" spans="1:32" x14ac:dyDescent="0.25">
      <c r="A75" s="3" t="s">
        <v>100</v>
      </c>
      <c r="B75" s="5">
        <f>1303.48</f>
        <v>1303.48</v>
      </c>
      <c r="C75" s="4"/>
      <c r="D75" s="4"/>
      <c r="E75" s="4"/>
      <c r="F75" s="4"/>
      <c r="G75" s="5">
        <f>1794.9</f>
        <v>1794.9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5">
        <f>836.47</f>
        <v>836.47</v>
      </c>
      <c r="X75" s="5">
        <f>1309.2</f>
        <v>1309.2</v>
      </c>
      <c r="Y75" s="4"/>
      <c r="Z75" s="4"/>
      <c r="AA75" s="4"/>
      <c r="AB75" s="4"/>
      <c r="AC75" s="4"/>
      <c r="AD75" s="4"/>
      <c r="AE75" s="4"/>
      <c r="AF75" s="5">
        <f t="shared" si="10"/>
        <v>5244.05</v>
      </c>
    </row>
    <row r="76" spans="1:32" x14ac:dyDescent="0.25">
      <c r="A76" s="3" t="s">
        <v>101</v>
      </c>
      <c r="B76" s="5">
        <f>7751.04</f>
        <v>7751.04</v>
      </c>
      <c r="C76" s="4"/>
      <c r="D76" s="4"/>
      <c r="E76" s="5">
        <f>1305.56</f>
        <v>1305.56</v>
      </c>
      <c r="F76" s="4"/>
      <c r="G76" s="5">
        <f>218.7</f>
        <v>218.7</v>
      </c>
      <c r="H76" s="4"/>
      <c r="I76" s="5">
        <f>66.64</f>
        <v>66.64</v>
      </c>
      <c r="J76" s="4"/>
      <c r="K76" s="4"/>
      <c r="L76" s="5">
        <f>71.96</f>
        <v>71.959999999999994</v>
      </c>
      <c r="M76" s="4"/>
      <c r="N76" s="5">
        <f>98.24</f>
        <v>98.24</v>
      </c>
      <c r="O76" s="5">
        <f>737.94</f>
        <v>737.94</v>
      </c>
      <c r="P76" s="4"/>
      <c r="Q76" s="4"/>
      <c r="R76" s="4"/>
      <c r="S76" s="4"/>
      <c r="T76" s="4"/>
      <c r="U76" s="4"/>
      <c r="V76" s="4"/>
      <c r="W76" s="4"/>
      <c r="X76" s="4"/>
      <c r="Y76" s="5">
        <f>234.43</f>
        <v>234.43</v>
      </c>
      <c r="Z76" s="5">
        <f>619.99</f>
        <v>619.99</v>
      </c>
      <c r="AA76" s="4"/>
      <c r="AB76" s="4"/>
      <c r="AC76" s="4"/>
      <c r="AD76" s="4"/>
      <c r="AE76" s="4"/>
      <c r="AF76" s="5">
        <f t="shared" si="10"/>
        <v>11104.5</v>
      </c>
    </row>
    <row r="77" spans="1:32" x14ac:dyDescent="0.25">
      <c r="A77" s="3" t="s">
        <v>102</v>
      </c>
      <c r="B77" s="5">
        <f>58226.54</f>
        <v>58226.54</v>
      </c>
      <c r="C77" s="5">
        <f>54.99</f>
        <v>54.99</v>
      </c>
      <c r="D77" s="5">
        <f>3700</f>
        <v>3700</v>
      </c>
      <c r="E77" s="5">
        <f>11126.41</f>
        <v>11126.41</v>
      </c>
      <c r="F77" s="4"/>
      <c r="G77" s="5">
        <f>5815.91</f>
        <v>5815.91</v>
      </c>
      <c r="H77" s="5">
        <f>81</f>
        <v>81</v>
      </c>
      <c r="I77" s="4"/>
      <c r="J77" s="4"/>
      <c r="K77" s="5">
        <f>29526.97</f>
        <v>29526.97</v>
      </c>
      <c r="L77" s="5">
        <f>373.82</f>
        <v>373.82</v>
      </c>
      <c r="M77" s="4"/>
      <c r="N77" s="5">
        <f>201.5</f>
        <v>201.5</v>
      </c>
      <c r="O77" s="5">
        <f>2409.84</f>
        <v>2409.84</v>
      </c>
      <c r="P77" s="5">
        <f>81</f>
        <v>81</v>
      </c>
      <c r="Q77" s="4"/>
      <c r="R77" s="5">
        <f>2585.65</f>
        <v>2585.65</v>
      </c>
      <c r="S77" s="5">
        <f>262132.04</f>
        <v>262132.04</v>
      </c>
      <c r="T77" s="4"/>
      <c r="U77" s="4"/>
      <c r="V77" s="4"/>
      <c r="W77" s="5">
        <f>6916.59</f>
        <v>6916.59</v>
      </c>
      <c r="X77" s="5">
        <f>13364.5</f>
        <v>13364.5</v>
      </c>
      <c r="Y77" s="5">
        <f>12082.03</f>
        <v>12082.03</v>
      </c>
      <c r="Z77" s="5">
        <f>6152.05</f>
        <v>6152.05</v>
      </c>
      <c r="AA77" s="4"/>
      <c r="AB77" s="4"/>
      <c r="AC77" s="4"/>
      <c r="AD77" s="5">
        <f>67449.28</f>
        <v>67449.279999999999</v>
      </c>
      <c r="AE77" s="5">
        <f>0</f>
        <v>0</v>
      </c>
      <c r="AF77" s="5">
        <f t="shared" si="10"/>
        <v>482280.12000000011</v>
      </c>
    </row>
    <row r="78" spans="1:32" x14ac:dyDescent="0.25">
      <c r="A78" s="3" t="s">
        <v>103</v>
      </c>
      <c r="B78" s="5">
        <f>1484.64</f>
        <v>1484.64</v>
      </c>
      <c r="C78" s="4"/>
      <c r="D78" s="4"/>
      <c r="E78" s="4"/>
      <c r="F78" s="4"/>
      <c r="G78" s="5">
        <f>2348.78</f>
        <v>2348.7800000000002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5">
        <f>69.15</f>
        <v>69.150000000000006</v>
      </c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5">
        <f t="shared" si="10"/>
        <v>3902.57</v>
      </c>
    </row>
    <row r="79" spans="1:32" x14ac:dyDescent="0.25">
      <c r="A79" s="3" t="s">
        <v>104</v>
      </c>
      <c r="B79" s="6">
        <f t="shared" ref="B79:AE79" si="13">(((((((B71)+(B72))+(B73))+(B74))+(B75))+(B76))+(B77))+(B78)</f>
        <v>75829.61</v>
      </c>
      <c r="C79" s="6">
        <f t="shared" si="13"/>
        <v>54.99</v>
      </c>
      <c r="D79" s="6">
        <f t="shared" si="13"/>
        <v>3700</v>
      </c>
      <c r="E79" s="6">
        <f t="shared" si="13"/>
        <v>14450.75</v>
      </c>
      <c r="F79" s="6">
        <f t="shared" si="13"/>
        <v>0</v>
      </c>
      <c r="G79" s="6">
        <f t="shared" si="13"/>
        <v>16119.15</v>
      </c>
      <c r="H79" s="6">
        <f t="shared" si="13"/>
        <v>81</v>
      </c>
      <c r="I79" s="6">
        <f t="shared" si="13"/>
        <v>83.82</v>
      </c>
      <c r="J79" s="6">
        <f t="shared" si="13"/>
        <v>0</v>
      </c>
      <c r="K79" s="6">
        <f t="shared" si="13"/>
        <v>29526.97</v>
      </c>
      <c r="L79" s="6">
        <f t="shared" si="13"/>
        <v>445.78</v>
      </c>
      <c r="M79" s="6">
        <f t="shared" si="13"/>
        <v>0</v>
      </c>
      <c r="N79" s="6">
        <f t="shared" si="13"/>
        <v>299.74</v>
      </c>
      <c r="O79" s="6">
        <f t="shared" si="13"/>
        <v>3147.78</v>
      </c>
      <c r="P79" s="6">
        <f t="shared" si="13"/>
        <v>81</v>
      </c>
      <c r="Q79" s="6">
        <f t="shared" si="13"/>
        <v>0</v>
      </c>
      <c r="R79" s="6">
        <f t="shared" si="13"/>
        <v>2602.83</v>
      </c>
      <c r="S79" s="6">
        <f t="shared" si="13"/>
        <v>262458.37000000005</v>
      </c>
      <c r="T79" s="6">
        <f t="shared" si="13"/>
        <v>0</v>
      </c>
      <c r="U79" s="6">
        <f t="shared" si="13"/>
        <v>0</v>
      </c>
      <c r="V79" s="6">
        <f t="shared" si="13"/>
        <v>0</v>
      </c>
      <c r="W79" s="6">
        <f t="shared" si="13"/>
        <v>9531.61</v>
      </c>
      <c r="X79" s="6">
        <f t="shared" si="13"/>
        <v>15599.6</v>
      </c>
      <c r="Y79" s="6">
        <f t="shared" si="13"/>
        <v>12812.32</v>
      </c>
      <c r="Z79" s="6">
        <f t="shared" si="13"/>
        <v>7740.35</v>
      </c>
      <c r="AA79" s="6">
        <f t="shared" si="13"/>
        <v>0</v>
      </c>
      <c r="AB79" s="6">
        <f t="shared" si="13"/>
        <v>0</v>
      </c>
      <c r="AC79" s="6">
        <f t="shared" si="13"/>
        <v>0</v>
      </c>
      <c r="AD79" s="6">
        <f t="shared" si="13"/>
        <v>67517.48</v>
      </c>
      <c r="AE79" s="6">
        <f t="shared" si="13"/>
        <v>0</v>
      </c>
      <c r="AF79" s="6">
        <f t="shared" si="10"/>
        <v>522083.14999999997</v>
      </c>
    </row>
    <row r="80" spans="1:32" x14ac:dyDescent="0.25">
      <c r="A80" s="3" t="s">
        <v>105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5">
        <f t="shared" si="10"/>
        <v>0</v>
      </c>
    </row>
    <row r="81" spans="1:32" x14ac:dyDescent="0.25">
      <c r="A81" s="3" t="s">
        <v>106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5">
        <f>63467.71</f>
        <v>63467.71</v>
      </c>
      <c r="R81" s="5">
        <f>500</f>
        <v>500</v>
      </c>
      <c r="S81" s="4"/>
      <c r="T81" s="4"/>
      <c r="U81" s="4"/>
      <c r="V81" s="4"/>
      <c r="W81" s="5">
        <f>6874.85</f>
        <v>6874.85</v>
      </c>
      <c r="X81" s="5">
        <f>4834.08</f>
        <v>4834.08</v>
      </c>
      <c r="Y81" s="4"/>
      <c r="Z81" s="5">
        <f>96.9</f>
        <v>96.9</v>
      </c>
      <c r="AA81" s="4"/>
      <c r="AB81" s="4"/>
      <c r="AC81" s="4"/>
      <c r="AD81" s="5">
        <f>52506.35</f>
        <v>52506.35</v>
      </c>
      <c r="AE81" s="5">
        <f>0</f>
        <v>0</v>
      </c>
      <c r="AF81" s="5">
        <f t="shared" si="10"/>
        <v>128279.88999999998</v>
      </c>
    </row>
    <row r="82" spans="1:32" x14ac:dyDescent="0.25">
      <c r="A82" s="3" t="s">
        <v>107</v>
      </c>
      <c r="B82" s="5">
        <f>2690</f>
        <v>2690</v>
      </c>
      <c r="C82" s="4"/>
      <c r="D82" s="4"/>
      <c r="E82" s="5">
        <f>1759.23</f>
        <v>1759.23</v>
      </c>
      <c r="F82" s="4"/>
      <c r="G82" s="5">
        <f>260</f>
        <v>260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5">
        <f>1700</f>
        <v>1700</v>
      </c>
      <c r="S82" s="5">
        <f>7930</f>
        <v>7930</v>
      </c>
      <c r="T82" s="4"/>
      <c r="U82" s="4"/>
      <c r="V82" s="4"/>
      <c r="W82" s="5">
        <f>1120</f>
        <v>1120</v>
      </c>
      <c r="X82" s="5">
        <f>3259</f>
        <v>3259</v>
      </c>
      <c r="Y82" s="5">
        <f>2295</f>
        <v>2295</v>
      </c>
      <c r="Z82" s="5">
        <f>7566</f>
        <v>7566</v>
      </c>
      <c r="AA82" s="4"/>
      <c r="AB82" s="4"/>
      <c r="AC82" s="4"/>
      <c r="AD82" s="5">
        <f>44904.89</f>
        <v>44904.89</v>
      </c>
      <c r="AE82" s="4"/>
      <c r="AF82" s="5">
        <f t="shared" si="10"/>
        <v>73484.12</v>
      </c>
    </row>
    <row r="83" spans="1:32" x14ac:dyDescent="0.25">
      <c r="A83" s="3" t="s">
        <v>108</v>
      </c>
      <c r="B83" s="5">
        <f>16374.49</f>
        <v>16374.49</v>
      </c>
      <c r="C83" s="4"/>
      <c r="D83" s="4"/>
      <c r="E83" s="5">
        <f>6714.66</f>
        <v>6714.66</v>
      </c>
      <c r="F83" s="4"/>
      <c r="G83" s="5">
        <f>2516.96</f>
        <v>2516.96</v>
      </c>
      <c r="H83" s="4"/>
      <c r="I83" s="5">
        <f>476.06</f>
        <v>476.06</v>
      </c>
      <c r="J83" s="4"/>
      <c r="K83" s="4"/>
      <c r="L83" s="5">
        <f>338.03</f>
        <v>338.03</v>
      </c>
      <c r="M83" s="4"/>
      <c r="N83" s="4"/>
      <c r="O83" s="5">
        <f>35</f>
        <v>35</v>
      </c>
      <c r="P83" s="4"/>
      <c r="Q83" s="4"/>
      <c r="R83" s="5">
        <f>8293.46</f>
        <v>8293.4599999999991</v>
      </c>
      <c r="S83" s="5">
        <f>2924.97</f>
        <v>2924.97</v>
      </c>
      <c r="T83" s="4"/>
      <c r="U83" s="5">
        <f>157333.4</f>
        <v>157333.4</v>
      </c>
      <c r="V83" s="4"/>
      <c r="W83" s="5">
        <f>5468.32</f>
        <v>5468.32</v>
      </c>
      <c r="X83" s="5">
        <f>7022.06</f>
        <v>7022.06</v>
      </c>
      <c r="Y83" s="5">
        <f>11137.87</f>
        <v>11137.87</v>
      </c>
      <c r="Z83" s="5">
        <f>5604.04</f>
        <v>5604.04</v>
      </c>
      <c r="AA83" s="4"/>
      <c r="AB83" s="4"/>
      <c r="AC83" s="4"/>
      <c r="AD83" s="5">
        <f>679</f>
        <v>679</v>
      </c>
      <c r="AE83" s="5">
        <f>0</f>
        <v>0</v>
      </c>
      <c r="AF83" s="5">
        <f t="shared" si="10"/>
        <v>224918.32</v>
      </c>
    </row>
    <row r="84" spans="1:32" x14ac:dyDescent="0.25">
      <c r="A84" s="3" t="s">
        <v>109</v>
      </c>
      <c r="B84" s="5">
        <f>681.85</f>
        <v>681.85</v>
      </c>
      <c r="C84" s="4"/>
      <c r="D84" s="4"/>
      <c r="E84" s="5">
        <f>183.65</f>
        <v>183.65</v>
      </c>
      <c r="F84" s="4"/>
      <c r="G84" s="5">
        <f>4499</f>
        <v>4499</v>
      </c>
      <c r="H84" s="4"/>
      <c r="I84" s="4"/>
      <c r="J84" s="4"/>
      <c r="K84" s="4"/>
      <c r="L84" s="4"/>
      <c r="M84" s="4"/>
      <c r="N84" s="5">
        <f>2756.34</f>
        <v>2756.34</v>
      </c>
      <c r="O84" s="5">
        <f>14.98</f>
        <v>14.98</v>
      </c>
      <c r="P84" s="4"/>
      <c r="Q84" s="4"/>
      <c r="R84" s="4"/>
      <c r="S84" s="5">
        <f>629.7</f>
        <v>629.70000000000005</v>
      </c>
      <c r="T84" s="4"/>
      <c r="U84" s="4"/>
      <c r="V84" s="4"/>
      <c r="W84" s="5">
        <f>8664.97</f>
        <v>8664.9699999999993</v>
      </c>
      <c r="X84" s="5">
        <f>6179.61</f>
        <v>6179.61</v>
      </c>
      <c r="Y84" s="4"/>
      <c r="Z84" s="5">
        <f>3179.2</f>
        <v>3179.2</v>
      </c>
      <c r="AA84" s="5">
        <f>678.64</f>
        <v>678.64</v>
      </c>
      <c r="AB84" s="4"/>
      <c r="AC84" s="4"/>
      <c r="AD84" s="4"/>
      <c r="AE84" s="4"/>
      <c r="AF84" s="5">
        <f t="shared" si="10"/>
        <v>27467.94</v>
      </c>
    </row>
    <row r="85" spans="1:32" x14ac:dyDescent="0.25">
      <c r="A85" s="3" t="s">
        <v>110</v>
      </c>
      <c r="B85" s="5">
        <f>5666.71</f>
        <v>5666.71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5">
        <f t="shared" si="10"/>
        <v>5666.71</v>
      </c>
    </row>
    <row r="86" spans="1:32" x14ac:dyDescent="0.25">
      <c r="A86" s="3" t="s">
        <v>111</v>
      </c>
      <c r="B86" s="6">
        <f t="shared" ref="B86:AE86" si="14">(((((B80)+(B81))+(B82))+(B83))+(B84))+(B85)</f>
        <v>25413.049999999996</v>
      </c>
      <c r="C86" s="6">
        <f t="shared" si="14"/>
        <v>0</v>
      </c>
      <c r="D86" s="6">
        <f t="shared" si="14"/>
        <v>0</v>
      </c>
      <c r="E86" s="6">
        <f t="shared" si="14"/>
        <v>8657.5399999999991</v>
      </c>
      <c r="F86" s="6">
        <f t="shared" si="14"/>
        <v>0</v>
      </c>
      <c r="G86" s="6">
        <f t="shared" si="14"/>
        <v>7275.96</v>
      </c>
      <c r="H86" s="6">
        <f t="shared" si="14"/>
        <v>0</v>
      </c>
      <c r="I86" s="6">
        <f t="shared" si="14"/>
        <v>476.06</v>
      </c>
      <c r="J86" s="6">
        <f t="shared" si="14"/>
        <v>0</v>
      </c>
      <c r="K86" s="6">
        <f t="shared" si="14"/>
        <v>0</v>
      </c>
      <c r="L86" s="6">
        <f t="shared" si="14"/>
        <v>338.03</v>
      </c>
      <c r="M86" s="6">
        <f t="shared" si="14"/>
        <v>0</v>
      </c>
      <c r="N86" s="6">
        <f t="shared" si="14"/>
        <v>2756.34</v>
      </c>
      <c r="O86" s="6">
        <f t="shared" si="14"/>
        <v>49.980000000000004</v>
      </c>
      <c r="P86" s="6">
        <f t="shared" si="14"/>
        <v>0</v>
      </c>
      <c r="Q86" s="6">
        <f t="shared" si="14"/>
        <v>63467.71</v>
      </c>
      <c r="R86" s="6">
        <f t="shared" si="14"/>
        <v>10493.46</v>
      </c>
      <c r="S86" s="6">
        <f t="shared" si="14"/>
        <v>11484.67</v>
      </c>
      <c r="T86" s="6">
        <f t="shared" si="14"/>
        <v>0</v>
      </c>
      <c r="U86" s="6">
        <f t="shared" si="14"/>
        <v>157333.4</v>
      </c>
      <c r="V86" s="6">
        <f t="shared" si="14"/>
        <v>0</v>
      </c>
      <c r="W86" s="6">
        <f t="shared" si="14"/>
        <v>22128.14</v>
      </c>
      <c r="X86" s="6">
        <f t="shared" si="14"/>
        <v>21294.75</v>
      </c>
      <c r="Y86" s="6">
        <f t="shared" si="14"/>
        <v>13432.87</v>
      </c>
      <c r="Z86" s="6">
        <f t="shared" si="14"/>
        <v>16446.14</v>
      </c>
      <c r="AA86" s="6">
        <f t="shared" si="14"/>
        <v>678.64</v>
      </c>
      <c r="AB86" s="6">
        <f t="shared" si="14"/>
        <v>0</v>
      </c>
      <c r="AC86" s="6">
        <f t="shared" si="14"/>
        <v>0</v>
      </c>
      <c r="AD86" s="6">
        <f t="shared" si="14"/>
        <v>98090.239999999991</v>
      </c>
      <c r="AE86" s="6">
        <f t="shared" si="14"/>
        <v>0</v>
      </c>
      <c r="AF86" s="6">
        <f t="shared" si="10"/>
        <v>459816.98000000004</v>
      </c>
    </row>
    <row r="87" spans="1:32" x14ac:dyDescent="0.25">
      <c r="A87" s="3" t="s">
        <v>112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5">
        <f t="shared" si="10"/>
        <v>0</v>
      </c>
    </row>
    <row r="88" spans="1:32" x14ac:dyDescent="0.25">
      <c r="A88" s="3" t="s">
        <v>113</v>
      </c>
      <c r="B88" s="5">
        <f>4688.7</f>
        <v>4688.7</v>
      </c>
      <c r="C88" s="4"/>
      <c r="D88" s="4"/>
      <c r="E88" s="4"/>
      <c r="F88" s="4"/>
      <c r="G88" s="5">
        <f>388.77</f>
        <v>388.77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5">
        <f>422.9</f>
        <v>422.9</v>
      </c>
      <c r="X88" s="5">
        <f>3410.96</f>
        <v>3410.96</v>
      </c>
      <c r="Y88" s="4"/>
      <c r="Z88" s="5">
        <f>1015.22</f>
        <v>1015.22</v>
      </c>
      <c r="AA88" s="4"/>
      <c r="AB88" s="4"/>
      <c r="AC88" s="4"/>
      <c r="AD88" s="4"/>
      <c r="AE88" s="4"/>
      <c r="AF88" s="5">
        <f t="shared" si="10"/>
        <v>9926.5499999999975</v>
      </c>
    </row>
    <row r="89" spans="1:32" x14ac:dyDescent="0.25">
      <c r="A89" s="3" t="s">
        <v>114</v>
      </c>
      <c r="B89" s="4"/>
      <c r="C89" s="4"/>
      <c r="D89" s="4"/>
      <c r="E89" s="4"/>
      <c r="F89" s="4"/>
      <c r="G89" s="5">
        <f>7500</f>
        <v>7500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5">
        <f t="shared" si="10"/>
        <v>7500</v>
      </c>
    </row>
    <row r="90" spans="1:32" x14ac:dyDescent="0.25">
      <c r="A90" s="3" t="s">
        <v>115</v>
      </c>
      <c r="B90" s="5">
        <f>1500</f>
        <v>1500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5">
        <f t="shared" si="10"/>
        <v>1500</v>
      </c>
    </row>
    <row r="91" spans="1:32" x14ac:dyDescent="0.25">
      <c r="A91" s="3" t="s">
        <v>116</v>
      </c>
      <c r="B91" s="4"/>
      <c r="C91" s="4"/>
      <c r="D91" s="4"/>
      <c r="E91" s="5">
        <f>21348.18</f>
        <v>21348.18</v>
      </c>
      <c r="F91" s="5">
        <f>1232.7</f>
        <v>1232.7</v>
      </c>
      <c r="G91" s="5">
        <f>74436.23</f>
        <v>74436.23</v>
      </c>
      <c r="H91" s="5">
        <f>557.01</f>
        <v>557.01</v>
      </c>
      <c r="I91" s="5">
        <f>5246.77</f>
        <v>5246.77</v>
      </c>
      <c r="J91" s="5">
        <f>0</f>
        <v>0</v>
      </c>
      <c r="K91" s="5">
        <f>11331</f>
        <v>11331</v>
      </c>
      <c r="L91" s="5">
        <f>5381.75</f>
        <v>5381.75</v>
      </c>
      <c r="M91" s="5">
        <f>3661.32</f>
        <v>3661.32</v>
      </c>
      <c r="N91" s="4"/>
      <c r="O91" s="5">
        <f>6059.03</f>
        <v>6059.03</v>
      </c>
      <c r="P91" s="5">
        <f>2843.19</f>
        <v>2843.19</v>
      </c>
      <c r="Q91" s="5">
        <f>39493.31</f>
        <v>39493.31</v>
      </c>
      <c r="R91" s="5">
        <f>7375.08</f>
        <v>7375.08</v>
      </c>
      <c r="S91" s="5">
        <f>59429.1</f>
        <v>59429.1</v>
      </c>
      <c r="T91" s="5">
        <f>39674.59</f>
        <v>39674.589999999997</v>
      </c>
      <c r="U91" s="5">
        <f>10066.6</f>
        <v>10066.6</v>
      </c>
      <c r="V91" s="5">
        <f>3221.94</f>
        <v>3221.94</v>
      </c>
      <c r="W91" s="5">
        <f>22241.28</f>
        <v>22241.279999999999</v>
      </c>
      <c r="X91" s="5">
        <f>19012.47</f>
        <v>19012.47</v>
      </c>
      <c r="Y91" s="5">
        <f>19874.48</f>
        <v>19874.48</v>
      </c>
      <c r="Z91" s="5">
        <f>20934.09</f>
        <v>20934.09</v>
      </c>
      <c r="AA91" s="5">
        <f>129.97</f>
        <v>129.97</v>
      </c>
      <c r="AB91" s="5">
        <f>85.76</f>
        <v>85.76</v>
      </c>
      <c r="AC91" s="4"/>
      <c r="AD91" s="5">
        <f>13475.11</f>
        <v>13475.11</v>
      </c>
      <c r="AE91" s="4"/>
      <c r="AF91" s="5">
        <f t="shared" si="10"/>
        <v>387110.9599999999</v>
      </c>
    </row>
    <row r="92" spans="1:32" x14ac:dyDescent="0.25">
      <c r="A92" s="3" t="s">
        <v>117</v>
      </c>
      <c r="B92" s="6">
        <f t="shared" ref="B92:AE92" si="15">((((B87)+(B88))+(B89))+(B90))+(B91)</f>
        <v>6188.7</v>
      </c>
      <c r="C92" s="6">
        <f t="shared" si="15"/>
        <v>0</v>
      </c>
      <c r="D92" s="6">
        <f t="shared" si="15"/>
        <v>0</v>
      </c>
      <c r="E92" s="6">
        <f t="shared" si="15"/>
        <v>21348.18</v>
      </c>
      <c r="F92" s="6">
        <f t="shared" si="15"/>
        <v>1232.7</v>
      </c>
      <c r="G92" s="6">
        <f t="shared" si="15"/>
        <v>82325</v>
      </c>
      <c r="H92" s="6">
        <f t="shared" si="15"/>
        <v>557.01</v>
      </c>
      <c r="I92" s="6">
        <f t="shared" si="15"/>
        <v>5246.77</v>
      </c>
      <c r="J92" s="6">
        <f t="shared" si="15"/>
        <v>0</v>
      </c>
      <c r="K92" s="6">
        <f t="shared" si="15"/>
        <v>11331</v>
      </c>
      <c r="L92" s="6">
        <f t="shared" si="15"/>
        <v>5381.75</v>
      </c>
      <c r="M92" s="6">
        <f t="shared" si="15"/>
        <v>3661.32</v>
      </c>
      <c r="N92" s="6">
        <f t="shared" si="15"/>
        <v>0</v>
      </c>
      <c r="O92" s="6">
        <f t="shared" si="15"/>
        <v>6059.03</v>
      </c>
      <c r="P92" s="6">
        <f t="shared" si="15"/>
        <v>2843.19</v>
      </c>
      <c r="Q92" s="6">
        <f t="shared" si="15"/>
        <v>39493.31</v>
      </c>
      <c r="R92" s="6">
        <f t="shared" si="15"/>
        <v>7375.08</v>
      </c>
      <c r="S92" s="6">
        <f t="shared" si="15"/>
        <v>59429.1</v>
      </c>
      <c r="T92" s="6">
        <f t="shared" si="15"/>
        <v>39674.589999999997</v>
      </c>
      <c r="U92" s="6">
        <f t="shared" si="15"/>
        <v>10066.6</v>
      </c>
      <c r="V92" s="6">
        <f t="shared" si="15"/>
        <v>3221.94</v>
      </c>
      <c r="W92" s="6">
        <f t="shared" si="15"/>
        <v>22664.18</v>
      </c>
      <c r="X92" s="6">
        <f t="shared" si="15"/>
        <v>22423.43</v>
      </c>
      <c r="Y92" s="6">
        <f t="shared" si="15"/>
        <v>19874.48</v>
      </c>
      <c r="Z92" s="6">
        <f t="shared" si="15"/>
        <v>21949.31</v>
      </c>
      <c r="AA92" s="6">
        <f t="shared" si="15"/>
        <v>129.97</v>
      </c>
      <c r="AB92" s="6">
        <f t="shared" si="15"/>
        <v>85.76</v>
      </c>
      <c r="AC92" s="6">
        <f t="shared" si="15"/>
        <v>0</v>
      </c>
      <c r="AD92" s="6">
        <f t="shared" si="15"/>
        <v>13475.11</v>
      </c>
      <c r="AE92" s="6">
        <f t="shared" si="15"/>
        <v>0</v>
      </c>
      <c r="AF92" s="6">
        <f t="shared" si="10"/>
        <v>406037.50999999989</v>
      </c>
    </row>
    <row r="93" spans="1:32" x14ac:dyDescent="0.25">
      <c r="A93" s="3" t="s">
        <v>118</v>
      </c>
      <c r="B93" s="6">
        <f t="shared" ref="B93:AE93" si="16">((((((((B35)+(B47))+(B53))+(B54))+(B66))+(B70))+(B79))+(B86))+(B92)</f>
        <v>714916.85</v>
      </c>
      <c r="C93" s="6">
        <f t="shared" si="16"/>
        <v>54.99</v>
      </c>
      <c r="D93" s="6">
        <f t="shared" si="16"/>
        <v>3700</v>
      </c>
      <c r="E93" s="6">
        <f t="shared" si="16"/>
        <v>288200.52999999997</v>
      </c>
      <c r="F93" s="6">
        <f t="shared" si="16"/>
        <v>25886.2</v>
      </c>
      <c r="G93" s="6">
        <f t="shared" si="16"/>
        <v>823798.50999999989</v>
      </c>
      <c r="H93" s="6">
        <f t="shared" si="16"/>
        <v>7528.17</v>
      </c>
      <c r="I93" s="6">
        <f t="shared" si="16"/>
        <v>58243.459999999992</v>
      </c>
      <c r="J93" s="6">
        <f t="shared" si="16"/>
        <v>50000</v>
      </c>
      <c r="K93" s="6">
        <f t="shared" si="16"/>
        <v>124641.07</v>
      </c>
      <c r="L93" s="6">
        <f t="shared" si="16"/>
        <v>59199.249999999993</v>
      </c>
      <c r="M93" s="6">
        <f t="shared" si="16"/>
        <v>49427.98</v>
      </c>
      <c r="N93" s="6">
        <f t="shared" si="16"/>
        <v>4685.8500000000004</v>
      </c>
      <c r="O93" s="6">
        <f t="shared" si="16"/>
        <v>66456.67</v>
      </c>
      <c r="P93" s="6">
        <f t="shared" si="16"/>
        <v>31275.059999999998</v>
      </c>
      <c r="Q93" s="6">
        <f t="shared" si="16"/>
        <v>434426.34</v>
      </c>
      <c r="R93" s="6">
        <f t="shared" si="16"/>
        <v>81125.900000000009</v>
      </c>
      <c r="S93" s="6">
        <f t="shared" si="16"/>
        <v>514694.27</v>
      </c>
      <c r="T93" s="6">
        <f t="shared" si="16"/>
        <v>370296.14</v>
      </c>
      <c r="U93" s="6">
        <f t="shared" si="16"/>
        <v>243425.01</v>
      </c>
      <c r="V93" s="6">
        <f t="shared" si="16"/>
        <v>43496.240000000005</v>
      </c>
      <c r="W93" s="6">
        <f t="shared" si="16"/>
        <v>296862.41000000003</v>
      </c>
      <c r="X93" s="6">
        <f t="shared" si="16"/>
        <v>256668.26</v>
      </c>
      <c r="Y93" s="6">
        <f t="shared" si="16"/>
        <v>161835.01999999999</v>
      </c>
      <c r="Z93" s="6">
        <f t="shared" si="16"/>
        <v>230274.85000000003</v>
      </c>
      <c r="AA93" s="6">
        <f t="shared" si="16"/>
        <v>6605.35</v>
      </c>
      <c r="AB93" s="6">
        <f t="shared" si="16"/>
        <v>4373.91</v>
      </c>
      <c r="AC93" s="6">
        <f t="shared" si="16"/>
        <v>1506.44</v>
      </c>
      <c r="AD93" s="6">
        <f t="shared" si="16"/>
        <v>220109.44</v>
      </c>
      <c r="AE93" s="6">
        <f t="shared" si="16"/>
        <v>0</v>
      </c>
      <c r="AF93" s="6">
        <f t="shared" si="10"/>
        <v>5173714.169999999</v>
      </c>
    </row>
    <row r="94" spans="1:32" x14ac:dyDescent="0.25">
      <c r="A94" s="3" t="s">
        <v>119</v>
      </c>
      <c r="B94" s="6">
        <f t="shared" ref="B94:AE94" si="17">(B30)-(B93)</f>
        <v>137334.22000000009</v>
      </c>
      <c r="C94" s="6">
        <f t="shared" si="17"/>
        <v>135.01</v>
      </c>
      <c r="D94" s="6">
        <f t="shared" si="17"/>
        <v>-3700</v>
      </c>
      <c r="E94" s="6">
        <f t="shared" si="17"/>
        <v>0</v>
      </c>
      <c r="F94" s="6">
        <f t="shared" si="17"/>
        <v>0</v>
      </c>
      <c r="G94" s="6">
        <f t="shared" si="17"/>
        <v>972036.39</v>
      </c>
      <c r="H94" s="6">
        <f t="shared" si="17"/>
        <v>0</v>
      </c>
      <c r="I94" s="6">
        <f t="shared" si="17"/>
        <v>-39509.509999999995</v>
      </c>
      <c r="J94" s="6">
        <f t="shared" si="17"/>
        <v>0</v>
      </c>
      <c r="K94" s="6">
        <f t="shared" si="17"/>
        <v>-63222.390000000007</v>
      </c>
      <c r="L94" s="6">
        <f t="shared" si="17"/>
        <v>5282.6500000000087</v>
      </c>
      <c r="M94" s="6">
        <f t="shared" si="17"/>
        <v>0</v>
      </c>
      <c r="N94" s="6">
        <f t="shared" si="17"/>
        <v>3314.1499999999996</v>
      </c>
      <c r="O94" s="6">
        <f t="shared" si="17"/>
        <v>-49681.67</v>
      </c>
      <c r="P94" s="6">
        <f t="shared" si="17"/>
        <v>39284.44</v>
      </c>
      <c r="Q94" s="6">
        <f t="shared" si="17"/>
        <v>0</v>
      </c>
      <c r="R94" s="6">
        <f t="shared" si="17"/>
        <v>303532.09999999998</v>
      </c>
      <c r="S94" s="6">
        <f t="shared" si="17"/>
        <v>-98819.68</v>
      </c>
      <c r="T94" s="6">
        <f t="shared" si="17"/>
        <v>1.0000000009313226E-2</v>
      </c>
      <c r="U94" s="6">
        <f t="shared" si="17"/>
        <v>0</v>
      </c>
      <c r="V94" s="6">
        <f t="shared" si="17"/>
        <v>0</v>
      </c>
      <c r="W94" s="6">
        <f t="shared" si="17"/>
        <v>0</v>
      </c>
      <c r="X94" s="6">
        <f t="shared" si="17"/>
        <v>-953.26000000000931</v>
      </c>
      <c r="Y94" s="6">
        <f t="shared" si="17"/>
        <v>-20835.889999999985</v>
      </c>
      <c r="Z94" s="6">
        <f t="shared" si="17"/>
        <v>0</v>
      </c>
      <c r="AA94" s="6">
        <f t="shared" si="17"/>
        <v>-15.350000000000364</v>
      </c>
      <c r="AB94" s="6">
        <f t="shared" si="17"/>
        <v>-0.90999999999985448</v>
      </c>
      <c r="AC94" s="6">
        <f t="shared" si="17"/>
        <v>-1506.44</v>
      </c>
      <c r="AD94" s="6">
        <f t="shared" si="17"/>
        <v>6301.4100000000035</v>
      </c>
      <c r="AE94" s="6">
        <f t="shared" si="17"/>
        <v>0</v>
      </c>
      <c r="AF94" s="6">
        <f t="shared" si="10"/>
        <v>1188975.2800000003</v>
      </c>
    </row>
    <row r="95" spans="1:32" x14ac:dyDescent="0.25">
      <c r="A95" s="3" t="s">
        <v>120</v>
      </c>
      <c r="B95" s="7">
        <f t="shared" ref="B95:AE95" si="18">(B94)+(0)</f>
        <v>137334.22000000009</v>
      </c>
      <c r="C95" s="7">
        <f t="shared" si="18"/>
        <v>135.01</v>
      </c>
      <c r="D95" s="7">
        <f t="shared" si="18"/>
        <v>-3700</v>
      </c>
      <c r="E95" s="7">
        <f t="shared" si="18"/>
        <v>0</v>
      </c>
      <c r="F95" s="7">
        <f t="shared" si="18"/>
        <v>0</v>
      </c>
      <c r="G95" s="7">
        <f t="shared" si="18"/>
        <v>972036.39</v>
      </c>
      <c r="H95" s="7">
        <f t="shared" si="18"/>
        <v>0</v>
      </c>
      <c r="I95" s="7">
        <f t="shared" si="18"/>
        <v>-39509.509999999995</v>
      </c>
      <c r="J95" s="7">
        <f t="shared" si="18"/>
        <v>0</v>
      </c>
      <c r="K95" s="7">
        <f t="shared" si="18"/>
        <v>-63222.390000000007</v>
      </c>
      <c r="L95" s="7">
        <f t="shared" si="18"/>
        <v>5282.6500000000087</v>
      </c>
      <c r="M95" s="7">
        <f t="shared" si="18"/>
        <v>0</v>
      </c>
      <c r="N95" s="7">
        <f t="shared" si="18"/>
        <v>3314.1499999999996</v>
      </c>
      <c r="O95" s="7">
        <f t="shared" si="18"/>
        <v>-49681.67</v>
      </c>
      <c r="P95" s="7">
        <f t="shared" si="18"/>
        <v>39284.44</v>
      </c>
      <c r="Q95" s="7">
        <f t="shared" si="18"/>
        <v>0</v>
      </c>
      <c r="R95" s="7">
        <f t="shared" si="18"/>
        <v>303532.09999999998</v>
      </c>
      <c r="S95" s="7">
        <f t="shared" si="18"/>
        <v>-98819.68</v>
      </c>
      <c r="T95" s="7">
        <f t="shared" si="18"/>
        <v>1.0000000009313226E-2</v>
      </c>
      <c r="U95" s="7">
        <f t="shared" si="18"/>
        <v>0</v>
      </c>
      <c r="V95" s="7">
        <f t="shared" si="18"/>
        <v>0</v>
      </c>
      <c r="W95" s="7">
        <f t="shared" si="18"/>
        <v>0</v>
      </c>
      <c r="X95" s="7">
        <f t="shared" si="18"/>
        <v>-953.26000000000931</v>
      </c>
      <c r="Y95" s="7">
        <f t="shared" si="18"/>
        <v>-20835.889999999985</v>
      </c>
      <c r="Z95" s="7">
        <f t="shared" si="18"/>
        <v>0</v>
      </c>
      <c r="AA95" s="7">
        <f t="shared" si="18"/>
        <v>-15.350000000000364</v>
      </c>
      <c r="AB95" s="7">
        <f t="shared" si="18"/>
        <v>-0.90999999999985448</v>
      </c>
      <c r="AC95" s="7">
        <f t="shared" si="18"/>
        <v>-1506.44</v>
      </c>
      <c r="AD95" s="7">
        <f t="shared" si="18"/>
        <v>6301.4100000000035</v>
      </c>
      <c r="AE95" s="7">
        <f t="shared" si="18"/>
        <v>0</v>
      </c>
      <c r="AF95" s="7">
        <f t="shared" si="10"/>
        <v>1188975.2800000003</v>
      </c>
    </row>
    <row r="96" spans="1:32" x14ac:dyDescent="0.25">
      <c r="A96" s="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9" spans="1:32" x14ac:dyDescent="0.25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</sheetData>
  <mergeCells count="4">
    <mergeCell ref="A99:AF99"/>
    <mergeCell ref="A1:AF1"/>
    <mergeCell ref="A2:AF2"/>
    <mergeCell ref="A3:AF3"/>
  </mergeCells>
  <pageMargins left="0.25" right="0.25" top="0.75" bottom="0.75" header="0.3" footer="0.3"/>
  <pageSetup paperSize="5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Angie Perkins</cp:lastModifiedBy>
  <cp:lastPrinted>2023-01-06T17:41:42Z</cp:lastPrinted>
  <dcterms:created xsi:type="dcterms:W3CDTF">2023-01-06T17:32:05Z</dcterms:created>
  <dcterms:modified xsi:type="dcterms:W3CDTF">2023-01-06T17:42:08Z</dcterms:modified>
</cp:coreProperties>
</file>