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ust\Desktop\Board Meeting Attachments\"/>
    </mc:Choice>
  </mc:AlternateContent>
  <xr:revisionPtr revIDLastSave="0" documentId="8_{8DE2A694-64F9-41AE-806B-304D1F1588FC}" xr6:coauthVersionLast="47" xr6:coauthVersionMax="47" xr10:uidLastSave="{00000000-0000-0000-0000-000000000000}"/>
  <bookViews>
    <workbookView xWindow="11955" yWindow="1035" windowWidth="13725" windowHeight="13365" xr2:uid="{00000000-000D-0000-FFFF-FFFF00000000}"/>
  </bookViews>
  <sheets>
    <sheet name="Profit and Loss by Clas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91" i="1" l="1"/>
  <c r="U91" i="1"/>
  <c r="T91" i="1"/>
  <c r="P91" i="1"/>
  <c r="O91" i="1"/>
  <c r="M91" i="1"/>
  <c r="G91" i="1"/>
  <c r="C91" i="1"/>
  <c r="Z90" i="1"/>
  <c r="Z91" i="1" s="1"/>
  <c r="Y90" i="1"/>
  <c r="Y91" i="1" s="1"/>
  <c r="X90" i="1"/>
  <c r="W90" i="1"/>
  <c r="W91" i="1" s="1"/>
  <c r="V90" i="1"/>
  <c r="U90" i="1"/>
  <c r="T90" i="1"/>
  <c r="S90" i="1"/>
  <c r="S91" i="1" s="1"/>
  <c r="R90" i="1"/>
  <c r="R91" i="1" s="1"/>
  <c r="Q90" i="1"/>
  <c r="Q91" i="1" s="1"/>
  <c r="P90" i="1"/>
  <c r="O90" i="1"/>
  <c r="N90" i="1"/>
  <c r="N91" i="1" s="1"/>
  <c r="L90" i="1"/>
  <c r="L91" i="1" s="1"/>
  <c r="K90" i="1"/>
  <c r="K91" i="1" s="1"/>
  <c r="J90" i="1"/>
  <c r="J91" i="1" s="1"/>
  <c r="I90" i="1"/>
  <c r="I91" i="1" s="1"/>
  <c r="H90" i="1"/>
  <c r="H91" i="1" s="1"/>
  <c r="G90" i="1"/>
  <c r="F90" i="1"/>
  <c r="E90" i="1"/>
  <c r="E91" i="1" s="1"/>
  <c r="D90" i="1"/>
  <c r="D91" i="1" s="1"/>
  <c r="X89" i="1"/>
  <c r="X91" i="1" s="1"/>
  <c r="V89" i="1"/>
  <c r="V91" i="1" s="1"/>
  <c r="F89" i="1"/>
  <c r="B89" i="1"/>
  <c r="B91" i="1" s="1"/>
  <c r="AB88" i="1"/>
  <c r="W87" i="1"/>
  <c r="U87" i="1"/>
  <c r="S87" i="1"/>
  <c r="O87" i="1"/>
  <c r="L87" i="1"/>
  <c r="J87" i="1"/>
  <c r="I87" i="1"/>
  <c r="G87" i="1"/>
  <c r="E87" i="1"/>
  <c r="C87" i="1"/>
  <c r="B86" i="1"/>
  <c r="AB86" i="1" s="1"/>
  <c r="Y85" i="1"/>
  <c r="Y87" i="1" s="1"/>
  <c r="V85" i="1"/>
  <c r="R85" i="1"/>
  <c r="M85" i="1"/>
  <c r="M87" i="1" s="1"/>
  <c r="F85" i="1"/>
  <c r="D85" i="1"/>
  <c r="B85" i="1"/>
  <c r="AB85" i="1" s="1"/>
  <c r="AA84" i="1"/>
  <c r="Z84" i="1"/>
  <c r="Z87" i="1" s="1"/>
  <c r="X84" i="1"/>
  <c r="W84" i="1"/>
  <c r="V84" i="1"/>
  <c r="T84" i="1"/>
  <c r="T87" i="1" s="1"/>
  <c r="R84" i="1"/>
  <c r="R87" i="1" s="1"/>
  <c r="Q84" i="1"/>
  <c r="Q87" i="1" s="1"/>
  <c r="N84" i="1"/>
  <c r="N87" i="1" s="1"/>
  <c r="K84" i="1"/>
  <c r="K87" i="1" s="1"/>
  <c r="H84" i="1"/>
  <c r="H87" i="1" s="1"/>
  <c r="F84" i="1"/>
  <c r="F87" i="1" s="1"/>
  <c r="D84" i="1"/>
  <c r="B84" i="1"/>
  <c r="AB84" i="1" s="1"/>
  <c r="X83" i="1"/>
  <c r="X87" i="1" s="1"/>
  <c r="W83" i="1"/>
  <c r="V83" i="1"/>
  <c r="D83" i="1"/>
  <c r="B83" i="1"/>
  <c r="B87" i="1" s="1"/>
  <c r="AA82" i="1"/>
  <c r="V82" i="1"/>
  <c r="P82" i="1"/>
  <c r="P87" i="1" s="1"/>
  <c r="AB81" i="1"/>
  <c r="AA80" i="1"/>
  <c r="Y80" i="1"/>
  <c r="U80" i="1"/>
  <c r="T80" i="1"/>
  <c r="S80" i="1"/>
  <c r="Q80" i="1"/>
  <c r="P80" i="1"/>
  <c r="L80" i="1"/>
  <c r="I80" i="1"/>
  <c r="H80" i="1"/>
  <c r="E80" i="1"/>
  <c r="C80" i="1"/>
  <c r="F79" i="1"/>
  <c r="B79" i="1"/>
  <c r="AB79" i="1" s="1"/>
  <c r="Z78" i="1"/>
  <c r="X78" i="1"/>
  <c r="W78" i="1"/>
  <c r="V78" i="1"/>
  <c r="R78" i="1"/>
  <c r="O78" i="1"/>
  <c r="O80" i="1" s="1"/>
  <c r="N78" i="1"/>
  <c r="N80" i="1" s="1"/>
  <c r="M78" i="1"/>
  <c r="K78" i="1"/>
  <c r="K80" i="1" s="1"/>
  <c r="J78" i="1"/>
  <c r="J80" i="1" s="1"/>
  <c r="G78" i="1"/>
  <c r="G80" i="1" s="1"/>
  <c r="F78" i="1"/>
  <c r="AB78" i="1" s="1"/>
  <c r="D78" i="1"/>
  <c r="B78" i="1"/>
  <c r="X77" i="1"/>
  <c r="X80" i="1" s="1"/>
  <c r="M77" i="1"/>
  <c r="F77" i="1"/>
  <c r="D77" i="1"/>
  <c r="B77" i="1"/>
  <c r="V76" i="1"/>
  <c r="F76" i="1"/>
  <c r="B76" i="1"/>
  <c r="AB76" i="1" s="1"/>
  <c r="Z75" i="1"/>
  <c r="Z80" i="1" s="1"/>
  <c r="W75" i="1"/>
  <c r="W80" i="1" s="1"/>
  <c r="V75" i="1"/>
  <c r="R75" i="1"/>
  <c r="F75" i="1"/>
  <c r="D75" i="1"/>
  <c r="B75" i="1"/>
  <c r="AB75" i="1" s="1"/>
  <c r="AB74" i="1"/>
  <c r="V74" i="1"/>
  <c r="V80" i="1" s="1"/>
  <c r="F74" i="1"/>
  <c r="F80" i="1" s="1"/>
  <c r="B74" i="1"/>
  <c r="AB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E72" i="1"/>
  <c r="D72" i="1"/>
  <c r="C72" i="1"/>
  <c r="B72" i="1"/>
  <c r="AB72" i="1" s="1"/>
  <c r="AB71" i="1"/>
  <c r="F71" i="1"/>
  <c r="B71" i="1"/>
  <c r="F70" i="1"/>
  <c r="F72" i="1" s="1"/>
  <c r="B70" i="1"/>
  <c r="AB70" i="1" s="1"/>
  <c r="AB69" i="1"/>
  <c r="AA65" i="1"/>
  <c r="Z65" i="1"/>
  <c r="W65" i="1"/>
  <c r="U65" i="1"/>
  <c r="T65" i="1"/>
  <c r="S65" i="1"/>
  <c r="R65" i="1"/>
  <c r="P65" i="1"/>
  <c r="O65" i="1"/>
  <c r="M65" i="1"/>
  <c r="L65" i="1"/>
  <c r="K65" i="1"/>
  <c r="J65" i="1"/>
  <c r="I65" i="1"/>
  <c r="H65" i="1"/>
  <c r="G65" i="1"/>
  <c r="E65" i="1"/>
  <c r="D65" i="1"/>
  <c r="C65" i="1"/>
  <c r="F64" i="1"/>
  <c r="AB64" i="1" s="1"/>
  <c r="B63" i="1"/>
  <c r="AB63" i="1" s="1"/>
  <c r="X62" i="1"/>
  <c r="AB62" i="1" s="1"/>
  <c r="Y61" i="1"/>
  <c r="Y65" i="1" s="1"/>
  <c r="V61" i="1"/>
  <c r="N61" i="1"/>
  <c r="N65" i="1" s="1"/>
  <c r="F61" i="1"/>
  <c r="AB61" i="1" s="1"/>
  <c r="B61" i="1"/>
  <c r="F60" i="1"/>
  <c r="B60" i="1"/>
  <c r="AB60" i="1" s="1"/>
  <c r="V59" i="1"/>
  <c r="V65" i="1" s="1"/>
  <c r="Q59" i="1"/>
  <c r="Q65" i="1" s="1"/>
  <c r="D59" i="1"/>
  <c r="F58" i="1"/>
  <c r="B58" i="1"/>
  <c r="AB58" i="1" s="1"/>
  <c r="F57" i="1"/>
  <c r="B57" i="1"/>
  <c r="AB57" i="1" s="1"/>
  <c r="F56" i="1"/>
  <c r="B56" i="1"/>
  <c r="AB56" i="1" s="1"/>
  <c r="F55" i="1"/>
  <c r="B55" i="1"/>
  <c r="AB54" i="1"/>
  <c r="Z53" i="1"/>
  <c r="X53" i="1"/>
  <c r="W53" i="1"/>
  <c r="R53" i="1"/>
  <c r="K53" i="1"/>
  <c r="H53" i="1"/>
  <c r="F53" i="1"/>
  <c r="D53" i="1"/>
  <c r="B53" i="1"/>
  <c r="Y52" i="1"/>
  <c r="W52" i="1"/>
  <c r="U52" i="1"/>
  <c r="T52" i="1"/>
  <c r="M52" i="1"/>
  <c r="L52" i="1"/>
  <c r="I52" i="1"/>
  <c r="I92" i="1" s="1"/>
  <c r="G52" i="1"/>
  <c r="E52" i="1"/>
  <c r="C52" i="1"/>
  <c r="Z51" i="1"/>
  <c r="Z52" i="1" s="1"/>
  <c r="X51" i="1"/>
  <c r="X52" i="1" s="1"/>
  <c r="W51" i="1"/>
  <c r="V51" i="1"/>
  <c r="R51" i="1"/>
  <c r="R52" i="1" s="1"/>
  <c r="O51" i="1"/>
  <c r="K51" i="1"/>
  <c r="J51" i="1"/>
  <c r="J52" i="1" s="1"/>
  <c r="H51" i="1"/>
  <c r="F51" i="1"/>
  <c r="D51" i="1"/>
  <c r="B51" i="1"/>
  <c r="AB51" i="1" s="1"/>
  <c r="F50" i="1"/>
  <c r="B50" i="1"/>
  <c r="AB50" i="1" s="1"/>
  <c r="AB49" i="1"/>
  <c r="AA49" i="1"/>
  <c r="AA52" i="1" s="1"/>
  <c r="B49" i="1"/>
  <c r="X48" i="1"/>
  <c r="W48" i="1"/>
  <c r="V48" i="1"/>
  <c r="V52" i="1" s="1"/>
  <c r="S48" i="1"/>
  <c r="S52" i="1" s="1"/>
  <c r="Q48" i="1"/>
  <c r="Q52" i="1" s="1"/>
  <c r="P48" i="1"/>
  <c r="P52" i="1" s="1"/>
  <c r="O48" i="1"/>
  <c r="O52" i="1" s="1"/>
  <c r="N48" i="1"/>
  <c r="N52" i="1" s="1"/>
  <c r="K48" i="1"/>
  <c r="H48" i="1"/>
  <c r="F48" i="1"/>
  <c r="D48" i="1"/>
  <c r="D52" i="1" s="1"/>
  <c r="B48" i="1"/>
  <c r="AB47" i="1"/>
  <c r="AA46" i="1"/>
  <c r="N46" i="1"/>
  <c r="I46" i="1"/>
  <c r="F46" i="1"/>
  <c r="C46" i="1"/>
  <c r="Z45" i="1"/>
  <c r="Y45" i="1"/>
  <c r="X45" i="1"/>
  <c r="W45" i="1"/>
  <c r="V45" i="1"/>
  <c r="T45" i="1"/>
  <c r="M45" i="1"/>
  <c r="J45" i="1"/>
  <c r="H45" i="1"/>
  <c r="G45" i="1"/>
  <c r="D45" i="1"/>
  <c r="AB45" i="1" s="1"/>
  <c r="AB44" i="1"/>
  <c r="T44" i="1"/>
  <c r="P44" i="1"/>
  <c r="F44" i="1"/>
  <c r="R43" i="1"/>
  <c r="B43" i="1"/>
  <c r="AB43" i="1" s="1"/>
  <c r="AB42" i="1"/>
  <c r="B42" i="1"/>
  <c r="Z41" i="1"/>
  <c r="Y41" i="1"/>
  <c r="X41" i="1"/>
  <c r="W41" i="1"/>
  <c r="V41" i="1"/>
  <c r="T41" i="1"/>
  <c r="S41" i="1"/>
  <c r="M41" i="1"/>
  <c r="J41" i="1"/>
  <c r="H41" i="1"/>
  <c r="G41" i="1"/>
  <c r="D41" i="1"/>
  <c r="V40" i="1"/>
  <c r="U40" i="1"/>
  <c r="S40" i="1"/>
  <c r="P40" i="1"/>
  <c r="L40" i="1"/>
  <c r="F40" i="1"/>
  <c r="B40" i="1"/>
  <c r="Z39" i="1"/>
  <c r="Y39" i="1"/>
  <c r="X39" i="1"/>
  <c r="W39" i="1"/>
  <c r="V39" i="1"/>
  <c r="T39" i="1"/>
  <c r="R39" i="1"/>
  <c r="Q39" i="1"/>
  <c r="P39" i="1"/>
  <c r="O39" i="1"/>
  <c r="O46" i="1" s="1"/>
  <c r="M39" i="1"/>
  <c r="K39" i="1"/>
  <c r="J39" i="1"/>
  <c r="H39" i="1"/>
  <c r="G39" i="1"/>
  <c r="G46" i="1" s="1"/>
  <c r="F39" i="1"/>
  <c r="D39" i="1"/>
  <c r="B39" i="1"/>
  <c r="Z38" i="1"/>
  <c r="Y38" i="1"/>
  <c r="X38" i="1"/>
  <c r="W38" i="1"/>
  <c r="V38" i="1"/>
  <c r="U38" i="1"/>
  <c r="T38" i="1"/>
  <c r="S38" i="1"/>
  <c r="S46" i="1" s="1"/>
  <c r="R38" i="1"/>
  <c r="Q38" i="1"/>
  <c r="Q46" i="1" s="1"/>
  <c r="P38" i="1"/>
  <c r="O38" i="1"/>
  <c r="M38" i="1"/>
  <c r="L38" i="1"/>
  <c r="K38" i="1"/>
  <c r="K46" i="1" s="1"/>
  <c r="J38" i="1"/>
  <c r="H38" i="1"/>
  <c r="G38" i="1"/>
  <c r="F38" i="1"/>
  <c r="E38" i="1"/>
  <c r="D38" i="1"/>
  <c r="D46" i="1" s="1"/>
  <c r="B38" i="1"/>
  <c r="V37" i="1"/>
  <c r="U37" i="1"/>
  <c r="S37" i="1"/>
  <c r="R37" i="1"/>
  <c r="P37" i="1"/>
  <c r="P46" i="1" s="1"/>
  <c r="L37" i="1"/>
  <c r="L46" i="1" s="1"/>
  <c r="F37" i="1"/>
  <c r="E37" i="1"/>
  <c r="B37" i="1"/>
  <c r="Z36" i="1"/>
  <c r="Z46" i="1" s="1"/>
  <c r="Y36" i="1"/>
  <c r="Y46" i="1" s="1"/>
  <c r="X36" i="1"/>
  <c r="W36" i="1"/>
  <c r="V36" i="1"/>
  <c r="T36" i="1"/>
  <c r="M36" i="1"/>
  <c r="M46" i="1" s="1"/>
  <c r="J36" i="1"/>
  <c r="J46" i="1" s="1"/>
  <c r="H36" i="1"/>
  <c r="H46" i="1" s="1"/>
  <c r="G36" i="1"/>
  <c r="D36" i="1"/>
  <c r="R35" i="1"/>
  <c r="B35" i="1"/>
  <c r="AB35" i="1" s="1"/>
  <c r="AA34" i="1"/>
  <c r="W34" i="1"/>
  <c r="N34" i="1"/>
  <c r="M34" i="1"/>
  <c r="I34" i="1"/>
  <c r="F34" i="1"/>
  <c r="E34" i="1"/>
  <c r="C34" i="1"/>
  <c r="V33" i="1"/>
  <c r="U33" i="1"/>
  <c r="U34" i="1" s="1"/>
  <c r="S33" i="1"/>
  <c r="S34" i="1" s="1"/>
  <c r="R33" i="1"/>
  <c r="P33" i="1"/>
  <c r="L33" i="1"/>
  <c r="L34" i="1" s="1"/>
  <c r="F33" i="1"/>
  <c r="E33" i="1"/>
  <c r="B33" i="1"/>
  <c r="Z32" i="1"/>
  <c r="Z34" i="1" s="1"/>
  <c r="Y32" i="1"/>
  <c r="Y34" i="1" s="1"/>
  <c r="Y92" i="1" s="1"/>
  <c r="X32" i="1"/>
  <c r="X34" i="1" s="1"/>
  <c r="W32" i="1"/>
  <c r="V32" i="1"/>
  <c r="V34" i="1" s="1"/>
  <c r="T32" i="1"/>
  <c r="T34" i="1" s="1"/>
  <c r="R32" i="1"/>
  <c r="R34" i="1" s="1"/>
  <c r="Q32" i="1"/>
  <c r="Q34" i="1" s="1"/>
  <c r="P32" i="1"/>
  <c r="O32" i="1"/>
  <c r="O34" i="1" s="1"/>
  <c r="M32" i="1"/>
  <c r="K32" i="1"/>
  <c r="K34" i="1" s="1"/>
  <c r="J32" i="1"/>
  <c r="J34" i="1" s="1"/>
  <c r="H32" i="1"/>
  <c r="H34" i="1" s="1"/>
  <c r="G32" i="1"/>
  <c r="G34" i="1" s="1"/>
  <c r="G92" i="1" s="1"/>
  <c r="F32" i="1"/>
  <c r="D32" i="1"/>
  <c r="D34" i="1" s="1"/>
  <c r="B32" i="1"/>
  <c r="B34" i="1" s="1"/>
  <c r="AB31" i="1"/>
  <c r="AA27" i="1"/>
  <c r="Z27" i="1"/>
  <c r="X27" i="1"/>
  <c r="W27" i="1"/>
  <c r="U27" i="1"/>
  <c r="T27" i="1"/>
  <c r="S27" i="1"/>
  <c r="Q27" i="1"/>
  <c r="O27" i="1"/>
  <c r="N27" i="1"/>
  <c r="M27" i="1"/>
  <c r="L27" i="1"/>
  <c r="K27" i="1"/>
  <c r="I27" i="1"/>
  <c r="G27" i="1"/>
  <c r="F27" i="1"/>
  <c r="E27" i="1"/>
  <c r="D27" i="1"/>
  <c r="C27" i="1"/>
  <c r="B27" i="1"/>
  <c r="Y26" i="1"/>
  <c r="Y27" i="1" s="1"/>
  <c r="V26" i="1"/>
  <c r="V27" i="1" s="1"/>
  <c r="T26" i="1"/>
  <c r="R26" i="1"/>
  <c r="R27" i="1" s="1"/>
  <c r="R28" i="1" s="1"/>
  <c r="R29" i="1" s="1"/>
  <c r="J26" i="1"/>
  <c r="J27" i="1" s="1"/>
  <c r="J28" i="1" s="1"/>
  <c r="J29" i="1" s="1"/>
  <c r="H26" i="1"/>
  <c r="S25" i="1"/>
  <c r="P25" i="1"/>
  <c r="P27" i="1" s="1"/>
  <c r="AB24" i="1"/>
  <c r="B23" i="1"/>
  <c r="AB23" i="1" s="1"/>
  <c r="AA22" i="1"/>
  <c r="Z22" i="1"/>
  <c r="Y22" i="1"/>
  <c r="X22" i="1"/>
  <c r="W22" i="1"/>
  <c r="V22" i="1"/>
  <c r="U22" i="1"/>
  <c r="T22" i="1"/>
  <c r="S22" i="1"/>
  <c r="S28" i="1" s="1"/>
  <c r="S29" i="1" s="1"/>
  <c r="R22" i="1"/>
  <c r="Q22" i="1"/>
  <c r="P22" i="1"/>
  <c r="N22" i="1"/>
  <c r="M22" i="1"/>
  <c r="L22" i="1"/>
  <c r="J22" i="1"/>
  <c r="I22" i="1"/>
  <c r="I28" i="1" s="1"/>
  <c r="I29" i="1" s="1"/>
  <c r="H22" i="1"/>
  <c r="G22" i="1"/>
  <c r="E22" i="1"/>
  <c r="D22" i="1"/>
  <c r="C22" i="1"/>
  <c r="B22" i="1"/>
  <c r="AB21" i="1"/>
  <c r="F21" i="1"/>
  <c r="O20" i="1"/>
  <c r="O22" i="1" s="1"/>
  <c r="K20" i="1"/>
  <c r="K22" i="1" s="1"/>
  <c r="F20" i="1"/>
  <c r="F22" i="1" s="1"/>
  <c r="AA19" i="1"/>
  <c r="AA28" i="1" s="1"/>
  <c r="AA29" i="1" s="1"/>
  <c r="Z19" i="1"/>
  <c r="Z28" i="1" s="1"/>
  <c r="Z29" i="1" s="1"/>
  <c r="Y19" i="1"/>
  <c r="X19" i="1"/>
  <c r="X28" i="1" s="1"/>
  <c r="X29" i="1" s="1"/>
  <c r="W19" i="1"/>
  <c r="V19" i="1"/>
  <c r="U19" i="1"/>
  <c r="U28" i="1" s="1"/>
  <c r="U29" i="1" s="1"/>
  <c r="T19" i="1"/>
  <c r="T28" i="1" s="1"/>
  <c r="T29" i="1" s="1"/>
  <c r="S19" i="1"/>
  <c r="R19" i="1"/>
  <c r="P19" i="1"/>
  <c r="O19" i="1"/>
  <c r="O28" i="1" s="1"/>
  <c r="O29" i="1" s="1"/>
  <c r="L19" i="1"/>
  <c r="L28" i="1" s="1"/>
  <c r="L29" i="1" s="1"/>
  <c r="K19" i="1"/>
  <c r="J19" i="1"/>
  <c r="I19" i="1"/>
  <c r="H19" i="1"/>
  <c r="G19" i="1"/>
  <c r="G28" i="1" s="1"/>
  <c r="G29" i="1" s="1"/>
  <c r="F19" i="1"/>
  <c r="F28" i="1" s="1"/>
  <c r="F29" i="1" s="1"/>
  <c r="E19" i="1"/>
  <c r="E28" i="1" s="1"/>
  <c r="E29" i="1" s="1"/>
  <c r="D19" i="1"/>
  <c r="F18" i="1"/>
  <c r="AB18" i="1" s="1"/>
  <c r="C17" i="1"/>
  <c r="C19" i="1" s="1"/>
  <c r="B17" i="1"/>
  <c r="AB17" i="1" s="1"/>
  <c r="B16" i="1"/>
  <c r="AB16" i="1" s="1"/>
  <c r="B15" i="1"/>
  <c r="AB15" i="1" s="1"/>
  <c r="B14" i="1"/>
  <c r="AB14" i="1" s="1"/>
  <c r="B13" i="1"/>
  <c r="AB13" i="1" s="1"/>
  <c r="B12" i="1"/>
  <c r="AB12" i="1" s="1"/>
  <c r="Q11" i="1"/>
  <c r="Q19" i="1" s="1"/>
  <c r="B11" i="1"/>
  <c r="AB11" i="1" s="1"/>
  <c r="N10" i="1"/>
  <c r="N19" i="1" s="1"/>
  <c r="N28" i="1" s="1"/>
  <c r="N29" i="1" s="1"/>
  <c r="M10" i="1"/>
  <c r="AB10" i="1" s="1"/>
  <c r="B9" i="1"/>
  <c r="AB9" i="1" s="1"/>
  <c r="AA8" i="1"/>
  <c r="M8" i="1"/>
  <c r="B8" i="1"/>
  <c r="AB7" i="1"/>
  <c r="Q92" i="1" l="1"/>
  <c r="Q93" i="1" s="1"/>
  <c r="Q94" i="1" s="1"/>
  <c r="E92" i="1"/>
  <c r="E93" i="1" s="1"/>
  <c r="E94" i="1" s="1"/>
  <c r="N92" i="1"/>
  <c r="N93" i="1" s="1"/>
  <c r="N94" i="1" s="1"/>
  <c r="K52" i="1"/>
  <c r="B65" i="1"/>
  <c r="AB59" i="1"/>
  <c r="D87" i="1"/>
  <c r="AB87" i="1" s="1"/>
  <c r="R80" i="1"/>
  <c r="R92" i="1" s="1"/>
  <c r="R93" i="1" s="1"/>
  <c r="R94" i="1" s="1"/>
  <c r="G93" i="1"/>
  <c r="G94" i="1" s="1"/>
  <c r="V28" i="1"/>
  <c r="V29" i="1" s="1"/>
  <c r="P28" i="1"/>
  <c r="P29" i="1" s="1"/>
  <c r="P93" i="1" s="1"/>
  <c r="P94" i="1" s="1"/>
  <c r="D80" i="1"/>
  <c r="AB77" i="1"/>
  <c r="B19" i="1"/>
  <c r="C28" i="1"/>
  <c r="C29" i="1" s="1"/>
  <c r="C93" i="1" s="1"/>
  <c r="C94" i="1" s="1"/>
  <c r="W28" i="1"/>
  <c r="W29" i="1" s="1"/>
  <c r="K28" i="1"/>
  <c r="K29" i="1" s="1"/>
  <c r="K93" i="1" s="1"/>
  <c r="K94" i="1" s="1"/>
  <c r="AB33" i="1"/>
  <c r="S92" i="1"/>
  <c r="R46" i="1"/>
  <c r="T46" i="1"/>
  <c r="T92" i="1" s="1"/>
  <c r="AB40" i="1"/>
  <c r="AB41" i="1"/>
  <c r="AB48" i="1"/>
  <c r="F65" i="1"/>
  <c r="C92" i="1"/>
  <c r="B80" i="1"/>
  <c r="F91" i="1"/>
  <c r="AB90" i="1"/>
  <c r="AB25" i="1"/>
  <c r="Y28" i="1"/>
  <c r="Y29" i="1" s="1"/>
  <c r="AB36" i="1"/>
  <c r="V46" i="1"/>
  <c r="E46" i="1"/>
  <c r="U46" i="1"/>
  <c r="U92" i="1" s="1"/>
  <c r="U93" i="1" s="1"/>
  <c r="U94" i="1" s="1"/>
  <c r="AB39" i="1"/>
  <c r="Q28" i="1"/>
  <c r="Q29" i="1" s="1"/>
  <c r="D28" i="1"/>
  <c r="D29" i="1" s="1"/>
  <c r="AB26" i="1"/>
  <c r="O92" i="1"/>
  <c r="O93" i="1" s="1"/>
  <c r="O94" i="1" s="1"/>
  <c r="W46" i="1"/>
  <c r="W92" i="1" s="1"/>
  <c r="W93" i="1" s="1"/>
  <c r="W94" i="1" s="1"/>
  <c r="F52" i="1"/>
  <c r="AB53" i="1"/>
  <c r="V87" i="1"/>
  <c r="P34" i="1"/>
  <c r="P92" i="1" s="1"/>
  <c r="X46" i="1"/>
  <c r="L92" i="1"/>
  <c r="L93" i="1" s="1"/>
  <c r="L94" i="1" s="1"/>
  <c r="AB38" i="1"/>
  <c r="H52" i="1"/>
  <c r="H92" i="1" s="1"/>
  <c r="AA87" i="1"/>
  <c r="AA92" i="1" s="1"/>
  <c r="AA93" i="1" s="1"/>
  <c r="AA94" i="1" s="1"/>
  <c r="AB34" i="1"/>
  <c r="D92" i="1"/>
  <c r="D93" i="1" s="1"/>
  <c r="D94" i="1" s="1"/>
  <c r="Y93" i="1"/>
  <c r="Y94" i="1" s="1"/>
  <c r="Z92" i="1"/>
  <c r="Z93" i="1" s="1"/>
  <c r="Z94" i="1" s="1"/>
  <c r="B28" i="1"/>
  <c r="AB22" i="1"/>
  <c r="T93" i="1"/>
  <c r="T94" i="1" s="1"/>
  <c r="J92" i="1"/>
  <c r="J93" i="1" s="1"/>
  <c r="J94" i="1" s="1"/>
  <c r="F92" i="1"/>
  <c r="F93" i="1" s="1"/>
  <c r="F94" i="1" s="1"/>
  <c r="K92" i="1"/>
  <c r="V92" i="1"/>
  <c r="V93" i="1" s="1"/>
  <c r="V94" i="1" s="1"/>
  <c r="I93" i="1"/>
  <c r="I94" i="1" s="1"/>
  <c r="S93" i="1"/>
  <c r="S94" i="1" s="1"/>
  <c r="AB91" i="1"/>
  <c r="M19" i="1"/>
  <c r="M28" i="1" s="1"/>
  <c r="M29" i="1" s="1"/>
  <c r="AB37" i="1"/>
  <c r="M80" i="1"/>
  <c r="M92" i="1" s="1"/>
  <c r="AB32" i="1"/>
  <c r="AB55" i="1"/>
  <c r="H27" i="1"/>
  <c r="H28" i="1" s="1"/>
  <c r="H29" i="1" s="1"/>
  <c r="AB82" i="1"/>
  <c r="AB89" i="1"/>
  <c r="AB83" i="1"/>
  <c r="AB20" i="1"/>
  <c r="AB8" i="1"/>
  <c r="B46" i="1"/>
  <c r="X65" i="1"/>
  <c r="X92" i="1" s="1"/>
  <c r="X93" i="1" s="1"/>
  <c r="X94" i="1" s="1"/>
  <c r="B52" i="1"/>
  <c r="AB52" i="1" s="1"/>
  <c r="AB19" i="1" l="1"/>
  <c r="H93" i="1"/>
  <c r="H94" i="1" s="1"/>
  <c r="AB27" i="1"/>
  <c r="AB46" i="1"/>
  <c r="B92" i="1"/>
  <c r="AB92" i="1" s="1"/>
  <c r="AB28" i="1"/>
  <c r="B29" i="1"/>
  <c r="M93" i="1"/>
  <c r="M94" i="1" s="1"/>
  <c r="AB65" i="1"/>
  <c r="AB80" i="1"/>
  <c r="AB29" i="1" l="1"/>
  <c r="B93" i="1"/>
  <c r="B94" i="1" l="1"/>
  <c r="AB94" i="1" s="1"/>
  <c r="AB93" i="1"/>
</calcChain>
</file>

<file path=xl/sharedStrings.xml><?xml version="1.0" encoding="utf-8"?>
<sst xmlns="http://schemas.openxmlformats.org/spreadsheetml/2006/main" count="143" uniqueCount="116">
  <si>
    <t>0010 - Operations</t>
  </si>
  <si>
    <t>0025 - Staff Account</t>
  </si>
  <si>
    <t>0065 - CRRSA</t>
  </si>
  <si>
    <t>0110 - NKYEC</t>
  </si>
  <si>
    <t>1100 - RSP</t>
  </si>
  <si>
    <t>1130 - DEI Support</t>
  </si>
  <si>
    <t>1135 - DEI Grant</t>
  </si>
  <si>
    <t>1140 - DEI Training</t>
  </si>
  <si>
    <t>1260- Positive Action</t>
  </si>
  <si>
    <t>1310 - EL Local</t>
  </si>
  <si>
    <t>1415 - NKU Regional Consultant</t>
  </si>
  <si>
    <t>1509 - Professional Development</t>
  </si>
  <si>
    <t>1550 - Special Ed PD</t>
  </si>
  <si>
    <t>1975 - YSA</t>
  </si>
  <si>
    <t>2010 - FRYSC State</t>
  </si>
  <si>
    <t>2200 - Mandarin Program</t>
  </si>
  <si>
    <t>2800 - Arts in Education</t>
  </si>
  <si>
    <t>2910 - DAIL</t>
  </si>
  <si>
    <t>3010 - FRYSC - Fed</t>
  </si>
  <si>
    <t>3220 - PERS Effectiveness Coach</t>
  </si>
  <si>
    <t>336I - IDEA-B 21-22</t>
  </si>
  <si>
    <t>3416- SPF</t>
  </si>
  <si>
    <t>3425 - Deeper Learning</t>
  </si>
  <si>
    <t>345I - Title III EL 21-22</t>
  </si>
  <si>
    <t>4101C - Arts Grant</t>
  </si>
  <si>
    <t>Not Specified</t>
  </si>
  <si>
    <t>TOTAL</t>
  </si>
  <si>
    <t>Income</t>
  </si>
  <si>
    <t xml:space="preserve">   31100 UNRESTRICTED INCOME</t>
  </si>
  <si>
    <t xml:space="preserve">      31111 MEMBERSHIPS</t>
  </si>
  <si>
    <t xml:space="preserve">      31510 INTEREST</t>
  </si>
  <si>
    <t xml:space="preserve">      31636 REGISTRATIONS</t>
  </si>
  <si>
    <t xml:space="preserve">      31800 LOCAL GRANT RECEIPTS</t>
  </si>
  <si>
    <t xml:space="preserve">      31913 SPONSORSHIP</t>
  </si>
  <si>
    <t xml:space="preserve">      31980 REFUNDS &amp; REIMBURSEMENTS</t>
  </si>
  <si>
    <t xml:space="preserve">      31981 KEDC REBATE (KPC) &amp;GRREC (AEPA)</t>
  </si>
  <si>
    <t xml:space="preserve">      31996 INDIRECT COSTS RECEIPTS</t>
  </si>
  <si>
    <t xml:space="preserve">      31997 RENT</t>
  </si>
  <si>
    <t xml:space="preserve">      31999 MISC. REVENUES</t>
  </si>
  <si>
    <t xml:space="preserve">      33111 SEEK FUNDS/ADA</t>
  </si>
  <si>
    <t xml:space="preserve">   Total 31100 UNRESTRICTED INCOME</t>
  </si>
  <si>
    <t xml:space="preserve">   31310 SLOTS/TUITION/BUY-IN</t>
  </si>
  <si>
    <t xml:space="preserve">      31311 NKCES/MENTAL HEALTH THERAPY</t>
  </si>
  <si>
    <t xml:space="preserve">   Total 31310 SLOTS/TUITION/BUY-IN</t>
  </si>
  <si>
    <t xml:space="preserve">   31985 SICK LEAVE ESCROW</t>
  </si>
  <si>
    <t xml:space="preserve">   33000 RESTRICTED RECEIPTS</t>
  </si>
  <si>
    <t xml:space="preserve">      33200 STATE  RECEIPTS</t>
  </si>
  <si>
    <t xml:space="preserve">      34500 FEDERAL RECEIPTS</t>
  </si>
  <si>
    <t xml:space="preserve">   Total 33000 RESTRICTED RECEIPTS</t>
  </si>
  <si>
    <t>Total Income</t>
  </si>
  <si>
    <t>Gross Profit</t>
  </si>
  <si>
    <t>Expenses</t>
  </si>
  <si>
    <t xml:space="preserve">   40100 PERSONNEL</t>
  </si>
  <si>
    <t xml:space="preserve">      40110 CERTIFIED PERSONNEL</t>
  </si>
  <si>
    <t xml:space="preserve">      40130 CLASSIFIED PERSONNEL</t>
  </si>
  <si>
    <t xml:space="preserve">   Total 40100 PERSONNEL</t>
  </si>
  <si>
    <t xml:space="preserve">   40200 FRINGE</t>
  </si>
  <si>
    <t xml:space="preserve">      40211 LIFE INSURANCE</t>
  </si>
  <si>
    <t xml:space="preserve">      40221 SOC SEC TAX</t>
  </si>
  <si>
    <t xml:space="preserve">      40222 MEDICARE TAX</t>
  </si>
  <si>
    <t xml:space="preserve">      40231 TEACHER RETIREMENT</t>
  </si>
  <si>
    <t xml:space="preserve">      40232 COUNTY RETIREMENT</t>
  </si>
  <si>
    <t xml:space="preserve">      40233 HEALTH INSURANCE</t>
  </si>
  <si>
    <t xml:space="preserve">      40253 UNEMPLOYMENT</t>
  </si>
  <si>
    <t xml:space="preserve">      40260 WORKERS COMPENSATION</t>
  </si>
  <si>
    <t xml:space="preserve">      40291 SICK LEAVE PROGRAM</t>
  </si>
  <si>
    <t xml:space="preserve">      40294 ADMININSTRATIVE COST - INS</t>
  </si>
  <si>
    <t xml:space="preserve">   Total 40200 FRINGE</t>
  </si>
  <si>
    <t xml:space="preserve">   40300 PROFESSIONAL SERVICES</t>
  </si>
  <si>
    <t xml:space="preserve">      40330 OTHER PROFESSIONAL SERVICES</t>
  </si>
  <si>
    <t xml:space="preserve">      40331 AUDIT</t>
  </si>
  <si>
    <t xml:space="preserve">      40333 PAYROLL SERVICES</t>
  </si>
  <si>
    <t xml:space="preserve">      40340 TECHNICAL SERVICES</t>
  </si>
  <si>
    <t xml:space="preserve">   Total 40300 PROFESSIONAL SERVICES</t>
  </si>
  <si>
    <t xml:space="preserve">   40335 CONTRACTED SERVICE</t>
  </si>
  <si>
    <t xml:space="preserve">   40400 REPAIR/MAINTENANCE</t>
  </si>
  <si>
    <t xml:space="preserve">      40411 WATER</t>
  </si>
  <si>
    <t xml:space="preserve">      40420 MOWING</t>
  </si>
  <si>
    <t xml:space="preserve">      40421 SANITATION SERVICE</t>
  </si>
  <si>
    <t xml:space="preserve">      40430 FACILITIES/REPAIR/MAINTENANCE</t>
  </si>
  <si>
    <t xml:space="preserve">      40441 RENT</t>
  </si>
  <si>
    <t xml:space="preserve">      40620 UTILITIES - GAS/ELECTRIC</t>
  </si>
  <si>
    <t xml:space="preserve">      40648 SOFTWARE/SOFTWARE MAINT</t>
  </si>
  <si>
    <t xml:space="preserve">      40733 FURNITURE</t>
  </si>
  <si>
    <t xml:space="preserve">      40734 COMPUTERS</t>
  </si>
  <si>
    <t xml:space="preserve">      40850 BUILDING REPAIR FUND</t>
  </si>
  <si>
    <t xml:space="preserve">   Total 40400 REPAIR/MAINTENANCE</t>
  </si>
  <si>
    <t xml:space="preserve">   40500 INSURANCE</t>
  </si>
  <si>
    <t xml:space="preserve">      40520 LIABILITY INSURANCE</t>
  </si>
  <si>
    <t xml:space="preserve">      40522 PROPERTY INSURANCE</t>
  </si>
  <si>
    <t xml:space="preserve">   Total 40500 INSURANCE</t>
  </si>
  <si>
    <t xml:space="preserve">   40600 OFFICE EXPENSE</t>
  </si>
  <si>
    <t xml:space="preserve">      40440 POSTAGE MACHINE RENTAL</t>
  </si>
  <si>
    <t xml:space="preserve">      40532 TELEPHONE</t>
  </si>
  <si>
    <t xml:space="preserve">      40550 PRINTING</t>
  </si>
  <si>
    <t xml:space="preserve">      40605 FOOD</t>
  </si>
  <si>
    <t xml:space="preserve">      40610 SUPPLIES</t>
  </si>
  <si>
    <t xml:space="preserve">      40615 JANITORIAL SUPPLIES</t>
  </si>
  <si>
    <t xml:space="preserve">   Total 40600 OFFICE EXPENSE</t>
  </si>
  <si>
    <t xml:space="preserve">   40700 PROGRAM EXPENSES</t>
  </si>
  <si>
    <t xml:space="preserve">      40320 EDUCATIONAL SERVICES</t>
  </si>
  <si>
    <t xml:space="preserve">      40339 REGISTRATION FEE</t>
  </si>
  <si>
    <t xml:space="preserve">      40580 TRAVEL</t>
  </si>
  <si>
    <t xml:space="preserve">      40640 BOOKS/PERIODICALS</t>
  </si>
  <si>
    <t xml:space="preserve">      40720 Interest on Loan</t>
  </si>
  <si>
    <t xml:space="preserve">   Total 40700 PROGRAM EXPENSES</t>
  </si>
  <si>
    <t xml:space="preserve">   40800 OTHER EXPENSES</t>
  </si>
  <si>
    <t xml:space="preserve">      40810 DUES AND FEES</t>
  </si>
  <si>
    <t xml:space="preserve">      40933 INDIRECT COSTS</t>
  </si>
  <si>
    <t xml:space="preserve">   Total 40800 OTHER EXPENSES</t>
  </si>
  <si>
    <t>Total Expenses</t>
  </si>
  <si>
    <t>Net Operating Income</t>
  </si>
  <si>
    <t>Net Income</t>
  </si>
  <si>
    <t>Northern Kentucky Cooperative For Educational Services</t>
  </si>
  <si>
    <t>Profit and Loss by Class</t>
  </si>
  <si>
    <t>July - September,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</si>
</sst>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165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8"/>
  <sheetViews>
    <sheetView tabSelected="1" workbookViewId="0">
      <pane xSplit="1" topLeftCell="H1" activePane="topRight" state="frozen"/>
      <selection pane="topRight" activeCell="H7" sqref="H7"/>
    </sheetView>
  </sheetViews>
  <sheetFormatPr defaultRowHeight="15" x14ac:dyDescent="0.25"/>
  <cols>
    <col min="1" max="1" width="37.85546875" customWidth="1"/>
    <col min="2" max="2" width="10.28515625" customWidth="1"/>
    <col min="3" max="3" width="7.7109375" customWidth="1"/>
    <col min="4" max="4" width="12" customWidth="1"/>
    <col min="5" max="5" width="11.140625" customWidth="1"/>
    <col min="6" max="8" width="10.28515625" customWidth="1"/>
    <col min="9" max="9" width="7.7109375" customWidth="1"/>
    <col min="10" max="10" width="11.140625" customWidth="1"/>
    <col min="11" max="11" width="10.28515625" customWidth="1"/>
    <col min="12" max="12" width="11.140625" customWidth="1"/>
    <col min="13" max="13" width="8.5703125" customWidth="1"/>
    <col min="14" max="14" width="11.140625" customWidth="1"/>
    <col min="15" max="15" width="9.42578125" customWidth="1"/>
    <col min="16" max="16" width="11.140625" customWidth="1"/>
    <col min="17" max="18" width="10.28515625" customWidth="1"/>
    <col min="19" max="24" width="11.140625" customWidth="1"/>
    <col min="25" max="25" width="10.28515625" customWidth="1"/>
    <col min="26" max="26" width="11.140625" customWidth="1"/>
    <col min="27" max="27" width="7.7109375" customWidth="1"/>
    <col min="28" max="28" width="12" customWidth="1"/>
  </cols>
  <sheetData>
    <row r="1" spans="1:28" ht="18" x14ac:dyDescent="0.25">
      <c r="A1" s="11" t="s">
        <v>113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ht="18" x14ac:dyDescent="0.25">
      <c r="A2" s="11" t="s">
        <v>114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x14ac:dyDescent="0.25">
      <c r="A3" s="12" t="s">
        <v>115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5" spans="1:28" ht="60.75" x14ac:dyDescent="0.2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22</v>
      </c>
      <c r="Y5" s="2" t="s">
        <v>23</v>
      </c>
      <c r="Z5" s="2" t="s">
        <v>24</v>
      </c>
      <c r="AA5" s="2" t="s">
        <v>25</v>
      </c>
      <c r="AB5" s="2" t="s">
        <v>26</v>
      </c>
    </row>
    <row r="6" spans="1:28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x14ac:dyDescent="0.25">
      <c r="A7" s="3" t="s">
        <v>28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5">
        <f t="shared" ref="AB7:AB29" si="0">(((((((((((((((((((((((((B7)+(C7))+(D7))+(E7))+(F7))+(G7))+(H7))+(I7))+(J7))+(K7))+(L7))+(M7))+(N7))+(O7))+(P7))+(Q7))+(R7))+(S7))+(T7))+(U7))+(V7))+(W7))+(X7))+(Y7))+(Z7))+(AA7)</f>
        <v>0</v>
      </c>
    </row>
    <row r="8" spans="1:28" x14ac:dyDescent="0.25">
      <c r="A8" s="3" t="s">
        <v>29</v>
      </c>
      <c r="B8" s="5">
        <f>248126.97</f>
        <v>248126.97</v>
      </c>
      <c r="C8" s="4"/>
      <c r="D8" s="4"/>
      <c r="E8" s="4"/>
      <c r="F8" s="4"/>
      <c r="G8" s="4"/>
      <c r="H8" s="4"/>
      <c r="I8" s="4"/>
      <c r="J8" s="4"/>
      <c r="K8" s="4"/>
      <c r="L8" s="4"/>
      <c r="M8" s="5">
        <f>400</f>
        <v>400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5">
        <f>0</f>
        <v>0</v>
      </c>
      <c r="AB8" s="5">
        <f t="shared" si="0"/>
        <v>248526.97</v>
      </c>
    </row>
    <row r="9" spans="1:28" x14ac:dyDescent="0.25">
      <c r="A9" s="3" t="s">
        <v>30</v>
      </c>
      <c r="B9" s="5">
        <f>9057.73</f>
        <v>9057.73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5">
        <f t="shared" si="0"/>
        <v>9057.73</v>
      </c>
    </row>
    <row r="10" spans="1:28" x14ac:dyDescent="0.25">
      <c r="A10" s="3" t="s">
        <v>31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>
        <f>7600</f>
        <v>7600</v>
      </c>
      <c r="N10" s="5">
        <f>16680</f>
        <v>16680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5">
        <f t="shared" si="0"/>
        <v>24280</v>
      </c>
    </row>
    <row r="11" spans="1:28" x14ac:dyDescent="0.25">
      <c r="A11" s="3" t="s">
        <v>32</v>
      </c>
      <c r="B11" s="5">
        <f>15000</f>
        <v>15000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>
        <f>384658</f>
        <v>384658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5">
        <f t="shared" si="0"/>
        <v>399658</v>
      </c>
    </row>
    <row r="12" spans="1:28" x14ac:dyDescent="0.25">
      <c r="A12" s="3" t="s">
        <v>33</v>
      </c>
      <c r="B12" s="5">
        <f>750</f>
        <v>750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>
        <f t="shared" si="0"/>
        <v>750</v>
      </c>
    </row>
    <row r="13" spans="1:28" x14ac:dyDescent="0.25">
      <c r="A13" s="3" t="s">
        <v>34</v>
      </c>
      <c r="B13" s="5">
        <f>1960.33</f>
        <v>1960.33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5">
        <f t="shared" si="0"/>
        <v>1960.33</v>
      </c>
    </row>
    <row r="14" spans="1:28" x14ac:dyDescent="0.25">
      <c r="A14" s="3" t="s">
        <v>35</v>
      </c>
      <c r="B14" s="5">
        <f>27715.13</f>
        <v>27715.13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5">
        <f t="shared" si="0"/>
        <v>27715.13</v>
      </c>
    </row>
    <row r="15" spans="1:28" x14ac:dyDescent="0.25">
      <c r="A15" s="3" t="s">
        <v>36</v>
      </c>
      <c r="B15" s="5">
        <f>175356.14</f>
        <v>175356.14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5">
        <f t="shared" si="0"/>
        <v>175356.14</v>
      </c>
    </row>
    <row r="16" spans="1:28" x14ac:dyDescent="0.25">
      <c r="A16" s="3" t="s">
        <v>37</v>
      </c>
      <c r="B16" s="5">
        <f>54700</f>
        <v>54700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5">
        <f t="shared" si="0"/>
        <v>54700</v>
      </c>
    </row>
    <row r="17" spans="1:28" x14ac:dyDescent="0.25">
      <c r="A17" s="3" t="s">
        <v>38</v>
      </c>
      <c r="B17" s="5">
        <f>305.04</f>
        <v>305.04000000000002</v>
      </c>
      <c r="C17" s="5">
        <f>190</f>
        <v>190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5">
        <f t="shared" si="0"/>
        <v>495.04</v>
      </c>
    </row>
    <row r="18" spans="1:28" x14ac:dyDescent="0.25">
      <c r="A18" s="3" t="s">
        <v>39</v>
      </c>
      <c r="B18" s="4"/>
      <c r="C18" s="4"/>
      <c r="D18" s="4"/>
      <c r="E18" s="4"/>
      <c r="F18" s="5">
        <f>48878.99</f>
        <v>48878.99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5">
        <f t="shared" si="0"/>
        <v>48878.99</v>
      </c>
    </row>
    <row r="19" spans="1:28" x14ac:dyDescent="0.25">
      <c r="A19" s="3" t="s">
        <v>40</v>
      </c>
      <c r="B19" s="6">
        <f t="shared" ref="B19:AA19" si="1">(((((((((((B7)+(B8))+(B9))+(B10))+(B11))+(B12))+(B13))+(B14))+(B15))+(B16))+(B17))+(B18)</f>
        <v>532971.34000000008</v>
      </c>
      <c r="C19" s="6">
        <f t="shared" si="1"/>
        <v>190</v>
      </c>
      <c r="D19" s="6">
        <f t="shared" si="1"/>
        <v>0</v>
      </c>
      <c r="E19" s="6">
        <f t="shared" si="1"/>
        <v>0</v>
      </c>
      <c r="F19" s="6">
        <f t="shared" si="1"/>
        <v>48878.99</v>
      </c>
      <c r="G19" s="6">
        <f t="shared" si="1"/>
        <v>0</v>
      </c>
      <c r="H19" s="6">
        <f t="shared" si="1"/>
        <v>0</v>
      </c>
      <c r="I19" s="6">
        <f t="shared" si="1"/>
        <v>0</v>
      </c>
      <c r="J19" s="6">
        <f t="shared" si="1"/>
        <v>0</v>
      </c>
      <c r="K19" s="6">
        <f t="shared" si="1"/>
        <v>0</v>
      </c>
      <c r="L19" s="6">
        <f t="shared" si="1"/>
        <v>0</v>
      </c>
      <c r="M19" s="6">
        <f t="shared" si="1"/>
        <v>8000</v>
      </c>
      <c r="N19" s="6">
        <f t="shared" si="1"/>
        <v>16680</v>
      </c>
      <c r="O19" s="6">
        <f t="shared" si="1"/>
        <v>0</v>
      </c>
      <c r="P19" s="6">
        <f t="shared" si="1"/>
        <v>0</v>
      </c>
      <c r="Q19" s="6">
        <f t="shared" si="1"/>
        <v>384658</v>
      </c>
      <c r="R19" s="6">
        <f t="shared" si="1"/>
        <v>0</v>
      </c>
      <c r="S19" s="6">
        <f t="shared" si="1"/>
        <v>0</v>
      </c>
      <c r="T19" s="6">
        <f t="shared" si="1"/>
        <v>0</v>
      </c>
      <c r="U19" s="6">
        <f t="shared" si="1"/>
        <v>0</v>
      </c>
      <c r="V19" s="6">
        <f t="shared" si="1"/>
        <v>0</v>
      </c>
      <c r="W19" s="6">
        <f t="shared" si="1"/>
        <v>0</v>
      </c>
      <c r="X19" s="6">
        <f t="shared" si="1"/>
        <v>0</v>
      </c>
      <c r="Y19" s="6">
        <f t="shared" si="1"/>
        <v>0</v>
      </c>
      <c r="Z19" s="6">
        <f t="shared" si="1"/>
        <v>0</v>
      </c>
      <c r="AA19" s="6">
        <f t="shared" si="1"/>
        <v>0</v>
      </c>
      <c r="AB19" s="6">
        <f t="shared" si="0"/>
        <v>991378.33000000007</v>
      </c>
    </row>
    <row r="20" spans="1:28" x14ac:dyDescent="0.25">
      <c r="A20" s="3" t="s">
        <v>41</v>
      </c>
      <c r="B20" s="4"/>
      <c r="C20" s="4"/>
      <c r="D20" s="4"/>
      <c r="E20" s="4"/>
      <c r="F20" s="5">
        <f>839926.75</f>
        <v>839926.75</v>
      </c>
      <c r="G20" s="4"/>
      <c r="H20" s="4"/>
      <c r="I20" s="4"/>
      <c r="J20" s="4"/>
      <c r="K20" s="5">
        <f>25792.76</f>
        <v>25792.76</v>
      </c>
      <c r="L20" s="4"/>
      <c r="M20" s="4"/>
      <c r="N20" s="4"/>
      <c r="O20" s="5">
        <f>95837.81</f>
        <v>95837.81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5">
        <f t="shared" si="0"/>
        <v>961557.32000000007</v>
      </c>
    </row>
    <row r="21" spans="1:28" x14ac:dyDescent="0.25">
      <c r="A21" s="3" t="s">
        <v>42</v>
      </c>
      <c r="B21" s="4"/>
      <c r="C21" s="4"/>
      <c r="D21" s="4"/>
      <c r="E21" s="4"/>
      <c r="F21" s="5">
        <f>13546.57</f>
        <v>13546.57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5">
        <f t="shared" si="0"/>
        <v>13546.57</v>
      </c>
    </row>
    <row r="22" spans="1:28" x14ac:dyDescent="0.25">
      <c r="A22" s="3" t="s">
        <v>43</v>
      </c>
      <c r="B22" s="6">
        <f t="shared" ref="B22:AA22" si="2">(B20)+(B21)</f>
        <v>0</v>
      </c>
      <c r="C22" s="6">
        <f t="shared" si="2"/>
        <v>0</v>
      </c>
      <c r="D22" s="6">
        <f t="shared" si="2"/>
        <v>0</v>
      </c>
      <c r="E22" s="6">
        <f t="shared" si="2"/>
        <v>0</v>
      </c>
      <c r="F22" s="6">
        <f t="shared" si="2"/>
        <v>853473.32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6">
        <f t="shared" si="2"/>
        <v>0</v>
      </c>
      <c r="K22" s="6">
        <f t="shared" si="2"/>
        <v>25792.76</v>
      </c>
      <c r="L22" s="6">
        <f t="shared" si="2"/>
        <v>0</v>
      </c>
      <c r="M22" s="6">
        <f t="shared" si="2"/>
        <v>0</v>
      </c>
      <c r="N22" s="6">
        <f t="shared" si="2"/>
        <v>0</v>
      </c>
      <c r="O22" s="6">
        <f t="shared" si="2"/>
        <v>95837.81</v>
      </c>
      <c r="P22" s="6">
        <f t="shared" si="2"/>
        <v>0</v>
      </c>
      <c r="Q22" s="6">
        <f t="shared" si="2"/>
        <v>0</v>
      </c>
      <c r="R22" s="6">
        <f t="shared" si="2"/>
        <v>0</v>
      </c>
      <c r="S22" s="6">
        <f t="shared" si="2"/>
        <v>0</v>
      </c>
      <c r="T22" s="6">
        <f t="shared" si="2"/>
        <v>0</v>
      </c>
      <c r="U22" s="6">
        <f t="shared" si="2"/>
        <v>0</v>
      </c>
      <c r="V22" s="6">
        <f t="shared" si="2"/>
        <v>0</v>
      </c>
      <c r="W22" s="6">
        <f t="shared" si="2"/>
        <v>0</v>
      </c>
      <c r="X22" s="6">
        <f t="shared" si="2"/>
        <v>0</v>
      </c>
      <c r="Y22" s="6">
        <f t="shared" si="2"/>
        <v>0</v>
      </c>
      <c r="Z22" s="6">
        <f t="shared" si="2"/>
        <v>0</v>
      </c>
      <c r="AA22" s="6">
        <f t="shared" si="2"/>
        <v>0</v>
      </c>
      <c r="AB22" s="6">
        <f t="shared" si="0"/>
        <v>975103.8899999999</v>
      </c>
    </row>
    <row r="23" spans="1:28" x14ac:dyDescent="0.25">
      <c r="A23" s="3" t="s">
        <v>44</v>
      </c>
      <c r="B23" s="5">
        <f>6115.42</f>
        <v>6115.42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5">
        <f t="shared" si="0"/>
        <v>6115.42</v>
      </c>
    </row>
    <row r="24" spans="1:28" x14ac:dyDescent="0.25">
      <c r="A24" s="3" t="s">
        <v>45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5">
        <f t="shared" si="0"/>
        <v>0</v>
      </c>
    </row>
    <row r="25" spans="1:28" x14ac:dyDescent="0.25">
      <c r="A25" s="3" t="s">
        <v>46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>
        <f>128342.3</f>
        <v>128342.3</v>
      </c>
      <c r="Q25" s="4"/>
      <c r="R25" s="4"/>
      <c r="S25" s="5">
        <f>118950.67</f>
        <v>118950.67</v>
      </c>
      <c r="T25" s="4"/>
      <c r="U25" s="4"/>
      <c r="V25" s="4"/>
      <c r="W25" s="4"/>
      <c r="X25" s="4"/>
      <c r="Y25" s="4"/>
      <c r="Z25" s="4"/>
      <c r="AA25" s="4"/>
      <c r="AB25" s="5">
        <f t="shared" si="0"/>
        <v>247292.97</v>
      </c>
    </row>
    <row r="26" spans="1:28" x14ac:dyDescent="0.25">
      <c r="A26" s="3" t="s">
        <v>47</v>
      </c>
      <c r="B26" s="4"/>
      <c r="C26" s="4"/>
      <c r="D26" s="4"/>
      <c r="E26" s="4"/>
      <c r="F26" s="4"/>
      <c r="G26" s="4"/>
      <c r="H26" s="5">
        <f>21313.41</f>
        <v>21313.41</v>
      </c>
      <c r="I26" s="4"/>
      <c r="J26" s="5">
        <f>3144</f>
        <v>3144</v>
      </c>
      <c r="K26" s="4"/>
      <c r="L26" s="4"/>
      <c r="M26" s="4"/>
      <c r="N26" s="4"/>
      <c r="O26" s="4"/>
      <c r="P26" s="4"/>
      <c r="Q26" s="4"/>
      <c r="R26" s="5">
        <f>270988.21</f>
        <v>270988.21000000002</v>
      </c>
      <c r="S26" s="4"/>
      <c r="T26" s="5">
        <f>35958.51</f>
        <v>35958.51</v>
      </c>
      <c r="U26" s="4"/>
      <c r="V26" s="5">
        <f>205402</f>
        <v>205402</v>
      </c>
      <c r="W26" s="4"/>
      <c r="X26" s="4"/>
      <c r="Y26" s="5">
        <f>3731</f>
        <v>3731</v>
      </c>
      <c r="Z26" s="4"/>
      <c r="AA26" s="4"/>
      <c r="AB26" s="5">
        <f t="shared" si="0"/>
        <v>540537.13</v>
      </c>
    </row>
    <row r="27" spans="1:28" x14ac:dyDescent="0.25">
      <c r="A27" s="3" t="s">
        <v>48</v>
      </c>
      <c r="B27" s="6">
        <f t="shared" ref="B27:AA27" si="3">((B24)+(B25))+(B26)</f>
        <v>0</v>
      </c>
      <c r="C27" s="6">
        <f t="shared" si="3"/>
        <v>0</v>
      </c>
      <c r="D27" s="6">
        <f t="shared" si="3"/>
        <v>0</v>
      </c>
      <c r="E27" s="6">
        <f t="shared" si="3"/>
        <v>0</v>
      </c>
      <c r="F27" s="6">
        <f t="shared" si="3"/>
        <v>0</v>
      </c>
      <c r="G27" s="6">
        <f t="shared" si="3"/>
        <v>0</v>
      </c>
      <c r="H27" s="6">
        <f t="shared" si="3"/>
        <v>21313.41</v>
      </c>
      <c r="I27" s="6">
        <f t="shared" si="3"/>
        <v>0</v>
      </c>
      <c r="J27" s="6">
        <f t="shared" si="3"/>
        <v>3144</v>
      </c>
      <c r="K27" s="6">
        <f t="shared" si="3"/>
        <v>0</v>
      </c>
      <c r="L27" s="6">
        <f t="shared" si="3"/>
        <v>0</v>
      </c>
      <c r="M27" s="6">
        <f t="shared" si="3"/>
        <v>0</v>
      </c>
      <c r="N27" s="6">
        <f t="shared" si="3"/>
        <v>0</v>
      </c>
      <c r="O27" s="6">
        <f t="shared" si="3"/>
        <v>0</v>
      </c>
      <c r="P27" s="6">
        <f t="shared" si="3"/>
        <v>128342.3</v>
      </c>
      <c r="Q27" s="6">
        <f t="shared" si="3"/>
        <v>0</v>
      </c>
      <c r="R27" s="6">
        <f t="shared" si="3"/>
        <v>270988.21000000002</v>
      </c>
      <c r="S27" s="6">
        <f t="shared" si="3"/>
        <v>118950.67</v>
      </c>
      <c r="T27" s="6">
        <f t="shared" si="3"/>
        <v>35958.51</v>
      </c>
      <c r="U27" s="6">
        <f t="shared" si="3"/>
        <v>0</v>
      </c>
      <c r="V27" s="6">
        <f t="shared" si="3"/>
        <v>205402</v>
      </c>
      <c r="W27" s="6">
        <f t="shared" si="3"/>
        <v>0</v>
      </c>
      <c r="X27" s="6">
        <f t="shared" si="3"/>
        <v>0</v>
      </c>
      <c r="Y27" s="6">
        <f t="shared" si="3"/>
        <v>3731</v>
      </c>
      <c r="Z27" s="6">
        <f t="shared" si="3"/>
        <v>0</v>
      </c>
      <c r="AA27" s="6">
        <f t="shared" si="3"/>
        <v>0</v>
      </c>
      <c r="AB27" s="6">
        <f t="shared" si="0"/>
        <v>787830.10000000009</v>
      </c>
    </row>
    <row r="28" spans="1:28" x14ac:dyDescent="0.25">
      <c r="A28" s="3" t="s">
        <v>49</v>
      </c>
      <c r="B28" s="6">
        <f t="shared" ref="B28:AA28" si="4">(((B19)+(B22))+(B23))+(B27)</f>
        <v>539086.76000000013</v>
      </c>
      <c r="C28" s="6">
        <f t="shared" si="4"/>
        <v>190</v>
      </c>
      <c r="D28" s="6">
        <f t="shared" si="4"/>
        <v>0</v>
      </c>
      <c r="E28" s="6">
        <f t="shared" si="4"/>
        <v>0</v>
      </c>
      <c r="F28" s="6">
        <f t="shared" si="4"/>
        <v>902352.30999999994</v>
      </c>
      <c r="G28" s="6">
        <f t="shared" si="4"/>
        <v>0</v>
      </c>
      <c r="H28" s="6">
        <f t="shared" si="4"/>
        <v>21313.41</v>
      </c>
      <c r="I28" s="6">
        <f t="shared" si="4"/>
        <v>0</v>
      </c>
      <c r="J28" s="6">
        <f t="shared" si="4"/>
        <v>3144</v>
      </c>
      <c r="K28" s="6">
        <f t="shared" si="4"/>
        <v>25792.76</v>
      </c>
      <c r="L28" s="6">
        <f t="shared" si="4"/>
        <v>0</v>
      </c>
      <c r="M28" s="6">
        <f t="shared" si="4"/>
        <v>8000</v>
      </c>
      <c r="N28" s="6">
        <f t="shared" si="4"/>
        <v>16680</v>
      </c>
      <c r="O28" s="6">
        <f t="shared" si="4"/>
        <v>95837.81</v>
      </c>
      <c r="P28" s="6">
        <f t="shared" si="4"/>
        <v>128342.3</v>
      </c>
      <c r="Q28" s="6">
        <f t="shared" si="4"/>
        <v>384658</v>
      </c>
      <c r="R28" s="6">
        <f t="shared" si="4"/>
        <v>270988.21000000002</v>
      </c>
      <c r="S28" s="6">
        <f t="shared" si="4"/>
        <v>118950.67</v>
      </c>
      <c r="T28" s="6">
        <f t="shared" si="4"/>
        <v>35958.51</v>
      </c>
      <c r="U28" s="6">
        <f t="shared" si="4"/>
        <v>0</v>
      </c>
      <c r="V28" s="6">
        <f t="shared" si="4"/>
        <v>205402</v>
      </c>
      <c r="W28" s="6">
        <f t="shared" si="4"/>
        <v>0</v>
      </c>
      <c r="X28" s="6">
        <f t="shared" si="4"/>
        <v>0</v>
      </c>
      <c r="Y28" s="6">
        <f t="shared" si="4"/>
        <v>3731</v>
      </c>
      <c r="Z28" s="6">
        <f t="shared" si="4"/>
        <v>0</v>
      </c>
      <c r="AA28" s="6">
        <f t="shared" si="4"/>
        <v>0</v>
      </c>
      <c r="AB28" s="6">
        <f t="shared" si="0"/>
        <v>2760427.7399999998</v>
      </c>
    </row>
    <row r="29" spans="1:28" x14ac:dyDescent="0.25">
      <c r="A29" s="3" t="s">
        <v>50</v>
      </c>
      <c r="B29" s="6">
        <f t="shared" ref="B29:AA29" si="5">(B28)-(0)</f>
        <v>539086.76000000013</v>
      </c>
      <c r="C29" s="6">
        <f t="shared" si="5"/>
        <v>190</v>
      </c>
      <c r="D29" s="6">
        <f t="shared" si="5"/>
        <v>0</v>
      </c>
      <c r="E29" s="6">
        <f t="shared" si="5"/>
        <v>0</v>
      </c>
      <c r="F29" s="6">
        <f t="shared" si="5"/>
        <v>902352.30999999994</v>
      </c>
      <c r="G29" s="6">
        <f t="shared" si="5"/>
        <v>0</v>
      </c>
      <c r="H29" s="6">
        <f t="shared" si="5"/>
        <v>21313.41</v>
      </c>
      <c r="I29" s="6">
        <f t="shared" si="5"/>
        <v>0</v>
      </c>
      <c r="J29" s="6">
        <f t="shared" si="5"/>
        <v>3144</v>
      </c>
      <c r="K29" s="6">
        <f t="shared" si="5"/>
        <v>25792.76</v>
      </c>
      <c r="L29" s="6">
        <f t="shared" si="5"/>
        <v>0</v>
      </c>
      <c r="M29" s="6">
        <f t="shared" si="5"/>
        <v>8000</v>
      </c>
      <c r="N29" s="6">
        <f t="shared" si="5"/>
        <v>16680</v>
      </c>
      <c r="O29" s="6">
        <f t="shared" si="5"/>
        <v>95837.81</v>
      </c>
      <c r="P29" s="6">
        <f t="shared" si="5"/>
        <v>128342.3</v>
      </c>
      <c r="Q29" s="6">
        <f t="shared" si="5"/>
        <v>384658</v>
      </c>
      <c r="R29" s="6">
        <f t="shared" si="5"/>
        <v>270988.21000000002</v>
      </c>
      <c r="S29" s="6">
        <f t="shared" si="5"/>
        <v>118950.67</v>
      </c>
      <c r="T29" s="6">
        <f t="shared" si="5"/>
        <v>35958.51</v>
      </c>
      <c r="U29" s="6">
        <f t="shared" si="5"/>
        <v>0</v>
      </c>
      <c r="V29" s="6">
        <f t="shared" si="5"/>
        <v>205402</v>
      </c>
      <c r="W29" s="6">
        <f t="shared" si="5"/>
        <v>0</v>
      </c>
      <c r="X29" s="6">
        <f t="shared" si="5"/>
        <v>0</v>
      </c>
      <c r="Y29" s="6">
        <f t="shared" si="5"/>
        <v>3731</v>
      </c>
      <c r="Z29" s="6">
        <f t="shared" si="5"/>
        <v>0</v>
      </c>
      <c r="AA29" s="6">
        <f t="shared" si="5"/>
        <v>0</v>
      </c>
      <c r="AB29" s="6">
        <f t="shared" si="0"/>
        <v>2760427.7399999998</v>
      </c>
    </row>
    <row r="30" spans="1:28" x14ac:dyDescent="0.25">
      <c r="A30" s="3" t="s">
        <v>51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x14ac:dyDescent="0.25">
      <c r="A31" s="3" t="s">
        <v>52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5">
        <f t="shared" ref="AB31:AB62" si="6">(((((((((((((((((((((((((B31)+(C31))+(D31))+(E31))+(F31))+(G31))+(H31))+(I31))+(J31))+(K31))+(L31))+(M31))+(N31))+(O31))+(P31))+(Q31))+(R31))+(S31))+(T31))+(U31))+(V31))+(W31))+(X31))+(Y31))+(Z31))+(AA31)</f>
        <v>0</v>
      </c>
    </row>
    <row r="32" spans="1:28" x14ac:dyDescent="0.25">
      <c r="A32" s="3" t="s">
        <v>53</v>
      </c>
      <c r="B32" s="5">
        <f>67678.92</f>
        <v>67678.92</v>
      </c>
      <c r="C32" s="4"/>
      <c r="D32" s="5">
        <f>86269.86</f>
        <v>86269.86</v>
      </c>
      <c r="E32" s="4"/>
      <c r="F32" s="5">
        <f>173208.26</f>
        <v>173208.26</v>
      </c>
      <c r="G32" s="5">
        <f>4471</f>
        <v>4471</v>
      </c>
      <c r="H32" s="5">
        <f>17018.48</f>
        <v>17018.48</v>
      </c>
      <c r="I32" s="4"/>
      <c r="J32" s="5">
        <f>24917.6</f>
        <v>24917.599999999999</v>
      </c>
      <c r="K32" s="5">
        <f>24945.42</f>
        <v>24945.42</v>
      </c>
      <c r="L32" s="4"/>
      <c r="M32" s="5">
        <f>1013.84</f>
        <v>1013.84</v>
      </c>
      <c r="N32" s="4"/>
      <c r="O32" s="5">
        <f>13367.64</f>
        <v>13367.64</v>
      </c>
      <c r="P32" s="5">
        <f>140536.89</f>
        <v>140536.89000000001</v>
      </c>
      <c r="Q32" s="5">
        <f>13365</f>
        <v>13365</v>
      </c>
      <c r="R32" s="5">
        <f>60000</f>
        <v>60000</v>
      </c>
      <c r="S32" s="4"/>
      <c r="T32" s="5">
        <f>28768.2</f>
        <v>28768.2</v>
      </c>
      <c r="U32" s="4"/>
      <c r="V32" s="5">
        <f>136876.84</f>
        <v>136876.84</v>
      </c>
      <c r="W32" s="5">
        <f>41726.88</f>
        <v>41726.879999999997</v>
      </c>
      <c r="X32" s="5">
        <f>64134.58</f>
        <v>64134.58</v>
      </c>
      <c r="Y32" s="5">
        <f>2333.4</f>
        <v>2333.4</v>
      </c>
      <c r="Z32" s="5">
        <f>25404.42</f>
        <v>25404.42</v>
      </c>
      <c r="AA32" s="4"/>
      <c r="AB32" s="5">
        <f t="shared" si="6"/>
        <v>926037.23</v>
      </c>
    </row>
    <row r="33" spans="1:28" x14ac:dyDescent="0.25">
      <c r="A33" s="3" t="s">
        <v>54</v>
      </c>
      <c r="B33" s="5">
        <f>65907.14</f>
        <v>65907.14</v>
      </c>
      <c r="C33" s="4"/>
      <c r="D33" s="4"/>
      <c r="E33" s="5">
        <f>11531.28</f>
        <v>11531.28</v>
      </c>
      <c r="F33" s="5">
        <f>37828.42</f>
        <v>37828.42</v>
      </c>
      <c r="G33" s="4"/>
      <c r="H33" s="4"/>
      <c r="I33" s="4"/>
      <c r="J33" s="4"/>
      <c r="K33" s="4"/>
      <c r="L33" s="5">
        <f>17082.3</f>
        <v>17082.3</v>
      </c>
      <c r="M33" s="4"/>
      <c r="N33" s="4"/>
      <c r="O33" s="4"/>
      <c r="P33" s="5">
        <f>9532.02</f>
        <v>9532.02</v>
      </c>
      <c r="Q33" s="4"/>
      <c r="R33" s="5">
        <f>1555.4</f>
        <v>1555.4</v>
      </c>
      <c r="S33" s="5">
        <f>120577.98</f>
        <v>120577.98</v>
      </c>
      <c r="T33" s="4"/>
      <c r="U33" s="5">
        <f>15000</f>
        <v>15000</v>
      </c>
      <c r="V33" s="5">
        <f>14322.48</f>
        <v>14322.48</v>
      </c>
      <c r="W33" s="4"/>
      <c r="X33" s="4"/>
      <c r="Y33" s="4"/>
      <c r="Z33" s="4"/>
      <c r="AA33" s="4"/>
      <c r="AB33" s="5">
        <f t="shared" si="6"/>
        <v>293337.01999999996</v>
      </c>
    </row>
    <row r="34" spans="1:28" x14ac:dyDescent="0.25">
      <c r="A34" s="3" t="s">
        <v>55</v>
      </c>
      <c r="B34" s="6">
        <f t="shared" ref="B34:AA34" si="7">((B31)+(B32))+(B33)</f>
        <v>133586.06</v>
      </c>
      <c r="C34" s="6">
        <f t="shared" si="7"/>
        <v>0</v>
      </c>
      <c r="D34" s="6">
        <f t="shared" si="7"/>
        <v>86269.86</v>
      </c>
      <c r="E34" s="6">
        <f t="shared" si="7"/>
        <v>11531.28</v>
      </c>
      <c r="F34" s="6">
        <f t="shared" si="7"/>
        <v>211036.68</v>
      </c>
      <c r="G34" s="6">
        <f t="shared" si="7"/>
        <v>4471</v>
      </c>
      <c r="H34" s="6">
        <f t="shared" si="7"/>
        <v>17018.48</v>
      </c>
      <c r="I34" s="6">
        <f t="shared" si="7"/>
        <v>0</v>
      </c>
      <c r="J34" s="6">
        <f t="shared" si="7"/>
        <v>24917.599999999999</v>
      </c>
      <c r="K34" s="6">
        <f t="shared" si="7"/>
        <v>24945.42</v>
      </c>
      <c r="L34" s="6">
        <f t="shared" si="7"/>
        <v>17082.3</v>
      </c>
      <c r="M34" s="6">
        <f t="shared" si="7"/>
        <v>1013.84</v>
      </c>
      <c r="N34" s="6">
        <f t="shared" si="7"/>
        <v>0</v>
      </c>
      <c r="O34" s="6">
        <f t="shared" si="7"/>
        <v>13367.64</v>
      </c>
      <c r="P34" s="6">
        <f t="shared" si="7"/>
        <v>150068.91</v>
      </c>
      <c r="Q34" s="6">
        <f t="shared" si="7"/>
        <v>13365</v>
      </c>
      <c r="R34" s="6">
        <f t="shared" si="7"/>
        <v>61555.4</v>
      </c>
      <c r="S34" s="6">
        <f t="shared" si="7"/>
        <v>120577.98</v>
      </c>
      <c r="T34" s="6">
        <f t="shared" si="7"/>
        <v>28768.2</v>
      </c>
      <c r="U34" s="6">
        <f t="shared" si="7"/>
        <v>15000</v>
      </c>
      <c r="V34" s="6">
        <f t="shared" si="7"/>
        <v>151199.32</v>
      </c>
      <c r="W34" s="6">
        <f t="shared" si="7"/>
        <v>41726.879999999997</v>
      </c>
      <c r="X34" s="6">
        <f t="shared" si="7"/>
        <v>64134.58</v>
      </c>
      <c r="Y34" s="6">
        <f t="shared" si="7"/>
        <v>2333.4</v>
      </c>
      <c r="Z34" s="6">
        <f t="shared" si="7"/>
        <v>25404.42</v>
      </c>
      <c r="AA34" s="6">
        <f t="shared" si="7"/>
        <v>0</v>
      </c>
      <c r="AB34" s="6">
        <f t="shared" si="6"/>
        <v>1219374.2499999998</v>
      </c>
    </row>
    <row r="35" spans="1:28" x14ac:dyDescent="0.25">
      <c r="A35" s="3" t="s">
        <v>56</v>
      </c>
      <c r="B35" s="5">
        <f>-15130</f>
        <v>-15130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5">
        <f>15130</f>
        <v>15130</v>
      </c>
      <c r="S35" s="4"/>
      <c r="T35" s="4"/>
      <c r="U35" s="4"/>
      <c r="V35" s="4"/>
      <c r="W35" s="4"/>
      <c r="X35" s="4"/>
      <c r="Y35" s="4"/>
      <c r="Z35" s="4"/>
      <c r="AA35" s="4"/>
      <c r="AB35" s="5">
        <f t="shared" si="6"/>
        <v>0</v>
      </c>
    </row>
    <row r="36" spans="1:28" x14ac:dyDescent="0.25">
      <c r="A36" s="3" t="s">
        <v>57</v>
      </c>
      <c r="B36" s="4"/>
      <c r="C36" s="4"/>
      <c r="D36" s="5">
        <f>12.27</f>
        <v>12.27</v>
      </c>
      <c r="E36" s="4"/>
      <c r="F36" s="4"/>
      <c r="G36" s="5">
        <f>0.69</f>
        <v>0.69</v>
      </c>
      <c r="H36" s="5">
        <f>2.31</f>
        <v>2.31</v>
      </c>
      <c r="I36" s="4"/>
      <c r="J36" s="5">
        <f>3.21</f>
        <v>3.21</v>
      </c>
      <c r="K36" s="4"/>
      <c r="L36" s="4"/>
      <c r="M36" s="5">
        <f>0.16</f>
        <v>0.16</v>
      </c>
      <c r="N36" s="4"/>
      <c r="O36" s="4"/>
      <c r="P36" s="4"/>
      <c r="Q36" s="4"/>
      <c r="R36" s="4"/>
      <c r="S36" s="4"/>
      <c r="T36" s="5">
        <f>6</f>
        <v>6</v>
      </c>
      <c r="U36" s="4"/>
      <c r="V36" s="5">
        <f>19.71</f>
        <v>19.71</v>
      </c>
      <c r="W36" s="5">
        <f>2.97</f>
        <v>2.97</v>
      </c>
      <c r="X36" s="5">
        <f>5.39</f>
        <v>5.39</v>
      </c>
      <c r="Y36" s="5">
        <f>1</f>
        <v>1</v>
      </c>
      <c r="Z36" s="5">
        <f>3.72</f>
        <v>3.72</v>
      </c>
      <c r="AA36" s="4"/>
      <c r="AB36" s="5">
        <f t="shared" si="6"/>
        <v>57.43</v>
      </c>
    </row>
    <row r="37" spans="1:28" x14ac:dyDescent="0.25">
      <c r="A37" s="3" t="s">
        <v>58</v>
      </c>
      <c r="B37" s="5">
        <f>3777.93</f>
        <v>3777.93</v>
      </c>
      <c r="C37" s="4"/>
      <c r="D37" s="4"/>
      <c r="E37" s="5">
        <f>644.7</f>
        <v>644.70000000000005</v>
      </c>
      <c r="F37" s="5">
        <f>2096.17</f>
        <v>2096.17</v>
      </c>
      <c r="G37" s="4"/>
      <c r="H37" s="4"/>
      <c r="I37" s="4"/>
      <c r="J37" s="4"/>
      <c r="K37" s="4"/>
      <c r="L37" s="5">
        <f>992.34</f>
        <v>992.34</v>
      </c>
      <c r="M37" s="4"/>
      <c r="N37" s="4"/>
      <c r="O37" s="4"/>
      <c r="P37" s="5">
        <f>562.92</f>
        <v>562.91999999999996</v>
      </c>
      <c r="Q37" s="4"/>
      <c r="R37" s="5">
        <f>96.43</f>
        <v>96.43</v>
      </c>
      <c r="S37" s="5">
        <f>7207.06</f>
        <v>7207.06</v>
      </c>
      <c r="T37" s="4"/>
      <c r="U37" s="5">
        <f>913.36</f>
        <v>913.36</v>
      </c>
      <c r="V37" s="5">
        <f>879.92</f>
        <v>879.92</v>
      </c>
      <c r="W37" s="4"/>
      <c r="X37" s="4"/>
      <c r="Y37" s="4"/>
      <c r="Z37" s="4"/>
      <c r="AA37" s="4"/>
      <c r="AB37" s="5">
        <f t="shared" si="6"/>
        <v>17170.830000000002</v>
      </c>
    </row>
    <row r="38" spans="1:28" x14ac:dyDescent="0.25">
      <c r="A38" s="3" t="s">
        <v>59</v>
      </c>
      <c r="B38" s="5">
        <f>1838.11</f>
        <v>1838.11</v>
      </c>
      <c r="C38" s="4"/>
      <c r="D38" s="5">
        <f>1218.06</f>
        <v>1218.06</v>
      </c>
      <c r="E38" s="5">
        <f>150.78</f>
        <v>150.78</v>
      </c>
      <c r="F38" s="5">
        <f>2882.17</f>
        <v>2882.17</v>
      </c>
      <c r="G38" s="5">
        <f>71.66</f>
        <v>71.66</v>
      </c>
      <c r="H38" s="5">
        <f>234.48</f>
        <v>234.48</v>
      </c>
      <c r="I38" s="4"/>
      <c r="J38" s="5">
        <f>203.46</f>
        <v>203.46</v>
      </c>
      <c r="K38" s="5">
        <f>333.38</f>
        <v>333.38</v>
      </c>
      <c r="L38" s="5">
        <f>232.08</f>
        <v>232.08</v>
      </c>
      <c r="M38" s="5">
        <f>14.7</f>
        <v>14.7</v>
      </c>
      <c r="N38" s="4"/>
      <c r="O38" s="5">
        <f>192.3</f>
        <v>192.3</v>
      </c>
      <c r="P38" s="5">
        <f>2107.93</f>
        <v>2107.9299999999998</v>
      </c>
      <c r="Q38" s="5">
        <f>187.14</f>
        <v>187.14</v>
      </c>
      <c r="R38" s="5">
        <f>874.43</f>
        <v>874.43</v>
      </c>
      <c r="S38" s="5">
        <f>1685.53</f>
        <v>1685.53</v>
      </c>
      <c r="T38" s="5">
        <f>407.16</f>
        <v>407.16</v>
      </c>
      <c r="U38" s="5">
        <f>213.6</f>
        <v>213.6</v>
      </c>
      <c r="V38" s="5">
        <f>2109.15</f>
        <v>2109.15</v>
      </c>
      <c r="W38" s="5">
        <f>575.07</f>
        <v>575.07000000000005</v>
      </c>
      <c r="X38" s="5">
        <f>902.66</f>
        <v>902.66</v>
      </c>
      <c r="Y38" s="5">
        <f>32.96</f>
        <v>32.96</v>
      </c>
      <c r="Z38" s="5">
        <f>343.86</f>
        <v>343.86</v>
      </c>
      <c r="AA38" s="4"/>
      <c r="AB38" s="5">
        <f t="shared" si="6"/>
        <v>16810.670000000002</v>
      </c>
    </row>
    <row r="39" spans="1:28" x14ac:dyDescent="0.25">
      <c r="A39" s="3" t="s">
        <v>60</v>
      </c>
      <c r="B39" s="5">
        <f>3452.28</f>
        <v>3452.28</v>
      </c>
      <c r="C39" s="4"/>
      <c r="D39" s="5">
        <f>14233.92</f>
        <v>14233.92</v>
      </c>
      <c r="E39" s="4"/>
      <c r="F39" s="5">
        <f>5196.19</f>
        <v>5196.1899999999996</v>
      </c>
      <c r="G39" s="5">
        <f>845.42</f>
        <v>845.42</v>
      </c>
      <c r="H39" s="5">
        <f>2830.36</f>
        <v>2830.36</v>
      </c>
      <c r="I39" s="4"/>
      <c r="J39" s="5">
        <f>2317.92</f>
        <v>2317.92</v>
      </c>
      <c r="K39" s="5">
        <f>1028.04</f>
        <v>1028.04</v>
      </c>
      <c r="L39" s="4"/>
      <c r="M39" s="5">
        <f>163.28</f>
        <v>163.28</v>
      </c>
      <c r="N39" s="4"/>
      <c r="O39" s="5">
        <f>401.04</f>
        <v>401.04</v>
      </c>
      <c r="P39" s="5">
        <f>4216.11</f>
        <v>4216.1099999999997</v>
      </c>
      <c r="Q39" s="5">
        <f>400.98</f>
        <v>400.98</v>
      </c>
      <c r="R39" s="5">
        <f>8665.03</f>
        <v>8665.0300000000007</v>
      </c>
      <c r="S39" s="4"/>
      <c r="T39" s="5">
        <f>4773.48</f>
        <v>4773.4799999999996</v>
      </c>
      <c r="U39" s="4"/>
      <c r="V39" s="5">
        <f>22159.36</f>
        <v>22159.360000000001</v>
      </c>
      <c r="W39" s="5">
        <f>5949.54</f>
        <v>5949.54</v>
      </c>
      <c r="X39" s="5">
        <f>10375.74</f>
        <v>10375.74</v>
      </c>
      <c r="Y39" s="5">
        <f>119.4</f>
        <v>119.4</v>
      </c>
      <c r="Z39" s="5">
        <f>3657.48</f>
        <v>3657.48</v>
      </c>
      <c r="AA39" s="4"/>
      <c r="AB39" s="5">
        <f t="shared" si="6"/>
        <v>90785.569999999992</v>
      </c>
    </row>
    <row r="40" spans="1:28" x14ac:dyDescent="0.25">
      <c r="A40" s="3" t="s">
        <v>61</v>
      </c>
      <c r="B40" s="5">
        <f>17364.72</f>
        <v>17364.72</v>
      </c>
      <c r="C40" s="4"/>
      <c r="D40" s="4"/>
      <c r="E40" s="4"/>
      <c r="F40" s="5">
        <f>9497.75</f>
        <v>9497.75</v>
      </c>
      <c r="G40" s="4"/>
      <c r="H40" s="4"/>
      <c r="I40" s="4"/>
      <c r="J40" s="4"/>
      <c r="K40" s="4"/>
      <c r="L40" s="5">
        <f>4576.32</f>
        <v>4576.32</v>
      </c>
      <c r="M40" s="4"/>
      <c r="N40" s="4"/>
      <c r="O40" s="4"/>
      <c r="P40" s="5">
        <f>2553.6</f>
        <v>2553.6</v>
      </c>
      <c r="Q40" s="4"/>
      <c r="R40" s="4"/>
      <c r="S40" s="5">
        <f>30516.19</f>
        <v>30516.19</v>
      </c>
      <c r="T40" s="4"/>
      <c r="U40" s="5">
        <f>4018.5</f>
        <v>4018.5</v>
      </c>
      <c r="V40" s="5">
        <f>2395.32</f>
        <v>2395.3200000000002</v>
      </c>
      <c r="W40" s="4"/>
      <c r="X40" s="4"/>
      <c r="Y40" s="4"/>
      <c r="Z40" s="4"/>
      <c r="AA40" s="4"/>
      <c r="AB40" s="5">
        <f t="shared" si="6"/>
        <v>70922.400000000009</v>
      </c>
    </row>
    <row r="41" spans="1:28" x14ac:dyDescent="0.25">
      <c r="A41" s="3" t="s">
        <v>62</v>
      </c>
      <c r="B41" s="4"/>
      <c r="C41" s="4"/>
      <c r="D41" s="5">
        <f>9418.14</f>
        <v>9418.14</v>
      </c>
      <c r="E41" s="4"/>
      <c r="F41" s="4"/>
      <c r="G41" s="5">
        <f>845.43</f>
        <v>845.43</v>
      </c>
      <c r="H41" s="5">
        <f>2830.35</f>
        <v>2830.35</v>
      </c>
      <c r="I41" s="4"/>
      <c r="J41" s="5">
        <f>688.77</f>
        <v>688.77</v>
      </c>
      <c r="K41" s="4"/>
      <c r="L41" s="4"/>
      <c r="M41" s="5">
        <f>179.18</f>
        <v>179.18</v>
      </c>
      <c r="N41" s="4"/>
      <c r="O41" s="4"/>
      <c r="P41" s="4"/>
      <c r="Q41" s="4"/>
      <c r="R41" s="4"/>
      <c r="S41" s="5">
        <f>1544.32</f>
        <v>1544.32</v>
      </c>
      <c r="T41" s="5">
        <f>4139.58</f>
        <v>4139.58</v>
      </c>
      <c r="U41" s="4"/>
      <c r="V41" s="5">
        <f>13996.75</f>
        <v>13996.75</v>
      </c>
      <c r="W41" s="5">
        <f>3218.22</f>
        <v>3218.22</v>
      </c>
      <c r="X41" s="5">
        <f>4523.76</f>
        <v>4523.76</v>
      </c>
      <c r="Y41" s="5">
        <f>1225.02</f>
        <v>1225.02</v>
      </c>
      <c r="Z41" s="5">
        <f>3943.71</f>
        <v>3943.71</v>
      </c>
      <c r="AA41" s="4"/>
      <c r="AB41" s="5">
        <f t="shared" si="6"/>
        <v>46553.23</v>
      </c>
    </row>
    <row r="42" spans="1:28" x14ac:dyDescent="0.25">
      <c r="A42" s="3" t="s">
        <v>63</v>
      </c>
      <c r="B42" s="5">
        <f>312.92</f>
        <v>312.92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>
        <f t="shared" si="6"/>
        <v>312.92</v>
      </c>
    </row>
    <row r="43" spans="1:28" x14ac:dyDescent="0.25">
      <c r="A43" s="3" t="s">
        <v>64</v>
      </c>
      <c r="B43" s="5">
        <f>4820</f>
        <v>4820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5">
        <f>21.25</f>
        <v>21.25</v>
      </c>
      <c r="S43" s="4"/>
      <c r="T43" s="4"/>
      <c r="U43" s="4"/>
      <c r="V43" s="4"/>
      <c r="W43" s="4"/>
      <c r="X43" s="4"/>
      <c r="Y43" s="4"/>
      <c r="Z43" s="4"/>
      <c r="AA43" s="4"/>
      <c r="AB43" s="5">
        <f t="shared" si="6"/>
        <v>4841.25</v>
      </c>
    </row>
    <row r="44" spans="1:28" x14ac:dyDescent="0.25">
      <c r="A44" s="3" t="s">
        <v>65</v>
      </c>
      <c r="B44" s="4"/>
      <c r="C44" s="4"/>
      <c r="D44" s="4"/>
      <c r="E44" s="4"/>
      <c r="F44" s="5">
        <f>5000</f>
        <v>5000</v>
      </c>
      <c r="G44" s="4"/>
      <c r="H44" s="4"/>
      <c r="I44" s="4"/>
      <c r="J44" s="4"/>
      <c r="K44" s="4"/>
      <c r="L44" s="4"/>
      <c r="M44" s="4"/>
      <c r="N44" s="4"/>
      <c r="O44" s="4"/>
      <c r="P44" s="5">
        <f>923.63</f>
        <v>923.63</v>
      </c>
      <c r="Q44" s="4"/>
      <c r="R44" s="4"/>
      <c r="S44" s="4"/>
      <c r="T44" s="5">
        <f>191.79</f>
        <v>191.79</v>
      </c>
      <c r="U44" s="4"/>
      <c r="V44" s="4"/>
      <c r="W44" s="4"/>
      <c r="X44" s="4"/>
      <c r="Y44" s="4"/>
      <c r="Z44" s="4"/>
      <c r="AA44" s="4"/>
      <c r="AB44" s="5">
        <f t="shared" si="6"/>
        <v>6115.42</v>
      </c>
    </row>
    <row r="45" spans="1:28" x14ac:dyDescent="0.25">
      <c r="A45" s="3" t="s">
        <v>66</v>
      </c>
      <c r="B45" s="4"/>
      <c r="C45" s="4"/>
      <c r="D45" s="5">
        <f>98.16</f>
        <v>98.16</v>
      </c>
      <c r="E45" s="4"/>
      <c r="F45" s="4"/>
      <c r="G45" s="5">
        <f>5.52</f>
        <v>5.52</v>
      </c>
      <c r="H45" s="5">
        <f>18.48</f>
        <v>18.48</v>
      </c>
      <c r="I45" s="4"/>
      <c r="J45" s="5">
        <f>25.68</f>
        <v>25.68</v>
      </c>
      <c r="K45" s="4"/>
      <c r="L45" s="4"/>
      <c r="M45" s="5">
        <f>1.28</f>
        <v>1.28</v>
      </c>
      <c r="N45" s="4"/>
      <c r="O45" s="4"/>
      <c r="P45" s="4"/>
      <c r="Q45" s="4"/>
      <c r="R45" s="4"/>
      <c r="S45" s="4"/>
      <c r="T45" s="5">
        <f>48</f>
        <v>48</v>
      </c>
      <c r="U45" s="4"/>
      <c r="V45" s="5">
        <f>157.68</f>
        <v>157.68</v>
      </c>
      <c r="W45" s="5">
        <f>23.76</f>
        <v>23.76</v>
      </c>
      <c r="X45" s="5">
        <f>43.12</f>
        <v>43.12</v>
      </c>
      <c r="Y45" s="5">
        <f>8</f>
        <v>8</v>
      </c>
      <c r="Z45" s="5">
        <f>29.76</f>
        <v>29.76</v>
      </c>
      <c r="AA45" s="4"/>
      <c r="AB45" s="5">
        <f t="shared" si="6"/>
        <v>459.44</v>
      </c>
    </row>
    <row r="46" spans="1:28" x14ac:dyDescent="0.25">
      <c r="A46" s="3" t="s">
        <v>67</v>
      </c>
      <c r="B46" s="6">
        <f t="shared" ref="B46:AA46" si="8">((((((((((B35)+(B36))+(B37))+(B38))+(B39))+(B40))+(B41))+(B42))+(B43))+(B44))+(B45)</f>
        <v>16435.960000000003</v>
      </c>
      <c r="C46" s="6">
        <f t="shared" si="8"/>
        <v>0</v>
      </c>
      <c r="D46" s="6">
        <f t="shared" si="8"/>
        <v>24980.55</v>
      </c>
      <c r="E46" s="6">
        <f t="shared" si="8"/>
        <v>795.48</v>
      </c>
      <c r="F46" s="6">
        <f t="shared" si="8"/>
        <v>24672.28</v>
      </c>
      <c r="G46" s="6">
        <f t="shared" si="8"/>
        <v>1768.7199999999998</v>
      </c>
      <c r="H46" s="6">
        <f t="shared" si="8"/>
        <v>5915.98</v>
      </c>
      <c r="I46" s="6">
        <f t="shared" si="8"/>
        <v>0</v>
      </c>
      <c r="J46" s="6">
        <f t="shared" si="8"/>
        <v>3239.04</v>
      </c>
      <c r="K46" s="6">
        <f t="shared" si="8"/>
        <v>1361.42</v>
      </c>
      <c r="L46" s="6">
        <f t="shared" si="8"/>
        <v>5800.74</v>
      </c>
      <c r="M46" s="6">
        <f t="shared" si="8"/>
        <v>358.59999999999997</v>
      </c>
      <c r="N46" s="6">
        <f t="shared" si="8"/>
        <v>0</v>
      </c>
      <c r="O46" s="6">
        <f t="shared" si="8"/>
        <v>593.34</v>
      </c>
      <c r="P46" s="6">
        <f t="shared" si="8"/>
        <v>10364.189999999999</v>
      </c>
      <c r="Q46" s="6">
        <f t="shared" si="8"/>
        <v>588.12</v>
      </c>
      <c r="R46" s="6">
        <f t="shared" si="8"/>
        <v>24787.14</v>
      </c>
      <c r="S46" s="6">
        <f t="shared" si="8"/>
        <v>40953.1</v>
      </c>
      <c r="T46" s="6">
        <f t="shared" si="8"/>
        <v>9566.01</v>
      </c>
      <c r="U46" s="6">
        <f t="shared" si="8"/>
        <v>5145.46</v>
      </c>
      <c r="V46" s="6">
        <f t="shared" si="8"/>
        <v>41717.89</v>
      </c>
      <c r="W46" s="6">
        <f t="shared" si="8"/>
        <v>9769.56</v>
      </c>
      <c r="X46" s="6">
        <f t="shared" si="8"/>
        <v>15850.67</v>
      </c>
      <c r="Y46" s="6">
        <f t="shared" si="8"/>
        <v>1386.38</v>
      </c>
      <c r="Z46" s="6">
        <f t="shared" si="8"/>
        <v>7978.5300000000007</v>
      </c>
      <c r="AA46" s="6">
        <f t="shared" si="8"/>
        <v>0</v>
      </c>
      <c r="AB46" s="6">
        <f t="shared" si="6"/>
        <v>254029.16000000003</v>
      </c>
    </row>
    <row r="47" spans="1:28" x14ac:dyDescent="0.25">
      <c r="A47" s="3" t="s">
        <v>68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5">
        <f t="shared" si="6"/>
        <v>0</v>
      </c>
    </row>
    <row r="48" spans="1:28" x14ac:dyDescent="0.25">
      <c r="A48" s="3" t="s">
        <v>69</v>
      </c>
      <c r="B48" s="5">
        <f>3309</f>
        <v>3309</v>
      </c>
      <c r="C48" s="4"/>
      <c r="D48" s="5">
        <f>10</f>
        <v>10</v>
      </c>
      <c r="E48" s="4"/>
      <c r="F48" s="5">
        <f>316.25</f>
        <v>316.25</v>
      </c>
      <c r="G48" s="4"/>
      <c r="H48" s="5">
        <f>51.25</f>
        <v>51.25</v>
      </c>
      <c r="I48" s="4"/>
      <c r="J48" s="4"/>
      <c r="K48" s="5">
        <f>116.9</f>
        <v>116.9</v>
      </c>
      <c r="L48" s="4"/>
      <c r="M48" s="4"/>
      <c r="N48" s="5">
        <f>58330</f>
        <v>58330</v>
      </c>
      <c r="O48" s="5">
        <f>61.25</f>
        <v>61.25</v>
      </c>
      <c r="P48" s="5">
        <f>61.25</f>
        <v>61.25</v>
      </c>
      <c r="Q48" s="5">
        <f>575</f>
        <v>575</v>
      </c>
      <c r="R48" s="4"/>
      <c r="S48" s="5">
        <f>225</f>
        <v>225</v>
      </c>
      <c r="T48" s="4"/>
      <c r="U48" s="4"/>
      <c r="V48" s="5">
        <f>8062.39</f>
        <v>8062.39</v>
      </c>
      <c r="W48" s="5">
        <f>61.25</f>
        <v>61.25</v>
      </c>
      <c r="X48" s="5">
        <f>122.5</f>
        <v>122.5</v>
      </c>
      <c r="Y48" s="4"/>
      <c r="Z48" s="4"/>
      <c r="AA48" s="4"/>
      <c r="AB48" s="5">
        <f t="shared" si="6"/>
        <v>71302.040000000008</v>
      </c>
    </row>
    <row r="49" spans="1:28" x14ac:dyDescent="0.25">
      <c r="A49" s="3" t="s">
        <v>70</v>
      </c>
      <c r="B49" s="5">
        <f>7900</f>
        <v>7900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5">
        <f>0</f>
        <v>0</v>
      </c>
      <c r="AB49" s="5">
        <f t="shared" si="6"/>
        <v>7900</v>
      </c>
    </row>
    <row r="50" spans="1:28" x14ac:dyDescent="0.25">
      <c r="A50" s="3" t="s">
        <v>71</v>
      </c>
      <c r="B50" s="5">
        <f>2207.68</f>
        <v>2207.6799999999998</v>
      </c>
      <c r="C50" s="4"/>
      <c r="D50" s="4"/>
      <c r="E50" s="4"/>
      <c r="F50" s="5">
        <f>1659.87</f>
        <v>1659.87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5">
        <f t="shared" si="6"/>
        <v>3867.5499999999997</v>
      </c>
    </row>
    <row r="51" spans="1:28" x14ac:dyDescent="0.25">
      <c r="A51" s="3" t="s">
        <v>72</v>
      </c>
      <c r="B51" s="5">
        <f>3102.96</f>
        <v>3102.96</v>
      </c>
      <c r="C51" s="4"/>
      <c r="D51" s="5">
        <f>242.64</f>
        <v>242.64</v>
      </c>
      <c r="E51" s="4"/>
      <c r="F51" s="5">
        <f>2224.2</f>
        <v>2224.1999999999998</v>
      </c>
      <c r="G51" s="4"/>
      <c r="H51" s="5">
        <f>40.44</f>
        <v>40.44</v>
      </c>
      <c r="I51" s="4"/>
      <c r="J51" s="5">
        <f>40.44</f>
        <v>40.44</v>
      </c>
      <c r="K51" s="5">
        <f>80.88</f>
        <v>80.88</v>
      </c>
      <c r="L51" s="4"/>
      <c r="M51" s="4"/>
      <c r="N51" s="4"/>
      <c r="O51" s="5">
        <f>40.44</f>
        <v>40.44</v>
      </c>
      <c r="P51" s="4"/>
      <c r="Q51" s="4"/>
      <c r="R51" s="5">
        <f>540</f>
        <v>540</v>
      </c>
      <c r="S51" s="4"/>
      <c r="T51" s="4"/>
      <c r="U51" s="4"/>
      <c r="V51" s="5">
        <f>363.96</f>
        <v>363.96</v>
      </c>
      <c r="W51" s="5">
        <f>80.88</f>
        <v>80.88</v>
      </c>
      <c r="X51" s="5">
        <f>121.32</f>
        <v>121.32</v>
      </c>
      <c r="Y51" s="4"/>
      <c r="Z51" s="5">
        <f>40.44</f>
        <v>40.44</v>
      </c>
      <c r="AA51" s="4"/>
      <c r="AB51" s="5">
        <f t="shared" si="6"/>
        <v>6918.5999999999976</v>
      </c>
    </row>
    <row r="52" spans="1:28" x14ac:dyDescent="0.25">
      <c r="A52" s="3" t="s">
        <v>73</v>
      </c>
      <c r="B52" s="6">
        <f t="shared" ref="B52:AA52" si="9">((((B47)+(B48))+(B49))+(B50))+(B51)</f>
        <v>16519.64</v>
      </c>
      <c r="C52" s="6">
        <f t="shared" si="9"/>
        <v>0</v>
      </c>
      <c r="D52" s="6">
        <f t="shared" si="9"/>
        <v>252.64</v>
      </c>
      <c r="E52" s="6">
        <f t="shared" si="9"/>
        <v>0</v>
      </c>
      <c r="F52" s="6">
        <f t="shared" si="9"/>
        <v>4200.32</v>
      </c>
      <c r="G52" s="6">
        <f t="shared" si="9"/>
        <v>0</v>
      </c>
      <c r="H52" s="6">
        <f t="shared" si="9"/>
        <v>91.69</v>
      </c>
      <c r="I52" s="6">
        <f t="shared" si="9"/>
        <v>0</v>
      </c>
      <c r="J52" s="6">
        <f t="shared" si="9"/>
        <v>40.44</v>
      </c>
      <c r="K52" s="6">
        <f t="shared" si="9"/>
        <v>197.78</v>
      </c>
      <c r="L52" s="6">
        <f t="shared" si="9"/>
        <v>0</v>
      </c>
      <c r="M52" s="6">
        <f t="shared" si="9"/>
        <v>0</v>
      </c>
      <c r="N52" s="6">
        <f t="shared" si="9"/>
        <v>58330</v>
      </c>
      <c r="O52" s="6">
        <f t="shared" si="9"/>
        <v>101.69</v>
      </c>
      <c r="P52" s="6">
        <f t="shared" si="9"/>
        <v>61.25</v>
      </c>
      <c r="Q52" s="6">
        <f t="shared" si="9"/>
        <v>575</v>
      </c>
      <c r="R52" s="6">
        <f t="shared" si="9"/>
        <v>540</v>
      </c>
      <c r="S52" s="6">
        <f t="shared" si="9"/>
        <v>225</v>
      </c>
      <c r="T52" s="6">
        <f t="shared" si="9"/>
        <v>0</v>
      </c>
      <c r="U52" s="6">
        <f t="shared" si="9"/>
        <v>0</v>
      </c>
      <c r="V52" s="6">
        <f t="shared" si="9"/>
        <v>8426.35</v>
      </c>
      <c r="W52" s="6">
        <f t="shared" si="9"/>
        <v>142.13</v>
      </c>
      <c r="X52" s="6">
        <f t="shared" si="9"/>
        <v>243.82</v>
      </c>
      <c r="Y52" s="6">
        <f t="shared" si="9"/>
        <v>0</v>
      </c>
      <c r="Z52" s="6">
        <f t="shared" si="9"/>
        <v>40.44</v>
      </c>
      <c r="AA52" s="6">
        <f t="shared" si="9"/>
        <v>0</v>
      </c>
      <c r="AB52" s="6">
        <f t="shared" si="6"/>
        <v>89988.190000000017</v>
      </c>
    </row>
    <row r="53" spans="1:28" x14ac:dyDescent="0.25">
      <c r="A53" s="3" t="s">
        <v>74</v>
      </c>
      <c r="B53" s="5">
        <f>19097.33</f>
        <v>19097.330000000002</v>
      </c>
      <c r="C53" s="4"/>
      <c r="D53" s="5">
        <f>400</f>
        <v>400</v>
      </c>
      <c r="E53" s="4"/>
      <c r="F53" s="5">
        <f>481.8</f>
        <v>481.8</v>
      </c>
      <c r="G53" s="4"/>
      <c r="H53" s="5">
        <f>80</f>
        <v>80</v>
      </c>
      <c r="I53" s="4"/>
      <c r="J53" s="4"/>
      <c r="K53" s="5">
        <f>80</f>
        <v>80</v>
      </c>
      <c r="L53" s="4"/>
      <c r="M53" s="4"/>
      <c r="N53" s="4"/>
      <c r="O53" s="4"/>
      <c r="P53" s="4"/>
      <c r="Q53" s="4"/>
      <c r="R53" s="5">
        <f>35125</f>
        <v>35125</v>
      </c>
      <c r="S53" s="4"/>
      <c r="T53" s="4"/>
      <c r="U53" s="4"/>
      <c r="V53" s="4"/>
      <c r="W53" s="5">
        <f>80</f>
        <v>80</v>
      </c>
      <c r="X53" s="5">
        <f>80</f>
        <v>80</v>
      </c>
      <c r="Y53" s="4"/>
      <c r="Z53" s="5">
        <f>500</f>
        <v>500</v>
      </c>
      <c r="AA53" s="4"/>
      <c r="AB53" s="5">
        <f t="shared" si="6"/>
        <v>55924.130000000005</v>
      </c>
    </row>
    <row r="54" spans="1:28" x14ac:dyDescent="0.25">
      <c r="A54" s="3" t="s">
        <v>75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5">
        <f t="shared" si="6"/>
        <v>0</v>
      </c>
    </row>
    <row r="55" spans="1:28" x14ac:dyDescent="0.25">
      <c r="A55" s="3" t="s">
        <v>76</v>
      </c>
      <c r="B55" s="5">
        <f>319.28</f>
        <v>319.27999999999997</v>
      </c>
      <c r="C55" s="4"/>
      <c r="D55" s="4"/>
      <c r="E55" s="4"/>
      <c r="F55" s="5">
        <f>648.25</f>
        <v>648.25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5">
        <f t="shared" si="6"/>
        <v>967.53</v>
      </c>
    </row>
    <row r="56" spans="1:28" x14ac:dyDescent="0.25">
      <c r="A56" s="3" t="s">
        <v>77</v>
      </c>
      <c r="B56" s="5">
        <f>787.05</f>
        <v>787.05</v>
      </c>
      <c r="C56" s="4"/>
      <c r="D56" s="4"/>
      <c r="E56" s="4"/>
      <c r="F56" s="5">
        <f>1597.95</f>
        <v>1597.95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5">
        <f t="shared" si="6"/>
        <v>2385</v>
      </c>
    </row>
    <row r="57" spans="1:28" x14ac:dyDescent="0.25">
      <c r="A57" s="3" t="s">
        <v>78</v>
      </c>
      <c r="B57" s="5">
        <f>937.42</f>
        <v>937.42</v>
      </c>
      <c r="C57" s="4"/>
      <c r="D57" s="4"/>
      <c r="E57" s="4"/>
      <c r="F57" s="5">
        <f>1903.25</f>
        <v>1903.25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5">
        <f t="shared" si="6"/>
        <v>2840.67</v>
      </c>
    </row>
    <row r="58" spans="1:28" x14ac:dyDescent="0.25">
      <c r="A58" s="3" t="s">
        <v>79</v>
      </c>
      <c r="B58" s="5">
        <f>90245.11</f>
        <v>90245.11</v>
      </c>
      <c r="C58" s="4"/>
      <c r="D58" s="4"/>
      <c r="E58" s="4"/>
      <c r="F58" s="5">
        <f>24233.99</f>
        <v>24233.99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5">
        <f t="shared" si="6"/>
        <v>114479.1</v>
      </c>
    </row>
    <row r="59" spans="1:28" x14ac:dyDescent="0.25">
      <c r="A59" s="3" t="s">
        <v>80</v>
      </c>
      <c r="B59" s="4"/>
      <c r="C59" s="4"/>
      <c r="D59" s="5">
        <f>14000</f>
        <v>14000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5">
        <f>700</f>
        <v>700</v>
      </c>
      <c r="R59" s="4"/>
      <c r="S59" s="4"/>
      <c r="T59" s="4"/>
      <c r="U59" s="4"/>
      <c r="V59" s="5">
        <f>40000</f>
        <v>40000</v>
      </c>
      <c r="W59" s="4"/>
      <c r="X59" s="4"/>
      <c r="Y59" s="4"/>
      <c r="Z59" s="4"/>
      <c r="AA59" s="4"/>
      <c r="AB59" s="5">
        <f t="shared" si="6"/>
        <v>54700</v>
      </c>
    </row>
    <row r="60" spans="1:28" x14ac:dyDescent="0.25">
      <c r="A60" s="3" t="s">
        <v>81</v>
      </c>
      <c r="B60" s="5">
        <f>1822.17</f>
        <v>1822.17</v>
      </c>
      <c r="C60" s="4"/>
      <c r="D60" s="4"/>
      <c r="E60" s="4"/>
      <c r="F60" s="5">
        <f>3699.56</f>
        <v>3699.56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5">
        <f t="shared" si="6"/>
        <v>5521.73</v>
      </c>
    </row>
    <row r="61" spans="1:28" x14ac:dyDescent="0.25">
      <c r="A61" s="3" t="s">
        <v>82</v>
      </c>
      <c r="B61" s="5">
        <f>722.55</f>
        <v>722.55</v>
      </c>
      <c r="C61" s="4"/>
      <c r="D61" s="4"/>
      <c r="E61" s="4"/>
      <c r="F61" s="5">
        <f>5037.43</f>
        <v>5037.43</v>
      </c>
      <c r="G61" s="4"/>
      <c r="H61" s="4"/>
      <c r="I61" s="4"/>
      <c r="J61" s="4"/>
      <c r="K61" s="4"/>
      <c r="L61" s="4"/>
      <c r="M61" s="4"/>
      <c r="N61" s="5">
        <f>36</f>
        <v>36</v>
      </c>
      <c r="O61" s="4"/>
      <c r="P61" s="4"/>
      <c r="Q61" s="4"/>
      <c r="R61" s="4"/>
      <c r="S61" s="4"/>
      <c r="T61" s="4"/>
      <c r="U61" s="4"/>
      <c r="V61" s="5">
        <f>167.45</f>
        <v>167.45</v>
      </c>
      <c r="W61" s="4"/>
      <c r="X61" s="4"/>
      <c r="Y61" s="5">
        <f>1999.96</f>
        <v>1999.96</v>
      </c>
      <c r="Z61" s="4"/>
      <c r="AA61" s="4"/>
      <c r="AB61" s="5">
        <f t="shared" si="6"/>
        <v>7963.39</v>
      </c>
    </row>
    <row r="62" spans="1:28" x14ac:dyDescent="0.25">
      <c r="A62" s="3" t="s">
        <v>83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5">
        <f>0</f>
        <v>0</v>
      </c>
      <c r="Y62" s="4"/>
      <c r="Z62" s="4"/>
      <c r="AA62" s="4"/>
      <c r="AB62" s="5">
        <f t="shared" si="6"/>
        <v>0</v>
      </c>
    </row>
    <row r="63" spans="1:28" x14ac:dyDescent="0.25">
      <c r="A63" s="3" t="s">
        <v>84</v>
      </c>
      <c r="B63" s="5">
        <f>1968.01</f>
        <v>1968.01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5">
        <f t="shared" ref="AB63:AB94" si="10">(((((((((((((((((((((((((B63)+(C63))+(D63))+(E63))+(F63))+(G63))+(H63))+(I63))+(J63))+(K63))+(L63))+(M63))+(N63))+(O63))+(P63))+(Q63))+(R63))+(S63))+(T63))+(U63))+(V63))+(W63))+(X63))+(Y63))+(Z63))+(AA63)</f>
        <v>1968.01</v>
      </c>
    </row>
    <row r="64" spans="1:28" x14ac:dyDescent="0.25">
      <c r="A64" s="3" t="s">
        <v>85</v>
      </c>
      <c r="B64" s="4"/>
      <c r="C64" s="4"/>
      <c r="D64" s="4"/>
      <c r="E64" s="4"/>
      <c r="F64" s="5">
        <f>15676.4</f>
        <v>15676.4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5">
        <f t="shared" si="10"/>
        <v>15676.4</v>
      </c>
    </row>
    <row r="65" spans="1:29" x14ac:dyDescent="0.25">
      <c r="A65" s="3" t="s">
        <v>86</v>
      </c>
      <c r="B65" s="6">
        <f t="shared" ref="B65:AA65" si="11">((((((((((B54)+(B55))+(B56))+(B57))+(B58))+(B59))+(B60))+(B61))+(B62))+(B63))+(B64)</f>
        <v>96801.59</v>
      </c>
      <c r="C65" s="6">
        <f t="shared" si="11"/>
        <v>0</v>
      </c>
      <c r="D65" s="6">
        <f t="shared" si="11"/>
        <v>14000</v>
      </c>
      <c r="E65" s="6">
        <f t="shared" si="11"/>
        <v>0</v>
      </c>
      <c r="F65" s="6">
        <f t="shared" si="11"/>
        <v>52796.830000000009</v>
      </c>
      <c r="G65" s="6">
        <f t="shared" si="11"/>
        <v>0</v>
      </c>
      <c r="H65" s="6">
        <f t="shared" si="11"/>
        <v>0</v>
      </c>
      <c r="I65" s="6">
        <f t="shared" si="11"/>
        <v>0</v>
      </c>
      <c r="J65" s="6">
        <f t="shared" si="11"/>
        <v>0</v>
      </c>
      <c r="K65" s="6">
        <f t="shared" si="11"/>
        <v>0</v>
      </c>
      <c r="L65" s="6">
        <f t="shared" si="11"/>
        <v>0</v>
      </c>
      <c r="M65" s="6">
        <f t="shared" si="11"/>
        <v>0</v>
      </c>
      <c r="N65" s="6">
        <f t="shared" si="11"/>
        <v>36</v>
      </c>
      <c r="O65" s="6">
        <f t="shared" si="11"/>
        <v>0</v>
      </c>
      <c r="P65" s="6">
        <f t="shared" si="11"/>
        <v>0</v>
      </c>
      <c r="Q65" s="6">
        <f t="shared" si="11"/>
        <v>700</v>
      </c>
      <c r="R65" s="6">
        <f t="shared" si="11"/>
        <v>0</v>
      </c>
      <c r="S65" s="6">
        <f t="shared" si="11"/>
        <v>0</v>
      </c>
      <c r="T65" s="6">
        <f t="shared" si="11"/>
        <v>0</v>
      </c>
      <c r="U65" s="6">
        <f t="shared" si="11"/>
        <v>0</v>
      </c>
      <c r="V65" s="6">
        <f t="shared" si="11"/>
        <v>40167.449999999997</v>
      </c>
      <c r="W65" s="6">
        <f t="shared" si="11"/>
        <v>0</v>
      </c>
      <c r="X65" s="6">
        <f t="shared" si="11"/>
        <v>0</v>
      </c>
      <c r="Y65" s="6">
        <f t="shared" si="11"/>
        <v>1999.96</v>
      </c>
      <c r="Z65" s="6">
        <f t="shared" si="11"/>
        <v>0</v>
      </c>
      <c r="AA65" s="6">
        <f t="shared" si="11"/>
        <v>0</v>
      </c>
      <c r="AB65" s="6">
        <f t="shared" si="10"/>
        <v>206501.83</v>
      </c>
    </row>
    <row r="66" spans="1:29" ht="60.75" x14ac:dyDescent="0.25">
      <c r="A66" s="3"/>
      <c r="B66" s="1"/>
      <c r="C66" s="2" t="s">
        <v>0</v>
      </c>
      <c r="D66" s="2" t="s">
        <v>1</v>
      </c>
      <c r="E66" s="2" t="s">
        <v>2</v>
      </c>
      <c r="F66" s="2" t="s">
        <v>3</v>
      </c>
      <c r="G66" s="2" t="s">
        <v>4</v>
      </c>
      <c r="H66" s="2" t="s">
        <v>5</v>
      </c>
      <c r="I66" s="2" t="s">
        <v>6</v>
      </c>
      <c r="J66" s="2" t="s">
        <v>7</v>
      </c>
      <c r="K66" s="2" t="s">
        <v>8</v>
      </c>
      <c r="L66" s="2" t="s">
        <v>9</v>
      </c>
      <c r="M66" s="2" t="s">
        <v>10</v>
      </c>
      <c r="N66" s="2" t="s">
        <v>11</v>
      </c>
      <c r="O66" s="2" t="s">
        <v>12</v>
      </c>
      <c r="P66" s="2" t="s">
        <v>13</v>
      </c>
      <c r="Q66" s="2" t="s">
        <v>14</v>
      </c>
      <c r="R66" s="2" t="s">
        <v>15</v>
      </c>
      <c r="S66" s="2" t="s">
        <v>16</v>
      </c>
      <c r="T66" s="2" t="s">
        <v>17</v>
      </c>
      <c r="U66" s="2" t="s">
        <v>18</v>
      </c>
      <c r="V66" s="2" t="s">
        <v>19</v>
      </c>
      <c r="W66" s="2" t="s">
        <v>20</v>
      </c>
      <c r="X66" s="2" t="s">
        <v>21</v>
      </c>
      <c r="Y66" s="2" t="s">
        <v>22</v>
      </c>
      <c r="Z66" s="2" t="s">
        <v>23</v>
      </c>
      <c r="AA66" s="2" t="s">
        <v>24</v>
      </c>
      <c r="AB66" s="2" t="s">
        <v>25</v>
      </c>
      <c r="AC66" s="2" t="s">
        <v>26</v>
      </c>
    </row>
    <row r="67" spans="1:29" x14ac:dyDescent="0.25">
      <c r="A67" s="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9" x14ac:dyDescent="0.25">
      <c r="A68" s="3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9" x14ac:dyDescent="0.25">
      <c r="A69" s="3" t="s">
        <v>87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5">
        <f t="shared" si="10"/>
        <v>0</v>
      </c>
    </row>
    <row r="70" spans="1:29" x14ac:dyDescent="0.25">
      <c r="A70" s="3" t="s">
        <v>88</v>
      </c>
      <c r="B70" s="5">
        <f>12135.28</f>
        <v>12135.28</v>
      </c>
      <c r="C70" s="4"/>
      <c r="D70" s="4"/>
      <c r="E70" s="4"/>
      <c r="F70" s="5">
        <f>16393.22</f>
        <v>16393.22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5">
        <f t="shared" si="10"/>
        <v>28528.5</v>
      </c>
    </row>
    <row r="71" spans="1:29" x14ac:dyDescent="0.25">
      <c r="A71" s="3" t="s">
        <v>89</v>
      </c>
      <c r="B71" s="5">
        <f>9186.71</f>
        <v>9186.7099999999991</v>
      </c>
      <c r="C71" s="4"/>
      <c r="D71" s="4"/>
      <c r="E71" s="4"/>
      <c r="F71" s="5">
        <f>18651.79</f>
        <v>18651.79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5">
        <f t="shared" si="10"/>
        <v>27838.5</v>
      </c>
    </row>
    <row r="72" spans="1:29" x14ac:dyDescent="0.25">
      <c r="A72" s="3" t="s">
        <v>90</v>
      </c>
      <c r="B72" s="6">
        <f t="shared" ref="B72:AA72" si="12">((B69)+(B70))+(B71)</f>
        <v>21321.989999999998</v>
      </c>
      <c r="C72" s="6">
        <f t="shared" si="12"/>
        <v>0</v>
      </c>
      <c r="D72" s="6">
        <f t="shared" si="12"/>
        <v>0</v>
      </c>
      <c r="E72" s="6">
        <f t="shared" si="12"/>
        <v>0</v>
      </c>
      <c r="F72" s="6">
        <f t="shared" si="12"/>
        <v>35045.01</v>
      </c>
      <c r="G72" s="6">
        <f t="shared" si="12"/>
        <v>0</v>
      </c>
      <c r="H72" s="6">
        <f t="shared" si="12"/>
        <v>0</v>
      </c>
      <c r="I72" s="6">
        <f t="shared" si="12"/>
        <v>0</v>
      </c>
      <c r="J72" s="6">
        <f t="shared" si="12"/>
        <v>0</v>
      </c>
      <c r="K72" s="6">
        <f t="shared" si="12"/>
        <v>0</v>
      </c>
      <c r="L72" s="6">
        <f t="shared" si="12"/>
        <v>0</v>
      </c>
      <c r="M72" s="6">
        <f t="shared" si="12"/>
        <v>0</v>
      </c>
      <c r="N72" s="6">
        <f t="shared" si="12"/>
        <v>0</v>
      </c>
      <c r="O72" s="6">
        <f t="shared" si="12"/>
        <v>0</v>
      </c>
      <c r="P72" s="6">
        <f t="shared" si="12"/>
        <v>0</v>
      </c>
      <c r="Q72" s="6">
        <f t="shared" si="12"/>
        <v>0</v>
      </c>
      <c r="R72" s="6">
        <f t="shared" si="12"/>
        <v>0</v>
      </c>
      <c r="S72" s="6">
        <f t="shared" si="12"/>
        <v>0</v>
      </c>
      <c r="T72" s="6">
        <f t="shared" si="12"/>
        <v>0</v>
      </c>
      <c r="U72" s="6">
        <f t="shared" si="12"/>
        <v>0</v>
      </c>
      <c r="V72" s="6">
        <f t="shared" si="12"/>
        <v>0</v>
      </c>
      <c r="W72" s="6">
        <f t="shared" si="12"/>
        <v>0</v>
      </c>
      <c r="X72" s="6">
        <f t="shared" si="12"/>
        <v>0</v>
      </c>
      <c r="Y72" s="6">
        <f t="shared" si="12"/>
        <v>0</v>
      </c>
      <c r="Z72" s="6">
        <f t="shared" si="12"/>
        <v>0</v>
      </c>
      <c r="AA72" s="6">
        <f t="shared" si="12"/>
        <v>0</v>
      </c>
      <c r="AB72" s="6">
        <f t="shared" si="10"/>
        <v>56367</v>
      </c>
    </row>
    <row r="73" spans="1:29" x14ac:dyDescent="0.25">
      <c r="A73" s="3" t="s">
        <v>91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5">
        <f t="shared" si="10"/>
        <v>0</v>
      </c>
    </row>
    <row r="74" spans="1:29" x14ac:dyDescent="0.25">
      <c r="A74" s="3" t="s">
        <v>92</v>
      </c>
      <c r="B74" s="5">
        <f>180.67</f>
        <v>180.67</v>
      </c>
      <c r="C74" s="4"/>
      <c r="D74" s="4"/>
      <c r="E74" s="4"/>
      <c r="F74" s="5">
        <f>108.4</f>
        <v>108.4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5">
        <f>72.27</f>
        <v>72.27</v>
      </c>
      <c r="W74" s="4"/>
      <c r="X74" s="4"/>
      <c r="Y74" s="4"/>
      <c r="Z74" s="4"/>
      <c r="AA74" s="4"/>
      <c r="AB74" s="5">
        <f t="shared" si="10"/>
        <v>361.34</v>
      </c>
    </row>
    <row r="75" spans="1:29" x14ac:dyDescent="0.25">
      <c r="A75" s="3" t="s">
        <v>93</v>
      </c>
      <c r="B75" s="5">
        <f>3992.07</f>
        <v>3992.07</v>
      </c>
      <c r="C75" s="4"/>
      <c r="D75" s="5">
        <f>605.61</f>
        <v>605.61</v>
      </c>
      <c r="E75" s="4"/>
      <c r="F75" s="5">
        <f>3277.77</f>
        <v>3277.77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5">
        <f>168</f>
        <v>168</v>
      </c>
      <c r="S75" s="4"/>
      <c r="T75" s="4"/>
      <c r="U75" s="4"/>
      <c r="V75" s="5">
        <f>1293.7</f>
        <v>1293.7</v>
      </c>
      <c r="W75" s="5">
        <f>232.19</f>
        <v>232.19</v>
      </c>
      <c r="X75" s="4"/>
      <c r="Y75" s="4"/>
      <c r="Z75" s="5">
        <f>50.92</f>
        <v>50.92</v>
      </c>
      <c r="AA75" s="4"/>
      <c r="AB75" s="5">
        <f t="shared" si="10"/>
        <v>9620.260000000002</v>
      </c>
    </row>
    <row r="76" spans="1:29" x14ac:dyDescent="0.25">
      <c r="A76" s="3" t="s">
        <v>94</v>
      </c>
      <c r="B76" s="5">
        <f>602.74</f>
        <v>602.74</v>
      </c>
      <c r="C76" s="4"/>
      <c r="D76" s="4"/>
      <c r="E76" s="4"/>
      <c r="F76" s="5">
        <f>607.61</f>
        <v>607.61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5">
        <f>836.47</f>
        <v>836.47</v>
      </c>
      <c r="W76" s="4"/>
      <c r="X76" s="4"/>
      <c r="Y76" s="4"/>
      <c r="Z76" s="4"/>
      <c r="AA76" s="4"/>
      <c r="AB76" s="5">
        <f t="shared" si="10"/>
        <v>2046.82</v>
      </c>
    </row>
    <row r="77" spans="1:29" x14ac:dyDescent="0.25">
      <c r="A77" s="3" t="s">
        <v>95</v>
      </c>
      <c r="B77" s="5">
        <f>4611.9</f>
        <v>4611.8999999999996</v>
      </c>
      <c r="C77" s="4"/>
      <c r="D77" s="5">
        <f>217.07</f>
        <v>217.07</v>
      </c>
      <c r="E77" s="4"/>
      <c r="F77" s="5">
        <f>218.7</f>
        <v>218.7</v>
      </c>
      <c r="G77" s="4"/>
      <c r="H77" s="4"/>
      <c r="I77" s="4"/>
      <c r="J77" s="4"/>
      <c r="K77" s="4"/>
      <c r="L77" s="4"/>
      <c r="M77" s="5">
        <f>98.24</f>
        <v>98.24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5">
        <f>205.97</f>
        <v>205.97</v>
      </c>
      <c r="Y77" s="4"/>
      <c r="Z77" s="4"/>
      <c r="AA77" s="4"/>
      <c r="AB77" s="5">
        <f t="shared" si="10"/>
        <v>5351.8799999999992</v>
      </c>
    </row>
    <row r="78" spans="1:29" x14ac:dyDescent="0.25">
      <c r="A78" s="3" t="s">
        <v>96</v>
      </c>
      <c r="B78" s="5">
        <f>27149.48</f>
        <v>27149.48</v>
      </c>
      <c r="C78" s="4"/>
      <c r="D78" s="5">
        <f>7459.54</f>
        <v>7459.54</v>
      </c>
      <c r="E78" s="4"/>
      <c r="F78" s="5">
        <f>4066.85</f>
        <v>4066.85</v>
      </c>
      <c r="G78" s="5">
        <f>81</f>
        <v>81</v>
      </c>
      <c r="H78" s="4"/>
      <c r="I78" s="4"/>
      <c r="J78" s="5">
        <f>27938.09</f>
        <v>27938.09</v>
      </c>
      <c r="K78" s="5">
        <f>373.82</f>
        <v>373.82</v>
      </c>
      <c r="L78" s="4"/>
      <c r="M78" s="5">
        <f>201.5</f>
        <v>201.5</v>
      </c>
      <c r="N78" s="5">
        <f>998.62</f>
        <v>998.62</v>
      </c>
      <c r="O78" s="5">
        <f>81</f>
        <v>81</v>
      </c>
      <c r="P78" s="4"/>
      <c r="Q78" s="4"/>
      <c r="R78" s="5">
        <f>48131.74</f>
        <v>48131.74</v>
      </c>
      <c r="S78" s="4"/>
      <c r="T78" s="4"/>
      <c r="U78" s="4"/>
      <c r="V78" s="5">
        <f>6612.7</f>
        <v>6612.7</v>
      </c>
      <c r="W78" s="5">
        <f>10686.14</f>
        <v>10686.14</v>
      </c>
      <c r="X78" s="5">
        <f>1035.84</f>
        <v>1035.8399999999999</v>
      </c>
      <c r="Y78" s="4"/>
      <c r="Z78" s="5">
        <f>30285.13</f>
        <v>30285.13</v>
      </c>
      <c r="AA78" s="4"/>
      <c r="AB78" s="5">
        <f t="shared" si="10"/>
        <v>165101.44999999998</v>
      </c>
    </row>
    <row r="79" spans="1:29" x14ac:dyDescent="0.25">
      <c r="A79" s="3" t="s">
        <v>97</v>
      </c>
      <c r="B79" s="5">
        <f>1159.24</f>
        <v>1159.24</v>
      </c>
      <c r="C79" s="4"/>
      <c r="D79" s="4"/>
      <c r="E79" s="4"/>
      <c r="F79" s="5">
        <f>1231.5</f>
        <v>1231.5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5">
        <f t="shared" si="10"/>
        <v>2390.7399999999998</v>
      </c>
    </row>
    <row r="80" spans="1:29" x14ac:dyDescent="0.25">
      <c r="A80" s="3" t="s">
        <v>98</v>
      </c>
      <c r="B80" s="6">
        <f t="shared" ref="B80:AA80" si="13">((((((B73)+(B74))+(B75))+(B76))+(B77))+(B78))+(B79)</f>
        <v>37696.1</v>
      </c>
      <c r="C80" s="6">
        <f t="shared" si="13"/>
        <v>0</v>
      </c>
      <c r="D80" s="6">
        <f t="shared" si="13"/>
        <v>8282.2199999999993</v>
      </c>
      <c r="E80" s="6">
        <f t="shared" si="13"/>
        <v>0</v>
      </c>
      <c r="F80" s="6">
        <f t="shared" si="13"/>
        <v>9510.83</v>
      </c>
      <c r="G80" s="6">
        <f t="shared" si="13"/>
        <v>81</v>
      </c>
      <c r="H80" s="6">
        <f t="shared" si="13"/>
        <v>0</v>
      </c>
      <c r="I80" s="6">
        <f t="shared" si="13"/>
        <v>0</v>
      </c>
      <c r="J80" s="6">
        <f t="shared" si="13"/>
        <v>27938.09</v>
      </c>
      <c r="K80" s="6">
        <f t="shared" si="13"/>
        <v>373.82</v>
      </c>
      <c r="L80" s="6">
        <f t="shared" si="13"/>
        <v>0</v>
      </c>
      <c r="M80" s="6">
        <f t="shared" si="13"/>
        <v>299.74</v>
      </c>
      <c r="N80" s="6">
        <f t="shared" si="13"/>
        <v>998.62</v>
      </c>
      <c r="O80" s="6">
        <f t="shared" si="13"/>
        <v>81</v>
      </c>
      <c r="P80" s="6">
        <f t="shared" si="13"/>
        <v>0</v>
      </c>
      <c r="Q80" s="6">
        <f t="shared" si="13"/>
        <v>0</v>
      </c>
      <c r="R80" s="6">
        <f t="shared" si="13"/>
        <v>48299.74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8815.14</v>
      </c>
      <c r="W80" s="6">
        <f t="shared" si="13"/>
        <v>10918.33</v>
      </c>
      <c r="X80" s="6">
        <f t="shared" si="13"/>
        <v>1241.81</v>
      </c>
      <c r="Y80" s="6">
        <f t="shared" si="13"/>
        <v>0</v>
      </c>
      <c r="Z80" s="6">
        <f t="shared" si="13"/>
        <v>30336.05</v>
      </c>
      <c r="AA80" s="6">
        <f t="shared" si="13"/>
        <v>0</v>
      </c>
      <c r="AB80" s="6">
        <f t="shared" si="10"/>
        <v>184872.48999999996</v>
      </c>
    </row>
    <row r="81" spans="1:28" x14ac:dyDescent="0.25">
      <c r="A81" s="3" t="s">
        <v>99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5">
        <f t="shared" si="10"/>
        <v>0</v>
      </c>
    </row>
    <row r="82" spans="1:28" x14ac:dyDescent="0.25">
      <c r="A82" s="3" t="s">
        <v>100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5">
        <f>18156.86</f>
        <v>18156.86</v>
      </c>
      <c r="Q82" s="4"/>
      <c r="R82" s="4"/>
      <c r="S82" s="4"/>
      <c r="T82" s="4"/>
      <c r="U82" s="4"/>
      <c r="V82" s="5">
        <f>6874.85</f>
        <v>6874.85</v>
      </c>
      <c r="W82" s="4"/>
      <c r="X82" s="4"/>
      <c r="Y82" s="4"/>
      <c r="Z82" s="4"/>
      <c r="AA82" s="5">
        <f>0</f>
        <v>0</v>
      </c>
      <c r="AB82" s="5">
        <f t="shared" si="10"/>
        <v>25031.71</v>
      </c>
    </row>
    <row r="83" spans="1:28" x14ac:dyDescent="0.25">
      <c r="A83" s="3" t="s">
        <v>101</v>
      </c>
      <c r="B83" s="5">
        <f>2390</f>
        <v>2390</v>
      </c>
      <c r="C83" s="4"/>
      <c r="D83" s="5">
        <f>398</f>
        <v>398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5">
        <f>1120</f>
        <v>1120</v>
      </c>
      <c r="W83" s="5">
        <f>800</f>
        <v>800</v>
      </c>
      <c r="X83" s="5">
        <f>1728</f>
        <v>1728</v>
      </c>
      <c r="Y83" s="4"/>
      <c r="Z83" s="4"/>
      <c r="AA83" s="4"/>
      <c r="AB83" s="5">
        <f t="shared" si="10"/>
        <v>6436</v>
      </c>
    </row>
    <row r="84" spans="1:28" x14ac:dyDescent="0.25">
      <c r="A84" s="3" t="s">
        <v>102</v>
      </c>
      <c r="B84" s="5">
        <f>4531.71</f>
        <v>4531.71</v>
      </c>
      <c r="C84" s="4"/>
      <c r="D84" s="5">
        <f>2937.31</f>
        <v>2937.31</v>
      </c>
      <c r="E84" s="4"/>
      <c r="F84" s="5">
        <f>2065.76</f>
        <v>2065.7600000000002</v>
      </c>
      <c r="G84" s="4"/>
      <c r="H84" s="5">
        <f>476.06</f>
        <v>476.06</v>
      </c>
      <c r="I84" s="4"/>
      <c r="J84" s="4"/>
      <c r="K84" s="5">
        <f>60.42</f>
        <v>60.42</v>
      </c>
      <c r="L84" s="4"/>
      <c r="M84" s="4"/>
      <c r="N84" s="5">
        <f>35</f>
        <v>35</v>
      </c>
      <c r="O84" s="4"/>
      <c r="P84" s="4"/>
      <c r="Q84" s="5">
        <f>364.11</f>
        <v>364.11</v>
      </c>
      <c r="R84" s="5">
        <f>220.48</f>
        <v>220.48</v>
      </c>
      <c r="S84" s="4"/>
      <c r="T84" s="5">
        <f>14157.49</f>
        <v>14157.49</v>
      </c>
      <c r="U84" s="4"/>
      <c r="V84" s="5">
        <f>5468.32</f>
        <v>5468.32</v>
      </c>
      <c r="W84" s="5">
        <f>5911.15</f>
        <v>5911.15</v>
      </c>
      <c r="X84" s="5">
        <f>3426.98</f>
        <v>3426.98</v>
      </c>
      <c r="Y84" s="4"/>
      <c r="Z84" s="5">
        <f>679</f>
        <v>679</v>
      </c>
      <c r="AA84" s="5">
        <f>0</f>
        <v>0</v>
      </c>
      <c r="AB84" s="5">
        <f t="shared" si="10"/>
        <v>40333.79</v>
      </c>
    </row>
    <row r="85" spans="1:28" x14ac:dyDescent="0.25">
      <c r="A85" s="3" t="s">
        <v>103</v>
      </c>
      <c r="B85" s="5">
        <f>601.35</f>
        <v>601.35</v>
      </c>
      <c r="C85" s="4"/>
      <c r="D85" s="5">
        <f>102.72</f>
        <v>102.72</v>
      </c>
      <c r="E85" s="4"/>
      <c r="F85" s="5">
        <f>4499</f>
        <v>4499</v>
      </c>
      <c r="G85" s="4"/>
      <c r="H85" s="4"/>
      <c r="I85" s="4"/>
      <c r="J85" s="4"/>
      <c r="K85" s="4"/>
      <c r="L85" s="4"/>
      <c r="M85" s="5">
        <f>2756.34</f>
        <v>2756.34</v>
      </c>
      <c r="N85" s="4"/>
      <c r="O85" s="4"/>
      <c r="P85" s="4"/>
      <c r="Q85" s="4"/>
      <c r="R85" s="5">
        <f>629.7</f>
        <v>629.70000000000005</v>
      </c>
      <c r="S85" s="4"/>
      <c r="T85" s="4"/>
      <c r="U85" s="4"/>
      <c r="V85" s="5">
        <f>8537.97</f>
        <v>8537.9699999999993</v>
      </c>
      <c r="W85" s="4"/>
      <c r="X85" s="4"/>
      <c r="Y85" s="5">
        <f>678.64</f>
        <v>678.64</v>
      </c>
      <c r="Z85" s="4"/>
      <c r="AA85" s="4"/>
      <c r="AB85" s="5">
        <f t="shared" si="10"/>
        <v>17805.72</v>
      </c>
    </row>
    <row r="86" spans="1:28" x14ac:dyDescent="0.25">
      <c r="A86" s="3" t="s">
        <v>104</v>
      </c>
      <c r="B86" s="5">
        <f>2881.63</f>
        <v>2881.63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5">
        <f t="shared" si="10"/>
        <v>2881.63</v>
      </c>
    </row>
    <row r="87" spans="1:28" x14ac:dyDescent="0.25">
      <c r="A87" s="3" t="s">
        <v>105</v>
      </c>
      <c r="B87" s="6">
        <f t="shared" ref="B87:AA87" si="14">(((((B81)+(B82))+(B83))+(B84))+(B85))+(B86)</f>
        <v>10404.69</v>
      </c>
      <c r="C87" s="6">
        <f t="shared" si="14"/>
        <v>0</v>
      </c>
      <c r="D87" s="6">
        <f t="shared" si="14"/>
        <v>3438.0299999999997</v>
      </c>
      <c r="E87" s="6">
        <f t="shared" si="14"/>
        <v>0</v>
      </c>
      <c r="F87" s="6">
        <f t="shared" si="14"/>
        <v>6564.76</v>
      </c>
      <c r="G87" s="6">
        <f t="shared" si="14"/>
        <v>0</v>
      </c>
      <c r="H87" s="6">
        <f t="shared" si="14"/>
        <v>476.06</v>
      </c>
      <c r="I87" s="6">
        <f t="shared" si="14"/>
        <v>0</v>
      </c>
      <c r="J87" s="6">
        <f t="shared" si="14"/>
        <v>0</v>
      </c>
      <c r="K87" s="6">
        <f t="shared" si="14"/>
        <v>60.42</v>
      </c>
      <c r="L87" s="6">
        <f t="shared" si="14"/>
        <v>0</v>
      </c>
      <c r="M87" s="6">
        <f t="shared" si="14"/>
        <v>2756.34</v>
      </c>
      <c r="N87" s="6">
        <f t="shared" si="14"/>
        <v>35</v>
      </c>
      <c r="O87" s="6">
        <f t="shared" si="14"/>
        <v>0</v>
      </c>
      <c r="P87" s="6">
        <f t="shared" si="14"/>
        <v>18156.86</v>
      </c>
      <c r="Q87" s="6">
        <f t="shared" si="14"/>
        <v>364.11</v>
      </c>
      <c r="R87" s="6">
        <f t="shared" si="14"/>
        <v>850.18000000000006</v>
      </c>
      <c r="S87" s="6">
        <f t="shared" si="14"/>
        <v>0</v>
      </c>
      <c r="T87" s="6">
        <f t="shared" si="14"/>
        <v>14157.49</v>
      </c>
      <c r="U87" s="6">
        <f t="shared" si="14"/>
        <v>0</v>
      </c>
      <c r="V87" s="6">
        <f t="shared" si="14"/>
        <v>22001.14</v>
      </c>
      <c r="W87" s="6">
        <f t="shared" si="14"/>
        <v>6711.15</v>
      </c>
      <c r="X87" s="6">
        <f t="shared" si="14"/>
        <v>5154.9799999999996</v>
      </c>
      <c r="Y87" s="6">
        <f t="shared" si="14"/>
        <v>678.64</v>
      </c>
      <c r="Z87" s="6">
        <f t="shared" si="14"/>
        <v>679</v>
      </c>
      <c r="AA87" s="6">
        <f t="shared" si="14"/>
        <v>0</v>
      </c>
      <c r="AB87" s="6">
        <f t="shared" si="10"/>
        <v>92488.849999999991</v>
      </c>
    </row>
    <row r="88" spans="1:28" x14ac:dyDescent="0.25">
      <c r="A88" s="3" t="s">
        <v>106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">
        <f t="shared" si="10"/>
        <v>0</v>
      </c>
    </row>
    <row r="89" spans="1:28" x14ac:dyDescent="0.25">
      <c r="A89" s="3" t="s">
        <v>107</v>
      </c>
      <c r="B89" s="5">
        <f>2830.46</f>
        <v>2830.46</v>
      </c>
      <c r="C89" s="4"/>
      <c r="D89" s="4"/>
      <c r="E89" s="4"/>
      <c r="F89" s="5">
        <f>388.77</f>
        <v>388.77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5">
        <f>422.9</f>
        <v>422.9</v>
      </c>
      <c r="W89" s="4"/>
      <c r="X89" s="5">
        <f>1015.22</f>
        <v>1015.22</v>
      </c>
      <c r="Y89" s="4"/>
      <c r="Z89" s="4"/>
      <c r="AA89" s="4"/>
      <c r="AB89" s="5">
        <f t="shared" si="10"/>
        <v>4657.3500000000004</v>
      </c>
    </row>
    <row r="90" spans="1:28" x14ac:dyDescent="0.25">
      <c r="A90" s="3" t="s">
        <v>108</v>
      </c>
      <c r="B90" s="4"/>
      <c r="C90" s="4"/>
      <c r="D90" s="5">
        <f>11009.86</f>
        <v>11009.86</v>
      </c>
      <c r="E90" s="5">
        <f>616.35</f>
        <v>616.35</v>
      </c>
      <c r="F90" s="5">
        <f>33969.73</f>
        <v>33969.730000000003</v>
      </c>
      <c r="G90" s="5">
        <f>505.01</f>
        <v>505.01</v>
      </c>
      <c r="H90" s="5">
        <f>2305.32</f>
        <v>2305.3200000000002</v>
      </c>
      <c r="I90" s="5">
        <f>0</f>
        <v>0</v>
      </c>
      <c r="J90" s="5">
        <f>5613.51</f>
        <v>5613.51</v>
      </c>
      <c r="K90" s="5">
        <f>2701.89</f>
        <v>2701.89</v>
      </c>
      <c r="L90" s="5">
        <f>1830.63</f>
        <v>1830.63</v>
      </c>
      <c r="M90" s="4"/>
      <c r="N90" s="5">
        <f>5935.26</f>
        <v>5935.26</v>
      </c>
      <c r="O90" s="5">
        <f>1414.37</f>
        <v>1414.37</v>
      </c>
      <c r="P90" s="5">
        <f>17865.12</f>
        <v>17865.12</v>
      </c>
      <c r="Q90" s="5">
        <f>1559.22</f>
        <v>1559.22</v>
      </c>
      <c r="R90" s="5">
        <f>22250.47</f>
        <v>22250.47</v>
      </c>
      <c r="S90" s="5">
        <f>19410.73</f>
        <v>19410.73</v>
      </c>
      <c r="T90" s="5">
        <f>5249.16</f>
        <v>5249.16</v>
      </c>
      <c r="U90" s="5">
        <f>1611.63</f>
        <v>1611.63</v>
      </c>
      <c r="V90" s="5">
        <f>22093.82</f>
        <v>22093.82</v>
      </c>
      <c r="W90" s="5">
        <f>9708.73</f>
        <v>9708.73</v>
      </c>
      <c r="X90" s="5">
        <f>8772.12</f>
        <v>8772.1200000000008</v>
      </c>
      <c r="Y90" s="5">
        <f>127.97</f>
        <v>127.97</v>
      </c>
      <c r="Z90" s="5">
        <f>805.24</f>
        <v>805.24</v>
      </c>
      <c r="AA90" s="4"/>
      <c r="AB90" s="5">
        <f t="shared" si="10"/>
        <v>175356.14</v>
      </c>
    </row>
    <row r="91" spans="1:28" x14ac:dyDescent="0.25">
      <c r="A91" s="3" t="s">
        <v>109</v>
      </c>
      <c r="B91" s="6">
        <f t="shared" ref="B91:AA91" si="15">((B88)+(B89))+(B90)</f>
        <v>2830.46</v>
      </c>
      <c r="C91" s="6">
        <f t="shared" si="15"/>
        <v>0</v>
      </c>
      <c r="D91" s="6">
        <f t="shared" si="15"/>
        <v>11009.86</v>
      </c>
      <c r="E91" s="6">
        <f t="shared" si="15"/>
        <v>616.35</v>
      </c>
      <c r="F91" s="6">
        <f t="shared" si="15"/>
        <v>34358.5</v>
      </c>
      <c r="G91" s="6">
        <f t="shared" si="15"/>
        <v>505.01</v>
      </c>
      <c r="H91" s="6">
        <f t="shared" si="15"/>
        <v>2305.3200000000002</v>
      </c>
      <c r="I91" s="6">
        <f t="shared" si="15"/>
        <v>0</v>
      </c>
      <c r="J91" s="6">
        <f t="shared" si="15"/>
        <v>5613.51</v>
      </c>
      <c r="K91" s="6">
        <f t="shared" si="15"/>
        <v>2701.89</v>
      </c>
      <c r="L91" s="6">
        <f t="shared" si="15"/>
        <v>1830.63</v>
      </c>
      <c r="M91" s="6">
        <f t="shared" si="15"/>
        <v>0</v>
      </c>
      <c r="N91" s="6">
        <f t="shared" si="15"/>
        <v>5935.26</v>
      </c>
      <c r="O91" s="6">
        <f t="shared" si="15"/>
        <v>1414.37</v>
      </c>
      <c r="P91" s="6">
        <f t="shared" si="15"/>
        <v>17865.12</v>
      </c>
      <c r="Q91" s="6">
        <f t="shared" si="15"/>
        <v>1559.22</v>
      </c>
      <c r="R91" s="6">
        <f t="shared" si="15"/>
        <v>22250.47</v>
      </c>
      <c r="S91" s="6">
        <f t="shared" si="15"/>
        <v>19410.73</v>
      </c>
      <c r="T91" s="6">
        <f t="shared" si="15"/>
        <v>5249.16</v>
      </c>
      <c r="U91" s="6">
        <f t="shared" si="15"/>
        <v>1611.63</v>
      </c>
      <c r="V91" s="6">
        <f t="shared" si="15"/>
        <v>22516.720000000001</v>
      </c>
      <c r="W91" s="6">
        <f t="shared" si="15"/>
        <v>9708.73</v>
      </c>
      <c r="X91" s="6">
        <f t="shared" si="15"/>
        <v>9787.34</v>
      </c>
      <c r="Y91" s="6">
        <f t="shared" si="15"/>
        <v>127.97</v>
      </c>
      <c r="Z91" s="6">
        <f t="shared" si="15"/>
        <v>805.24</v>
      </c>
      <c r="AA91" s="6">
        <f t="shared" si="15"/>
        <v>0</v>
      </c>
      <c r="AB91" s="6">
        <f t="shared" si="10"/>
        <v>180013.49</v>
      </c>
    </row>
    <row r="92" spans="1:28" x14ac:dyDescent="0.25">
      <c r="A92" s="3" t="s">
        <v>110</v>
      </c>
      <c r="B92" s="6">
        <f t="shared" ref="B92:AA92" si="16">((((((((B34)+(B46))+(B52))+(B53))+(B65))+(B72))+(B80))+(B87))+(B91)</f>
        <v>354693.81999999995</v>
      </c>
      <c r="C92" s="6">
        <f t="shared" si="16"/>
        <v>0</v>
      </c>
      <c r="D92" s="6">
        <f t="shared" si="16"/>
        <v>148633.15999999997</v>
      </c>
      <c r="E92" s="6">
        <f t="shared" si="16"/>
        <v>12943.11</v>
      </c>
      <c r="F92" s="6">
        <f t="shared" si="16"/>
        <v>378667.01</v>
      </c>
      <c r="G92" s="6">
        <f t="shared" si="16"/>
        <v>6825.73</v>
      </c>
      <c r="H92" s="6">
        <f t="shared" si="16"/>
        <v>25887.53</v>
      </c>
      <c r="I92" s="6">
        <f t="shared" si="16"/>
        <v>0</v>
      </c>
      <c r="J92" s="6">
        <f t="shared" si="16"/>
        <v>61748.68</v>
      </c>
      <c r="K92" s="6">
        <f t="shared" si="16"/>
        <v>29720.749999999993</v>
      </c>
      <c r="L92" s="6">
        <f t="shared" si="16"/>
        <v>24713.670000000002</v>
      </c>
      <c r="M92" s="6">
        <f t="shared" si="16"/>
        <v>4428.5200000000004</v>
      </c>
      <c r="N92" s="6">
        <f t="shared" si="16"/>
        <v>65334.880000000005</v>
      </c>
      <c r="O92" s="6">
        <f t="shared" si="16"/>
        <v>15558.04</v>
      </c>
      <c r="P92" s="6">
        <f t="shared" si="16"/>
        <v>196516.33000000002</v>
      </c>
      <c r="Q92" s="6">
        <f t="shared" si="16"/>
        <v>17151.45</v>
      </c>
      <c r="R92" s="6">
        <f t="shared" si="16"/>
        <v>193407.93</v>
      </c>
      <c r="S92" s="6">
        <f t="shared" si="16"/>
        <v>181166.81</v>
      </c>
      <c r="T92" s="6">
        <f t="shared" si="16"/>
        <v>57740.86</v>
      </c>
      <c r="U92" s="6">
        <f t="shared" si="16"/>
        <v>21757.09</v>
      </c>
      <c r="V92" s="6">
        <f t="shared" si="16"/>
        <v>294844.01</v>
      </c>
      <c r="W92" s="6">
        <f t="shared" si="16"/>
        <v>79056.779999999984</v>
      </c>
      <c r="X92" s="6">
        <f t="shared" si="16"/>
        <v>96493.2</v>
      </c>
      <c r="Y92" s="6">
        <f t="shared" si="16"/>
        <v>6526.35</v>
      </c>
      <c r="Z92" s="6">
        <f t="shared" si="16"/>
        <v>65743.680000000008</v>
      </c>
      <c r="AA92" s="6">
        <f t="shared" si="16"/>
        <v>0</v>
      </c>
      <c r="AB92" s="6">
        <f t="shared" si="10"/>
        <v>2339559.3900000006</v>
      </c>
    </row>
    <row r="93" spans="1:28" x14ac:dyDescent="0.25">
      <c r="A93" s="3" t="s">
        <v>111</v>
      </c>
      <c r="B93" s="6">
        <f t="shared" ref="B93:AA93" si="17">(B29)-(B92)</f>
        <v>184392.94000000018</v>
      </c>
      <c r="C93" s="6">
        <f t="shared" si="17"/>
        <v>190</v>
      </c>
      <c r="D93" s="6">
        <f t="shared" si="17"/>
        <v>-148633.15999999997</v>
      </c>
      <c r="E93" s="6">
        <f t="shared" si="17"/>
        <v>-12943.11</v>
      </c>
      <c r="F93" s="6">
        <f t="shared" si="17"/>
        <v>523685.29999999993</v>
      </c>
      <c r="G93" s="6">
        <f t="shared" si="17"/>
        <v>-6825.73</v>
      </c>
      <c r="H93" s="6">
        <f t="shared" si="17"/>
        <v>-4574.119999999999</v>
      </c>
      <c r="I93" s="6">
        <f t="shared" si="17"/>
        <v>0</v>
      </c>
      <c r="J93" s="6">
        <f t="shared" si="17"/>
        <v>-58604.68</v>
      </c>
      <c r="K93" s="6">
        <f t="shared" si="17"/>
        <v>-3927.9899999999943</v>
      </c>
      <c r="L93" s="6">
        <f t="shared" si="17"/>
        <v>-24713.670000000002</v>
      </c>
      <c r="M93" s="6">
        <f t="shared" si="17"/>
        <v>3571.4799999999996</v>
      </c>
      <c r="N93" s="6">
        <f t="shared" si="17"/>
        <v>-48654.880000000005</v>
      </c>
      <c r="O93" s="6">
        <f t="shared" si="17"/>
        <v>80279.76999999999</v>
      </c>
      <c r="P93" s="6">
        <f t="shared" si="17"/>
        <v>-68174.030000000013</v>
      </c>
      <c r="Q93" s="6">
        <f t="shared" si="17"/>
        <v>367506.55</v>
      </c>
      <c r="R93" s="6">
        <f t="shared" si="17"/>
        <v>77580.280000000028</v>
      </c>
      <c r="S93" s="6">
        <f t="shared" si="17"/>
        <v>-62216.14</v>
      </c>
      <c r="T93" s="6">
        <f t="shared" si="17"/>
        <v>-21782.35</v>
      </c>
      <c r="U93" s="6">
        <f t="shared" si="17"/>
        <v>-21757.09</v>
      </c>
      <c r="V93" s="6">
        <f t="shared" si="17"/>
        <v>-89442.010000000009</v>
      </c>
      <c r="W93" s="6">
        <f t="shared" si="17"/>
        <v>-79056.779999999984</v>
      </c>
      <c r="X93" s="6">
        <f t="shared" si="17"/>
        <v>-96493.2</v>
      </c>
      <c r="Y93" s="6">
        <f t="shared" si="17"/>
        <v>-2795.3500000000004</v>
      </c>
      <c r="Z93" s="6">
        <f t="shared" si="17"/>
        <v>-65743.680000000008</v>
      </c>
      <c r="AA93" s="6">
        <f t="shared" si="17"/>
        <v>0</v>
      </c>
      <c r="AB93" s="6">
        <f t="shared" si="10"/>
        <v>420868.35000000021</v>
      </c>
    </row>
    <row r="94" spans="1:28" x14ac:dyDescent="0.25">
      <c r="A94" s="3" t="s">
        <v>112</v>
      </c>
      <c r="B94" s="7">
        <f t="shared" ref="B94:AA94" si="18">(B93)+(0)</f>
        <v>184392.94000000018</v>
      </c>
      <c r="C94" s="7">
        <f t="shared" si="18"/>
        <v>190</v>
      </c>
      <c r="D94" s="7">
        <f t="shared" si="18"/>
        <v>-148633.15999999997</v>
      </c>
      <c r="E94" s="7">
        <f t="shared" si="18"/>
        <v>-12943.11</v>
      </c>
      <c r="F94" s="7">
        <f t="shared" si="18"/>
        <v>523685.29999999993</v>
      </c>
      <c r="G94" s="7">
        <f t="shared" si="18"/>
        <v>-6825.73</v>
      </c>
      <c r="H94" s="7">
        <f t="shared" si="18"/>
        <v>-4574.119999999999</v>
      </c>
      <c r="I94" s="7">
        <f t="shared" si="18"/>
        <v>0</v>
      </c>
      <c r="J94" s="7">
        <f t="shared" si="18"/>
        <v>-58604.68</v>
      </c>
      <c r="K94" s="7">
        <f t="shared" si="18"/>
        <v>-3927.9899999999943</v>
      </c>
      <c r="L94" s="7">
        <f t="shared" si="18"/>
        <v>-24713.670000000002</v>
      </c>
      <c r="M94" s="7">
        <f t="shared" si="18"/>
        <v>3571.4799999999996</v>
      </c>
      <c r="N94" s="7">
        <f t="shared" si="18"/>
        <v>-48654.880000000005</v>
      </c>
      <c r="O94" s="7">
        <f t="shared" si="18"/>
        <v>80279.76999999999</v>
      </c>
      <c r="P94" s="7">
        <f t="shared" si="18"/>
        <v>-68174.030000000013</v>
      </c>
      <c r="Q94" s="7">
        <f t="shared" si="18"/>
        <v>367506.55</v>
      </c>
      <c r="R94" s="7">
        <f t="shared" si="18"/>
        <v>77580.280000000028</v>
      </c>
      <c r="S94" s="7">
        <f t="shared" si="18"/>
        <v>-62216.14</v>
      </c>
      <c r="T94" s="7">
        <f t="shared" si="18"/>
        <v>-21782.35</v>
      </c>
      <c r="U94" s="7">
        <f t="shared" si="18"/>
        <v>-21757.09</v>
      </c>
      <c r="V94" s="7">
        <f t="shared" si="18"/>
        <v>-89442.010000000009</v>
      </c>
      <c r="W94" s="7">
        <f t="shared" si="18"/>
        <v>-79056.779999999984</v>
      </c>
      <c r="X94" s="7">
        <f t="shared" si="18"/>
        <v>-96493.2</v>
      </c>
      <c r="Y94" s="7">
        <f t="shared" si="18"/>
        <v>-2795.3500000000004</v>
      </c>
      <c r="Z94" s="7">
        <f t="shared" si="18"/>
        <v>-65743.680000000008</v>
      </c>
      <c r="AA94" s="7">
        <f t="shared" si="18"/>
        <v>0</v>
      </c>
      <c r="AB94" s="7">
        <f t="shared" si="10"/>
        <v>420868.35000000021</v>
      </c>
    </row>
    <row r="95" spans="1:28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8" spans="1:28" x14ac:dyDescent="0.25">
      <c r="A98" s="9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</sheetData>
  <mergeCells count="4">
    <mergeCell ref="A98:AB98"/>
    <mergeCell ref="A1:AB1"/>
    <mergeCell ref="A2:AB2"/>
    <mergeCell ref="A3:AB3"/>
  </mergeCells>
  <pageMargins left="0.7" right="0.7" top="0.75" bottom="0.75" header="0.3" footer="0.3"/>
  <pageSetup paperSize="5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 by 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Faust</cp:lastModifiedBy>
  <cp:lastPrinted>2022-10-21T18:42:35Z</cp:lastPrinted>
  <dcterms:created xsi:type="dcterms:W3CDTF">2022-10-21T18:13:45Z</dcterms:created>
  <dcterms:modified xsi:type="dcterms:W3CDTF">2022-10-31T19:40:44Z</dcterms:modified>
</cp:coreProperties>
</file>