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fileSharing userName="Angie Perkins" algorithmName="SHA-512" hashValue="Uti96TvZmQ5koMsTwRhtmHP0r0J/vzhsf2Vz5AmTK9OS5MMB1tMrCr3loDmCpdiarva1uVlTKJp6duNi6D8FUQ==" saltValue="uWO4IexJSRp7fZCm1JIvf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OOKKEEPER\Board Reports\2022-23\"/>
    </mc:Choice>
  </mc:AlternateContent>
  <xr:revisionPtr revIDLastSave="0" documentId="14_{124A307E-69B3-4A9D-823D-FE84F568F2C3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ofit and Loss by Class" sheetId="1" r:id="rId1"/>
  </sheets>
  <calcPr calcId="191029"/>
</workbook>
</file>

<file path=xl/calcChain.xml><?xml version="1.0" encoding="utf-8"?>
<calcChain xmlns="http://schemas.openxmlformats.org/spreadsheetml/2006/main">
  <c r="C14" i="1" l="1"/>
  <c r="C15" i="1" s="1"/>
  <c r="C25" i="1" s="1"/>
  <c r="C26" i="1" s="1"/>
  <c r="C87" i="1" s="1"/>
  <c r="C88" i="1" s="1"/>
  <c r="C18" i="1"/>
  <c r="C23" i="1"/>
  <c r="C31" i="1"/>
  <c r="C43" i="1"/>
  <c r="C86" i="1" s="1"/>
  <c r="C49" i="1"/>
  <c r="C60" i="1"/>
  <c r="C67" i="1"/>
  <c r="C74" i="1"/>
  <c r="C81" i="1"/>
  <c r="C85" i="1"/>
  <c r="AA85" i="1"/>
  <c r="M85" i="1"/>
  <c r="Z84" i="1"/>
  <c r="Z85" i="1" s="1"/>
  <c r="Y84" i="1"/>
  <c r="Y85" i="1" s="1"/>
  <c r="X84" i="1"/>
  <c r="W84" i="1"/>
  <c r="W85" i="1" s="1"/>
  <c r="V84" i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X83" i="1"/>
  <c r="X85" i="1" s="1"/>
  <c r="V83" i="1"/>
  <c r="B83" i="1"/>
  <c r="B85" i="1" s="1"/>
  <c r="AB82" i="1"/>
  <c r="Z81" i="1"/>
  <c r="U81" i="1"/>
  <c r="S81" i="1"/>
  <c r="Q81" i="1"/>
  <c r="O81" i="1"/>
  <c r="N81" i="1"/>
  <c r="L81" i="1"/>
  <c r="K81" i="1"/>
  <c r="J81" i="1"/>
  <c r="I81" i="1"/>
  <c r="H81" i="1"/>
  <c r="G81" i="1"/>
  <c r="E81" i="1"/>
  <c r="B80" i="1"/>
  <c r="AB80" i="1" s="1"/>
  <c r="Y79" i="1"/>
  <c r="Y81" i="1" s="1"/>
  <c r="V79" i="1"/>
  <c r="M79" i="1"/>
  <c r="M81" i="1" s="1"/>
  <c r="F79" i="1"/>
  <c r="D79" i="1"/>
  <c r="AA78" i="1"/>
  <c r="AA81" i="1" s="1"/>
  <c r="X78" i="1"/>
  <c r="W78" i="1"/>
  <c r="V78" i="1"/>
  <c r="T78" i="1"/>
  <c r="T81" i="1" s="1"/>
  <c r="R78" i="1"/>
  <c r="R81" i="1" s="1"/>
  <c r="F78" i="1"/>
  <c r="D78" i="1"/>
  <c r="B78" i="1"/>
  <c r="X77" i="1"/>
  <c r="W77" i="1"/>
  <c r="W81" i="1" s="1"/>
  <c r="V77" i="1"/>
  <c r="D77" i="1"/>
  <c r="B77" i="1"/>
  <c r="V76" i="1"/>
  <c r="P76" i="1"/>
  <c r="P81" i="1" s="1"/>
  <c r="AB75" i="1"/>
  <c r="AA74" i="1"/>
  <c r="Y74" i="1"/>
  <c r="U74" i="1"/>
  <c r="T74" i="1"/>
  <c r="S74" i="1"/>
  <c r="Q74" i="1"/>
  <c r="P74" i="1"/>
  <c r="M74" i="1"/>
  <c r="L74" i="1"/>
  <c r="I74" i="1"/>
  <c r="H74" i="1"/>
  <c r="E74" i="1"/>
  <c r="F73" i="1"/>
  <c r="B73" i="1"/>
  <c r="Z72" i="1"/>
  <c r="X72" i="1"/>
  <c r="W72" i="1"/>
  <c r="V72" i="1"/>
  <c r="R72" i="1"/>
  <c r="O72" i="1"/>
  <c r="O74" i="1" s="1"/>
  <c r="N72" i="1"/>
  <c r="N74" i="1" s="1"/>
  <c r="M72" i="1"/>
  <c r="K72" i="1"/>
  <c r="K74" i="1" s="1"/>
  <c r="J72" i="1"/>
  <c r="J74" i="1" s="1"/>
  <c r="G72" i="1"/>
  <c r="G74" i="1" s="1"/>
  <c r="F72" i="1"/>
  <c r="D72" i="1"/>
  <c r="B72" i="1"/>
  <c r="X71" i="1"/>
  <c r="F71" i="1"/>
  <c r="D71" i="1"/>
  <c r="B71" i="1"/>
  <c r="Z70" i="1"/>
  <c r="W70" i="1"/>
  <c r="V70" i="1"/>
  <c r="R70" i="1"/>
  <c r="F70" i="1"/>
  <c r="D70" i="1"/>
  <c r="B70" i="1"/>
  <c r="V69" i="1"/>
  <c r="F69" i="1"/>
  <c r="B69" i="1"/>
  <c r="A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/>
  <c r="D67" i="1"/>
  <c r="F66" i="1"/>
  <c r="B66" i="1"/>
  <c r="F65" i="1"/>
  <c r="B65" i="1"/>
  <c r="AB61" i="1"/>
  <c r="AA60" i="1"/>
  <c r="Z60" i="1"/>
  <c r="X60" i="1"/>
  <c r="W60" i="1"/>
  <c r="U60" i="1"/>
  <c r="T60" i="1"/>
  <c r="S60" i="1"/>
  <c r="R60" i="1"/>
  <c r="P60" i="1"/>
  <c r="O60" i="1"/>
  <c r="M60" i="1"/>
  <c r="L60" i="1"/>
  <c r="K60" i="1"/>
  <c r="J60" i="1"/>
  <c r="I60" i="1"/>
  <c r="H60" i="1"/>
  <c r="G60" i="1"/>
  <c r="E60" i="1"/>
  <c r="F59" i="1"/>
  <c r="AB59" i="1" s="1"/>
  <c r="Y58" i="1"/>
  <c r="Y60" i="1" s="1"/>
  <c r="V58" i="1"/>
  <c r="N58" i="1"/>
  <c r="N60" i="1" s="1"/>
  <c r="F58" i="1"/>
  <c r="B58" i="1"/>
  <c r="F57" i="1"/>
  <c r="B57" i="1"/>
  <c r="V56" i="1"/>
  <c r="Q56" i="1"/>
  <c r="Q60" i="1" s="1"/>
  <c r="D56" i="1"/>
  <c r="F55" i="1"/>
  <c r="B55" i="1"/>
  <c r="F54" i="1"/>
  <c r="B54" i="1"/>
  <c r="F53" i="1"/>
  <c r="B53" i="1"/>
  <c r="F52" i="1"/>
  <c r="B52" i="1"/>
  <c r="AB51" i="1"/>
  <c r="Z50" i="1"/>
  <c r="X50" i="1"/>
  <c r="W50" i="1"/>
  <c r="R50" i="1"/>
  <c r="H50" i="1"/>
  <c r="F50" i="1"/>
  <c r="D50" i="1"/>
  <c r="B50" i="1"/>
  <c r="Y49" i="1"/>
  <c r="U49" i="1"/>
  <c r="T49" i="1"/>
  <c r="P49" i="1"/>
  <c r="M49" i="1"/>
  <c r="L49" i="1"/>
  <c r="I49" i="1"/>
  <c r="G49" i="1"/>
  <c r="E49" i="1"/>
  <c r="Z48" i="1"/>
  <c r="Z49" i="1" s="1"/>
  <c r="X48" i="1"/>
  <c r="W48" i="1"/>
  <c r="V48" i="1"/>
  <c r="R48" i="1"/>
  <c r="R49" i="1" s="1"/>
  <c r="O48" i="1"/>
  <c r="K48" i="1"/>
  <c r="J48" i="1"/>
  <c r="J49" i="1" s="1"/>
  <c r="H48" i="1"/>
  <c r="F48" i="1"/>
  <c r="D48" i="1"/>
  <c r="B48" i="1"/>
  <c r="F47" i="1"/>
  <c r="B47" i="1"/>
  <c r="AA46" i="1"/>
  <c r="AA49" i="1" s="1"/>
  <c r="B46" i="1"/>
  <c r="X45" i="1"/>
  <c r="W45" i="1"/>
  <c r="V45" i="1"/>
  <c r="S45" i="1"/>
  <c r="S49" i="1" s="1"/>
  <c r="Q45" i="1"/>
  <c r="Q49" i="1" s="1"/>
  <c r="O45" i="1"/>
  <c r="O49" i="1" s="1"/>
  <c r="N45" i="1"/>
  <c r="N49" i="1" s="1"/>
  <c r="K45" i="1"/>
  <c r="H45" i="1"/>
  <c r="H49" i="1" s="1"/>
  <c r="F45" i="1"/>
  <c r="D45" i="1"/>
  <c r="B45" i="1"/>
  <c r="AB44" i="1"/>
  <c r="AA43" i="1"/>
  <c r="N43" i="1"/>
  <c r="I43" i="1"/>
  <c r="Z42" i="1"/>
  <c r="Y42" i="1"/>
  <c r="X42" i="1"/>
  <c r="W42" i="1"/>
  <c r="V42" i="1"/>
  <c r="T42" i="1"/>
  <c r="M42" i="1"/>
  <c r="J42" i="1"/>
  <c r="H42" i="1"/>
  <c r="G42" i="1"/>
  <c r="D42" i="1"/>
  <c r="T41" i="1"/>
  <c r="P41" i="1"/>
  <c r="F41" i="1"/>
  <c r="R40" i="1"/>
  <c r="AB40" i="1" s="1"/>
  <c r="B39" i="1"/>
  <c r="AB39" i="1" s="1"/>
  <c r="Z38" i="1"/>
  <c r="Y38" i="1"/>
  <c r="X38" i="1"/>
  <c r="W38" i="1"/>
  <c r="V38" i="1"/>
  <c r="T38" i="1"/>
  <c r="S38" i="1"/>
  <c r="M38" i="1"/>
  <c r="J38" i="1"/>
  <c r="H38" i="1"/>
  <c r="G38" i="1"/>
  <c r="D38" i="1"/>
  <c r="V37" i="1"/>
  <c r="U37" i="1"/>
  <c r="S37" i="1"/>
  <c r="P37" i="1"/>
  <c r="L37" i="1"/>
  <c r="F37" i="1"/>
  <c r="B37" i="1"/>
  <c r="Z36" i="1"/>
  <c r="Y36" i="1"/>
  <c r="X36" i="1"/>
  <c r="W36" i="1"/>
  <c r="V36" i="1"/>
  <c r="T36" i="1"/>
  <c r="R36" i="1"/>
  <c r="Q36" i="1"/>
  <c r="P36" i="1"/>
  <c r="O36" i="1"/>
  <c r="M36" i="1"/>
  <c r="K36" i="1"/>
  <c r="J36" i="1"/>
  <c r="H36" i="1"/>
  <c r="G36" i="1"/>
  <c r="F36" i="1"/>
  <c r="D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M35" i="1"/>
  <c r="L35" i="1"/>
  <c r="K35" i="1"/>
  <c r="J35" i="1"/>
  <c r="H35" i="1"/>
  <c r="G35" i="1"/>
  <c r="F35" i="1"/>
  <c r="E35" i="1"/>
  <c r="D35" i="1"/>
  <c r="B35" i="1"/>
  <c r="V34" i="1"/>
  <c r="U34" i="1"/>
  <c r="S34" i="1"/>
  <c r="R34" i="1"/>
  <c r="P34" i="1"/>
  <c r="L34" i="1"/>
  <c r="F34" i="1"/>
  <c r="E34" i="1"/>
  <c r="B34" i="1"/>
  <c r="Z33" i="1"/>
  <c r="Y33" i="1"/>
  <c r="X33" i="1"/>
  <c r="W33" i="1"/>
  <c r="V33" i="1"/>
  <c r="T33" i="1"/>
  <c r="M33" i="1"/>
  <c r="J33" i="1"/>
  <c r="H33" i="1"/>
  <c r="G33" i="1"/>
  <c r="D33" i="1"/>
  <c r="R32" i="1"/>
  <c r="B32" i="1"/>
  <c r="AA31" i="1"/>
  <c r="N31" i="1"/>
  <c r="I31" i="1"/>
  <c r="V30" i="1"/>
  <c r="U30" i="1"/>
  <c r="U31" i="1" s="1"/>
  <c r="S30" i="1"/>
  <c r="S31" i="1" s="1"/>
  <c r="R30" i="1"/>
  <c r="P30" i="1"/>
  <c r="L30" i="1"/>
  <c r="L31" i="1" s="1"/>
  <c r="F30" i="1"/>
  <c r="E30" i="1"/>
  <c r="E31" i="1" s="1"/>
  <c r="B30" i="1"/>
  <c r="Z29" i="1"/>
  <c r="Z31" i="1" s="1"/>
  <c r="Y29" i="1"/>
  <c r="Y31" i="1" s="1"/>
  <c r="X29" i="1"/>
  <c r="X31" i="1" s="1"/>
  <c r="W29" i="1"/>
  <c r="W31" i="1" s="1"/>
  <c r="V29" i="1"/>
  <c r="T29" i="1"/>
  <c r="T31" i="1" s="1"/>
  <c r="R29" i="1"/>
  <c r="Q29" i="1"/>
  <c r="Q31" i="1" s="1"/>
  <c r="P29" i="1"/>
  <c r="O29" i="1"/>
  <c r="O31" i="1" s="1"/>
  <c r="M29" i="1"/>
  <c r="M31" i="1" s="1"/>
  <c r="K29" i="1"/>
  <c r="K31" i="1" s="1"/>
  <c r="J29" i="1"/>
  <c r="J31" i="1" s="1"/>
  <c r="H29" i="1"/>
  <c r="H31" i="1" s="1"/>
  <c r="G29" i="1"/>
  <c r="G31" i="1" s="1"/>
  <c r="F29" i="1"/>
  <c r="D29" i="1"/>
  <c r="D31" i="1" s="1"/>
  <c r="B29" i="1"/>
  <c r="AB28" i="1"/>
  <c r="B24" i="1"/>
  <c r="AB24" i="1" s="1"/>
  <c r="AA23" i="1"/>
  <c r="Z23" i="1"/>
  <c r="X23" i="1"/>
  <c r="W23" i="1"/>
  <c r="U23" i="1"/>
  <c r="Q23" i="1"/>
  <c r="O23" i="1"/>
  <c r="N23" i="1"/>
  <c r="M23" i="1"/>
  <c r="L23" i="1"/>
  <c r="K23" i="1"/>
  <c r="I23" i="1"/>
  <c r="H23" i="1"/>
  <c r="G23" i="1"/>
  <c r="F23" i="1"/>
  <c r="E23" i="1"/>
  <c r="D23" i="1"/>
  <c r="B23" i="1"/>
  <c r="Y22" i="1"/>
  <c r="Y23" i="1" s="1"/>
  <c r="V22" i="1"/>
  <c r="T22" i="1"/>
  <c r="T23" i="1" s="1"/>
  <c r="R22" i="1"/>
  <c r="R23" i="1" s="1"/>
  <c r="J22" i="1"/>
  <c r="J23" i="1" s="1"/>
  <c r="S21" i="1"/>
  <c r="S23" i="1" s="1"/>
  <c r="P21" i="1"/>
  <c r="AB21" i="1" s="1"/>
  <c r="AB20" i="1"/>
  <c r="B19" i="1"/>
  <c r="AB19" i="1" s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J18" i="1"/>
  <c r="I18" i="1"/>
  <c r="H18" i="1"/>
  <c r="G18" i="1"/>
  <c r="E18" i="1"/>
  <c r="D18" i="1"/>
  <c r="B18" i="1"/>
  <c r="F17" i="1"/>
  <c r="AB17" i="1" s="1"/>
  <c r="K16" i="1"/>
  <c r="K18" i="1" s="1"/>
  <c r="F16" i="1"/>
  <c r="Z15" i="1"/>
  <c r="Y15" i="1"/>
  <c r="X15" i="1"/>
  <c r="W15" i="1"/>
  <c r="V15" i="1"/>
  <c r="U15" i="1"/>
  <c r="T15" i="1"/>
  <c r="S15" i="1"/>
  <c r="R15" i="1"/>
  <c r="P15" i="1"/>
  <c r="O15" i="1"/>
  <c r="L15" i="1"/>
  <c r="K15" i="1"/>
  <c r="J15" i="1"/>
  <c r="I15" i="1"/>
  <c r="H15" i="1"/>
  <c r="G15" i="1"/>
  <c r="F15" i="1"/>
  <c r="E15" i="1"/>
  <c r="D15" i="1"/>
  <c r="B14" i="1"/>
  <c r="AB14" i="1" s="1"/>
  <c r="B13" i="1"/>
  <c r="AB13" i="1" s="1"/>
  <c r="B12" i="1"/>
  <c r="AB12" i="1" s="1"/>
  <c r="B11" i="1"/>
  <c r="AB11" i="1" s="1"/>
  <c r="B10" i="1"/>
  <c r="AB10" i="1" s="1"/>
  <c r="Q9" i="1"/>
  <c r="AB9" i="1" s="1"/>
  <c r="N8" i="1"/>
  <c r="N15" i="1" s="1"/>
  <c r="M8" i="1"/>
  <c r="AA7" i="1"/>
  <c r="AA15" i="1" s="1"/>
  <c r="M7" i="1"/>
  <c r="B7" i="1"/>
  <c r="AB6" i="1"/>
  <c r="F31" i="1" l="1"/>
  <c r="F67" i="1"/>
  <c r="K49" i="1"/>
  <c r="AB55" i="1"/>
  <c r="AB65" i="1"/>
  <c r="F74" i="1"/>
  <c r="G25" i="1"/>
  <c r="G26" i="1" s="1"/>
  <c r="AB70" i="1"/>
  <c r="O43" i="1"/>
  <c r="AB47" i="1"/>
  <c r="AB76" i="1"/>
  <c r="V31" i="1"/>
  <c r="B49" i="1"/>
  <c r="Q15" i="1"/>
  <c r="Q25" i="1" s="1"/>
  <c r="Q26" i="1" s="1"/>
  <c r="F18" i="1"/>
  <c r="F25" i="1" s="1"/>
  <c r="F26" i="1" s="1"/>
  <c r="V60" i="1"/>
  <c r="B31" i="1"/>
  <c r="X49" i="1"/>
  <c r="B74" i="1"/>
  <c r="Z74" i="1"/>
  <c r="T25" i="1"/>
  <c r="T26" i="1" s="1"/>
  <c r="E25" i="1"/>
  <c r="E26" i="1" s="1"/>
  <c r="L25" i="1"/>
  <c r="L26" i="1" s="1"/>
  <c r="AB71" i="1"/>
  <c r="X81" i="1"/>
  <c r="H25" i="1"/>
  <c r="H26" i="1" s="1"/>
  <c r="I25" i="1"/>
  <c r="I26" i="1" s="1"/>
  <c r="R25" i="1"/>
  <c r="R26" i="1" s="1"/>
  <c r="Z25" i="1"/>
  <c r="Z26" i="1" s="1"/>
  <c r="J25" i="1"/>
  <c r="J26" i="1" s="1"/>
  <c r="AB66" i="1"/>
  <c r="M15" i="1"/>
  <c r="M25" i="1" s="1"/>
  <c r="M26" i="1" s="1"/>
  <c r="S25" i="1"/>
  <c r="S26" i="1" s="1"/>
  <c r="O86" i="1"/>
  <c r="L43" i="1"/>
  <c r="L86" i="1" s="1"/>
  <c r="H43" i="1"/>
  <c r="H86" i="1" s="1"/>
  <c r="R74" i="1"/>
  <c r="AA25" i="1"/>
  <c r="AA26" i="1" s="1"/>
  <c r="W43" i="1"/>
  <c r="D25" i="1"/>
  <c r="D26" i="1" s="1"/>
  <c r="U25" i="1"/>
  <c r="U26" i="1" s="1"/>
  <c r="X43" i="1"/>
  <c r="G43" i="1"/>
  <c r="G86" i="1" s="1"/>
  <c r="AB69" i="1"/>
  <c r="P23" i="1"/>
  <c r="R31" i="1"/>
  <c r="AB34" i="1"/>
  <c r="K43" i="1"/>
  <c r="Z43" i="1"/>
  <c r="Z86" i="1" s="1"/>
  <c r="I86" i="1"/>
  <c r="F81" i="1"/>
  <c r="P43" i="1"/>
  <c r="E43" i="1"/>
  <c r="E86" i="1" s="1"/>
  <c r="Q43" i="1"/>
  <c r="Q86" i="1" s="1"/>
  <c r="Q87" i="1" s="1"/>
  <c r="Q88" i="1" s="1"/>
  <c r="D74" i="1"/>
  <c r="B81" i="1"/>
  <c r="AB72" i="1"/>
  <c r="AB36" i="1"/>
  <c r="M43" i="1"/>
  <c r="M86" i="1" s="1"/>
  <c r="F43" i="1"/>
  <c r="AB46" i="1"/>
  <c r="AB57" i="1"/>
  <c r="B67" i="1"/>
  <c r="AB67" i="1" s="1"/>
  <c r="AB73" i="1"/>
  <c r="D81" i="1"/>
  <c r="V85" i="1"/>
  <c r="AB85" i="1" s="1"/>
  <c r="P25" i="1"/>
  <c r="P26" i="1" s="1"/>
  <c r="V43" i="1"/>
  <c r="AB42" i="1"/>
  <c r="Y43" i="1"/>
  <c r="Y86" i="1" s="1"/>
  <c r="AB54" i="1"/>
  <c r="X74" i="1"/>
  <c r="J43" i="1"/>
  <c r="J86" i="1" s="1"/>
  <c r="AB48" i="1"/>
  <c r="V74" i="1"/>
  <c r="AB78" i="1"/>
  <c r="AA86" i="1"/>
  <c r="P31" i="1"/>
  <c r="S43" i="1"/>
  <c r="S86" i="1" s="1"/>
  <c r="V49" i="1"/>
  <c r="AB50" i="1"/>
  <c r="AB8" i="1"/>
  <c r="K25" i="1"/>
  <c r="K26" i="1" s="1"/>
  <c r="AB30" i="1"/>
  <c r="U43" i="1"/>
  <c r="U86" i="1" s="1"/>
  <c r="AB37" i="1"/>
  <c r="AB41" i="1"/>
  <c r="F49" i="1"/>
  <c r="W49" i="1"/>
  <c r="B60" i="1"/>
  <c r="W74" i="1"/>
  <c r="AB79" i="1"/>
  <c r="Y25" i="1"/>
  <c r="Y26" i="1" s="1"/>
  <c r="AB38" i="1"/>
  <c r="D49" i="1"/>
  <c r="AB45" i="1"/>
  <c r="K86" i="1"/>
  <c r="AB35" i="1"/>
  <c r="B43" i="1"/>
  <c r="D60" i="1"/>
  <c r="AB56" i="1"/>
  <c r="AB16" i="1"/>
  <c r="AB7" i="1"/>
  <c r="B15" i="1"/>
  <c r="O25" i="1"/>
  <c r="O26" i="1" s="1"/>
  <c r="W25" i="1"/>
  <c r="W26" i="1" s="1"/>
  <c r="N86" i="1"/>
  <c r="R43" i="1"/>
  <c r="AB32" i="1"/>
  <c r="AB53" i="1"/>
  <c r="F60" i="1"/>
  <c r="N25" i="1"/>
  <c r="N26" i="1" s="1"/>
  <c r="T43" i="1"/>
  <c r="T86" i="1" s="1"/>
  <c r="X25" i="1"/>
  <c r="X26" i="1" s="1"/>
  <c r="V23" i="1"/>
  <c r="AB23" i="1" s="1"/>
  <c r="AB22" i="1"/>
  <c r="AB29" i="1"/>
  <c r="D43" i="1"/>
  <c r="AB58" i="1"/>
  <c r="V81" i="1"/>
  <c r="AB77" i="1"/>
  <c r="AB52" i="1"/>
  <c r="AB83" i="1"/>
  <c r="AB33" i="1"/>
  <c r="AB84" i="1"/>
  <c r="U87" i="1" l="1"/>
  <c r="U88" i="1" s="1"/>
  <c r="M87" i="1"/>
  <c r="M88" i="1" s="1"/>
  <c r="G87" i="1"/>
  <c r="G88" i="1" s="1"/>
  <c r="AB18" i="1"/>
  <c r="Y87" i="1"/>
  <c r="Y88" i="1" s="1"/>
  <c r="P86" i="1"/>
  <c r="P87" i="1" s="1"/>
  <c r="P88" i="1" s="1"/>
  <c r="H87" i="1"/>
  <c r="H88" i="1" s="1"/>
  <c r="L87" i="1"/>
  <c r="L88" i="1" s="1"/>
  <c r="Z87" i="1"/>
  <c r="Z88" i="1" s="1"/>
  <c r="I87" i="1"/>
  <c r="I88" i="1" s="1"/>
  <c r="W86" i="1"/>
  <c r="W87" i="1" s="1"/>
  <c r="W88" i="1" s="1"/>
  <c r="S87" i="1"/>
  <c r="S88" i="1" s="1"/>
  <c r="AB74" i="1"/>
  <c r="AB31" i="1"/>
  <c r="AA87" i="1"/>
  <c r="AA88" i="1" s="1"/>
  <c r="J87" i="1"/>
  <c r="J88" i="1" s="1"/>
  <c r="O87" i="1"/>
  <c r="O88" i="1" s="1"/>
  <c r="AB49" i="1"/>
  <c r="X86" i="1"/>
  <c r="B86" i="1"/>
  <c r="R86" i="1"/>
  <c r="R87" i="1" s="1"/>
  <c r="R88" i="1" s="1"/>
  <c r="T87" i="1"/>
  <c r="T88" i="1" s="1"/>
  <c r="E87" i="1"/>
  <c r="E88" i="1" s="1"/>
  <c r="F86" i="1"/>
  <c r="F87" i="1" s="1"/>
  <c r="F88" i="1" s="1"/>
  <c r="K87" i="1"/>
  <c r="K88" i="1" s="1"/>
  <c r="X87" i="1"/>
  <c r="X88" i="1" s="1"/>
  <c r="D86" i="1"/>
  <c r="D87" i="1" s="1"/>
  <c r="D88" i="1" s="1"/>
  <c r="AB60" i="1"/>
  <c r="V86" i="1"/>
  <c r="AB43" i="1"/>
  <c r="AB15" i="1"/>
  <c r="B25" i="1"/>
  <c r="N87" i="1"/>
  <c r="N88" i="1" s="1"/>
  <c r="V25" i="1"/>
  <c r="V26" i="1" s="1"/>
  <c r="AB81" i="1"/>
  <c r="V87" i="1" l="1"/>
  <c r="V88" i="1" s="1"/>
  <c r="AB86" i="1"/>
  <c r="B26" i="1"/>
  <c r="AB25" i="1"/>
  <c r="AB26" i="1" l="1"/>
  <c r="B87" i="1"/>
  <c r="B88" i="1" l="1"/>
  <c r="AB88" i="1" s="1"/>
  <c r="AB87" i="1"/>
</calcChain>
</file>

<file path=xl/sharedStrings.xml><?xml version="1.0" encoding="utf-8"?>
<sst xmlns="http://schemas.openxmlformats.org/spreadsheetml/2006/main" count="137" uniqueCount="110">
  <si>
    <t>0010 - Operations</t>
  </si>
  <si>
    <t>0025 - Staff Account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</si>
  <si>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</si>
  <si>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</si>
  <si>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</si>
  <si>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</si>
  <si>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</si>
  <si>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</si>
  <si>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</si>
  <si>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</si>
  <si>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</si>
  <si>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</si>
  <si>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</si>
  <si>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</si>
  <si>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</si>
  <si>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</si>
  <si>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</si>
  <si>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</si>
  <si>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</si>
  <si>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</si>
  <si>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</si>
  <si>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3416- SPF</t>
  </si>
  <si>
    <t>3425 - Deeper Learning</t>
  </si>
  <si>
    <t>345I - Title III EL 21-22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</si>
  <si>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</si>
  <si>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</si>
  <si>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</si>
  <si>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</si>
  <si>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</si>
  <si>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</si>
  <si>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</si>
  <si>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</si>
  <si>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</si>
  <si>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</si>
  <si>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</si>
  <si>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</si>
  <si>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</si>
  <si>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</si>
  <si>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</si>
  <si>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</si>
  <si>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</si>
  <si>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</si>
  <si>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</si>
  <si>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</si>
  <si>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</si>
  <si>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</si>
  <si>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 xml:space="preserve">   40610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</si>
  <si>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</si>
  <si>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</si>
  <si>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</si>
  <si>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</si>
  <si>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</si>
  <si>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</si>
  <si>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</si>
  <si>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</si>
  <si>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</si>
  <si>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</si>
  <si>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</si>
  <si>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</si>
  <si>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</si>
  <si>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</si>
  <si>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</si>
  <si>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</si>
  <si>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</si>
  <si>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</si>
  <si>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</si>
  <si>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</si>
  <si>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</si>
  <si>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</si>
  <si>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</si>
  <si>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</si>
  <si>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</si>
  <si>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</si>
  <si>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</si>
  <si>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</si>
  <si>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</si>
  <si>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</si>
  <si>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</si>
  <si>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</si>
  <si>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</si>
  <si>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</si>
  <si>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</si>
  <si>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</si>
  <si>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</si>
  <si>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</si>
  <si>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</si>
  <si>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</si>
  <si>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</si>
  <si>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</si>
  <si>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40532 TELEPHONE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</si>
  <si>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</si>
  <si>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</si>
  <si>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</si>
  <si>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</si>
  <si>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</si>
  <si>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</si>
  <si>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</si>
  <si>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</si>
  <si>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</si>
  <si>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</si>
  <si>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</si>
  <si>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</si>
  <si>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</si>
  <si>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</si>
  <si>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</si>
  <si>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</si>
  <si>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</si>
  <si>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</si>
  <si>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July - August, 2022</t>
  </si>
  <si>
    <t>Northern Kentucky Cooperative For Educational Services- Profit &amp; Loss by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</si>
</sst>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2"/>
  <sheetViews>
    <sheetView tabSelected="1" workbookViewId="0">
      <selection activeCell="E8" sqref="E8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4" width="11.140625" customWidth="1"/>
    <col min="5" max="7" width="10.28515625" customWidth="1"/>
    <col min="8" max="8" width="11.140625" customWidth="1"/>
    <col min="9" max="9" width="7.7109375" customWidth="1"/>
    <col min="10" max="10" width="11.140625" customWidth="1"/>
    <col min="11" max="11" width="9.42578125" customWidth="1"/>
    <col min="12" max="12" width="11.140625" customWidth="1"/>
    <col min="13" max="13" width="8.5703125" customWidth="1"/>
    <col min="14" max="15" width="11.140625" customWidth="1"/>
    <col min="16" max="17" width="10.28515625" customWidth="1"/>
    <col min="18" max="18" width="11.140625" customWidth="1"/>
    <col min="19" max="19" width="10.28515625" customWidth="1"/>
    <col min="20" max="20" width="9.42578125" customWidth="1"/>
    <col min="21" max="21" width="11.140625" customWidth="1"/>
    <col min="22" max="22" width="10.28515625" customWidth="1"/>
    <col min="23" max="24" width="11.140625" customWidth="1"/>
    <col min="25" max="25" width="8.5703125" customWidth="1"/>
    <col min="26" max="26" width="11.140625" customWidth="1"/>
    <col min="27" max="27" width="7.7109375" customWidth="1"/>
    <col min="28" max="28" width="12" customWidth="1"/>
  </cols>
  <sheetData>
    <row r="1" spans="1:28" ht="18" x14ac:dyDescent="0.25">
      <c r="A1" s="11" t="s">
        <v>109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x14ac:dyDescent="0.25">
      <c r="A2" s="12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4" spans="1:28" ht="60.75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</row>
    <row r="5" spans="1:28" x14ac:dyDescent="0.25">
      <c r="A5" s="3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>
        <f t="shared" ref="AB6:AB26" si="0">(((((((((((((((((((((((((B6)+(C6))+(D6))+(E6))+(F6))+(G6))+(H6))+(I6))+(J6))+(K6))+(L6))+(M6))+(N6))+(O6))+(P6))+(Q6))+(R6))+(S6))+(T6))+(U6))+(V6))+(W6))+(X6))+(Y6))+(Z6))+(AA6)</f>
        <v>0</v>
      </c>
    </row>
    <row r="7" spans="1:28" x14ac:dyDescent="0.25">
      <c r="A7" s="3" t="s">
        <v>29</v>
      </c>
      <c r="B7" s="5">
        <f>248126.97</f>
        <v>248126.97</v>
      </c>
      <c r="C7" s="4"/>
      <c r="D7" s="4"/>
      <c r="E7" s="4"/>
      <c r="F7" s="4"/>
      <c r="G7" s="4"/>
      <c r="H7" s="4"/>
      <c r="I7" s="4"/>
      <c r="J7" s="4"/>
      <c r="K7" s="4"/>
      <c r="L7" s="4"/>
      <c r="M7" s="5">
        <f>400</f>
        <v>400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">
        <f>0</f>
        <v>0</v>
      </c>
      <c r="AB7" s="5">
        <f t="shared" si="0"/>
        <v>248526.97</v>
      </c>
    </row>
    <row r="8" spans="1:28" x14ac:dyDescent="0.25">
      <c r="A8" s="3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>
        <f>7600</f>
        <v>7600</v>
      </c>
      <c r="N8" s="5">
        <f>16320</f>
        <v>16320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>
        <f t="shared" si="0"/>
        <v>23920</v>
      </c>
    </row>
    <row r="9" spans="1:28" x14ac:dyDescent="0.25">
      <c r="A9" s="3" t="s">
        <v>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>
        <f>384658</f>
        <v>384658</v>
      </c>
      <c r="R9" s="4"/>
      <c r="S9" s="4"/>
      <c r="T9" s="4"/>
      <c r="U9" s="4"/>
      <c r="V9" s="4"/>
      <c r="W9" s="4"/>
      <c r="X9" s="4"/>
      <c r="Y9" s="4"/>
      <c r="Z9" s="4"/>
      <c r="AA9" s="4"/>
      <c r="AB9" s="5">
        <f t="shared" si="0"/>
        <v>384658</v>
      </c>
    </row>
    <row r="10" spans="1:28" x14ac:dyDescent="0.25">
      <c r="A10" s="3" t="s">
        <v>32</v>
      </c>
      <c r="B10" s="5">
        <f>750</f>
        <v>750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>
        <f t="shared" si="0"/>
        <v>750</v>
      </c>
    </row>
    <row r="11" spans="1:28" x14ac:dyDescent="0.25">
      <c r="A11" s="3" t="s">
        <v>33</v>
      </c>
      <c r="B11" s="5">
        <f>27715.13</f>
        <v>27715.13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>
        <f t="shared" si="0"/>
        <v>27715.13</v>
      </c>
    </row>
    <row r="12" spans="1:28" x14ac:dyDescent="0.25">
      <c r="A12" s="3" t="s">
        <v>34</v>
      </c>
      <c r="B12" s="5">
        <f>116534.23</f>
        <v>116534.23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>
        <f t="shared" si="0"/>
        <v>116534.23</v>
      </c>
    </row>
    <row r="13" spans="1:28" x14ac:dyDescent="0.25">
      <c r="A13" s="3" t="s">
        <v>35</v>
      </c>
      <c r="B13" s="5">
        <f>54700</f>
        <v>54700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>
        <f t="shared" si="0"/>
        <v>54700</v>
      </c>
    </row>
    <row r="14" spans="1:28" x14ac:dyDescent="0.25">
      <c r="A14" s="3" t="s">
        <v>36</v>
      </c>
      <c r="B14" s="5">
        <f>5842.82</f>
        <v>5842.82</v>
      </c>
      <c r="C14" s="5">
        <f>100</f>
        <v>100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5">
        <f t="shared" si="0"/>
        <v>5942.82</v>
      </c>
    </row>
    <row r="15" spans="1:28" x14ac:dyDescent="0.25">
      <c r="A15" s="3" t="s">
        <v>37</v>
      </c>
      <c r="B15" s="6">
        <f t="shared" ref="B15:AA15" si="1">((((((((B6)+(B7))+(B8))+(B9))+(B10))+(B11))+(B12))+(B13))+(B14)</f>
        <v>453669.14999999997</v>
      </c>
      <c r="C15" s="6">
        <f t="shared" si="1"/>
        <v>100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8000</v>
      </c>
      <c r="N15" s="6">
        <f t="shared" si="1"/>
        <v>16320</v>
      </c>
      <c r="O15" s="6">
        <f t="shared" si="1"/>
        <v>0</v>
      </c>
      <c r="P15" s="6">
        <f t="shared" si="1"/>
        <v>0</v>
      </c>
      <c r="Q15" s="6">
        <f t="shared" si="1"/>
        <v>384658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0"/>
        <v>862747.14999999991</v>
      </c>
    </row>
    <row r="16" spans="1:28" x14ac:dyDescent="0.25">
      <c r="A16" s="3" t="s">
        <v>38</v>
      </c>
      <c r="B16" s="4"/>
      <c r="C16" s="4"/>
      <c r="D16" s="4"/>
      <c r="E16" s="4"/>
      <c r="F16" s="5">
        <f>839926.75</f>
        <v>839926.75</v>
      </c>
      <c r="G16" s="4"/>
      <c r="H16" s="4"/>
      <c r="I16" s="4"/>
      <c r="J16" s="4"/>
      <c r="K16" s="5">
        <f>25792.76</f>
        <v>25792.76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5">
        <f t="shared" si="0"/>
        <v>865719.51</v>
      </c>
    </row>
    <row r="17" spans="1:28" x14ac:dyDescent="0.25">
      <c r="A17" s="3" t="s">
        <v>39</v>
      </c>
      <c r="B17" s="4"/>
      <c r="C17" s="4"/>
      <c r="D17" s="4"/>
      <c r="E17" s="4"/>
      <c r="F17" s="5">
        <f>13546.57</f>
        <v>13546.57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>
        <f t="shared" si="0"/>
        <v>13546.57</v>
      </c>
    </row>
    <row r="18" spans="1:28" x14ac:dyDescent="0.25">
      <c r="A18" s="3" t="s">
        <v>40</v>
      </c>
      <c r="B18" s="6">
        <f t="shared" ref="B18:AA18" si="2">(B16)+(B17)</f>
        <v>0</v>
      </c>
      <c r="C18" s="6">
        <f t="shared" si="2"/>
        <v>0</v>
      </c>
      <c r="D18" s="6">
        <f t="shared" si="2"/>
        <v>0</v>
      </c>
      <c r="E18" s="6">
        <f t="shared" si="2"/>
        <v>0</v>
      </c>
      <c r="F18" s="6">
        <f t="shared" si="2"/>
        <v>853473.32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25792.76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0"/>
        <v>879266.08</v>
      </c>
    </row>
    <row r="19" spans="1:28" x14ac:dyDescent="0.25">
      <c r="A19" s="3" t="s">
        <v>41</v>
      </c>
      <c r="B19" s="5">
        <f>6115.42</f>
        <v>6115.42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5">
        <f t="shared" si="0"/>
        <v>6115.42</v>
      </c>
    </row>
    <row r="20" spans="1:28" x14ac:dyDescent="0.25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5">
        <f t="shared" si="0"/>
        <v>0</v>
      </c>
    </row>
    <row r="21" spans="1:28" x14ac:dyDescent="0.25">
      <c r="A21" s="3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>128342.3</f>
        <v>128342.3</v>
      </c>
      <c r="Q21" s="4"/>
      <c r="R21" s="4"/>
      <c r="S21" s="5">
        <f>118950.66</f>
        <v>118950.66</v>
      </c>
      <c r="T21" s="4"/>
      <c r="U21" s="4"/>
      <c r="V21" s="4"/>
      <c r="W21" s="4"/>
      <c r="X21" s="4"/>
      <c r="Y21" s="4"/>
      <c r="Z21" s="4"/>
      <c r="AA21" s="4"/>
      <c r="AB21" s="5">
        <f t="shared" si="0"/>
        <v>247292.96000000002</v>
      </c>
    </row>
    <row r="22" spans="1:28" x14ac:dyDescent="0.25">
      <c r="A22" s="3" t="s">
        <v>44</v>
      </c>
      <c r="B22" s="4"/>
      <c r="C22" s="4"/>
      <c r="D22" s="4"/>
      <c r="E22" s="4"/>
      <c r="F22" s="4"/>
      <c r="G22" s="4"/>
      <c r="H22" s="4"/>
      <c r="I22" s="4"/>
      <c r="J22" s="5">
        <f>3144</f>
        <v>3144</v>
      </c>
      <c r="K22" s="4"/>
      <c r="L22" s="4"/>
      <c r="M22" s="4"/>
      <c r="N22" s="4"/>
      <c r="O22" s="4"/>
      <c r="P22" s="4"/>
      <c r="Q22" s="4"/>
      <c r="R22" s="5">
        <f>100988.21</f>
        <v>100988.21</v>
      </c>
      <c r="S22" s="4"/>
      <c r="T22" s="5">
        <f>35958.51</f>
        <v>35958.51</v>
      </c>
      <c r="U22" s="4"/>
      <c r="V22" s="5">
        <f>205402</f>
        <v>205402</v>
      </c>
      <c r="W22" s="4"/>
      <c r="X22" s="4"/>
      <c r="Y22" s="5">
        <f>3731</f>
        <v>3731</v>
      </c>
      <c r="Z22" s="4"/>
      <c r="AA22" s="4"/>
      <c r="AB22" s="5">
        <f t="shared" si="0"/>
        <v>349223.72</v>
      </c>
    </row>
    <row r="23" spans="1:28" x14ac:dyDescent="0.25">
      <c r="A23" s="3" t="s">
        <v>45</v>
      </c>
      <c r="B23" s="6">
        <f t="shared" ref="B23:AA23" si="3">((B20)+(B21))+(B22)</f>
        <v>0</v>
      </c>
      <c r="C23" s="6">
        <f t="shared" si="3"/>
        <v>0</v>
      </c>
      <c r="D23" s="6">
        <f t="shared" si="3"/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3144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128342.3</v>
      </c>
      <c r="Q23" s="6">
        <f t="shared" si="3"/>
        <v>0</v>
      </c>
      <c r="R23" s="6">
        <f t="shared" si="3"/>
        <v>100988.21</v>
      </c>
      <c r="S23" s="6">
        <f t="shared" si="3"/>
        <v>118950.66</v>
      </c>
      <c r="T23" s="6">
        <f t="shared" si="3"/>
        <v>35958.51</v>
      </c>
      <c r="U23" s="6">
        <f t="shared" si="3"/>
        <v>0</v>
      </c>
      <c r="V23" s="6">
        <f t="shared" si="3"/>
        <v>205402</v>
      </c>
      <c r="W23" s="6">
        <f t="shared" si="3"/>
        <v>0</v>
      </c>
      <c r="X23" s="6">
        <f t="shared" si="3"/>
        <v>0</v>
      </c>
      <c r="Y23" s="6">
        <f t="shared" si="3"/>
        <v>3731</v>
      </c>
      <c r="Z23" s="6">
        <f t="shared" si="3"/>
        <v>0</v>
      </c>
      <c r="AA23" s="6">
        <f t="shared" si="3"/>
        <v>0</v>
      </c>
      <c r="AB23" s="6">
        <f t="shared" si="0"/>
        <v>596516.68000000005</v>
      </c>
    </row>
    <row r="24" spans="1:28" x14ac:dyDescent="0.25">
      <c r="A24" s="3" t="s">
        <v>46</v>
      </c>
      <c r="B24" s="5">
        <f>-220</f>
        <v>-220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">
        <f t="shared" si="0"/>
        <v>-220</v>
      </c>
    </row>
    <row r="25" spans="1:28" x14ac:dyDescent="0.25">
      <c r="A25" s="3" t="s">
        <v>47</v>
      </c>
      <c r="B25" s="6">
        <f t="shared" ref="B25:AA25" si="4">((((B15)+(B18))+(B19))+(B23))+(B24)</f>
        <v>459564.56999999995</v>
      </c>
      <c r="C25" s="6">
        <f t="shared" si="4"/>
        <v>100</v>
      </c>
      <c r="D25" s="6">
        <f t="shared" si="4"/>
        <v>0</v>
      </c>
      <c r="E25" s="6">
        <f t="shared" si="4"/>
        <v>0</v>
      </c>
      <c r="F25" s="6">
        <f t="shared" si="4"/>
        <v>853473.32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3144</v>
      </c>
      <c r="K25" s="6">
        <f t="shared" si="4"/>
        <v>25792.76</v>
      </c>
      <c r="L25" s="6">
        <f t="shared" si="4"/>
        <v>0</v>
      </c>
      <c r="M25" s="6">
        <f t="shared" si="4"/>
        <v>8000</v>
      </c>
      <c r="N25" s="6">
        <f t="shared" si="4"/>
        <v>16320</v>
      </c>
      <c r="O25" s="6">
        <f t="shared" si="4"/>
        <v>0</v>
      </c>
      <c r="P25" s="6">
        <f t="shared" si="4"/>
        <v>128342.3</v>
      </c>
      <c r="Q25" s="6">
        <f t="shared" si="4"/>
        <v>384658</v>
      </c>
      <c r="R25" s="6">
        <f t="shared" si="4"/>
        <v>100988.21</v>
      </c>
      <c r="S25" s="6">
        <f t="shared" si="4"/>
        <v>118950.66</v>
      </c>
      <c r="T25" s="6">
        <f t="shared" si="4"/>
        <v>35958.51</v>
      </c>
      <c r="U25" s="6">
        <f t="shared" si="4"/>
        <v>0</v>
      </c>
      <c r="V25" s="6">
        <f t="shared" si="4"/>
        <v>205402</v>
      </c>
      <c r="W25" s="6">
        <f t="shared" si="4"/>
        <v>0</v>
      </c>
      <c r="X25" s="6">
        <f t="shared" si="4"/>
        <v>0</v>
      </c>
      <c r="Y25" s="6">
        <f t="shared" si="4"/>
        <v>3731</v>
      </c>
      <c r="Z25" s="6">
        <f t="shared" si="4"/>
        <v>0</v>
      </c>
      <c r="AA25" s="6">
        <f t="shared" si="4"/>
        <v>0</v>
      </c>
      <c r="AB25" s="6">
        <f t="shared" si="0"/>
        <v>2344425.3299999996</v>
      </c>
    </row>
    <row r="26" spans="1:28" x14ac:dyDescent="0.25">
      <c r="A26" s="3" t="s">
        <v>48</v>
      </c>
      <c r="B26" s="6">
        <f t="shared" ref="B26:AA26" si="5">(B25)-(0)</f>
        <v>459564.56999999995</v>
      </c>
      <c r="C26" s="6">
        <f t="shared" si="5"/>
        <v>100</v>
      </c>
      <c r="D26" s="6">
        <f t="shared" si="5"/>
        <v>0</v>
      </c>
      <c r="E26" s="6">
        <f t="shared" si="5"/>
        <v>0</v>
      </c>
      <c r="F26" s="6">
        <f t="shared" si="5"/>
        <v>853473.32</v>
      </c>
      <c r="G26" s="6">
        <f t="shared" si="5"/>
        <v>0</v>
      </c>
      <c r="H26" s="6">
        <f t="shared" si="5"/>
        <v>0</v>
      </c>
      <c r="I26" s="6">
        <f t="shared" si="5"/>
        <v>0</v>
      </c>
      <c r="J26" s="6">
        <f t="shared" si="5"/>
        <v>3144</v>
      </c>
      <c r="K26" s="6">
        <f t="shared" si="5"/>
        <v>25792.76</v>
      </c>
      <c r="L26" s="6">
        <f t="shared" si="5"/>
        <v>0</v>
      </c>
      <c r="M26" s="6">
        <f t="shared" si="5"/>
        <v>8000</v>
      </c>
      <c r="N26" s="6">
        <f t="shared" si="5"/>
        <v>16320</v>
      </c>
      <c r="O26" s="6">
        <f t="shared" si="5"/>
        <v>0</v>
      </c>
      <c r="P26" s="6">
        <f t="shared" si="5"/>
        <v>128342.3</v>
      </c>
      <c r="Q26" s="6">
        <f t="shared" si="5"/>
        <v>384658</v>
      </c>
      <c r="R26" s="6">
        <f t="shared" si="5"/>
        <v>100988.21</v>
      </c>
      <c r="S26" s="6">
        <f t="shared" si="5"/>
        <v>118950.66</v>
      </c>
      <c r="T26" s="6">
        <f t="shared" si="5"/>
        <v>35958.51</v>
      </c>
      <c r="U26" s="6">
        <f t="shared" si="5"/>
        <v>0</v>
      </c>
      <c r="V26" s="6">
        <f t="shared" si="5"/>
        <v>205402</v>
      </c>
      <c r="W26" s="6">
        <f t="shared" si="5"/>
        <v>0</v>
      </c>
      <c r="X26" s="6">
        <f t="shared" si="5"/>
        <v>0</v>
      </c>
      <c r="Y26" s="6">
        <f t="shared" si="5"/>
        <v>3731</v>
      </c>
      <c r="Z26" s="6">
        <f t="shared" si="5"/>
        <v>0</v>
      </c>
      <c r="AA26" s="6">
        <f t="shared" si="5"/>
        <v>0</v>
      </c>
      <c r="AB26" s="6">
        <f t="shared" si="0"/>
        <v>2344425.3299999996</v>
      </c>
    </row>
    <row r="27" spans="1:28" x14ac:dyDescent="0.25">
      <c r="A27" s="3" t="s">
        <v>49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A28" s="3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>
        <f t="shared" ref="AB28:AB59" si="6">(((((((((((((((((((((((((B28)+(C28))+(D28))+(E28))+(F28))+(G28))+(H28))+(I28))+(J28))+(K28))+(L28))+(M28))+(N28))+(O28))+(P28))+(Q28))+(R28))+(S28))+(T28))+(U28))+(V28))+(W28))+(X28))+(Y28))+(Z28))+(AA28)</f>
        <v>0</v>
      </c>
    </row>
    <row r="29" spans="1:28" x14ac:dyDescent="0.25">
      <c r="A29" s="3" t="s">
        <v>51</v>
      </c>
      <c r="B29" s="5">
        <f>45119.28</f>
        <v>45119.28</v>
      </c>
      <c r="C29" s="4"/>
      <c r="D29" s="5">
        <f>57513.24</f>
        <v>57513.24</v>
      </c>
      <c r="E29" s="4"/>
      <c r="F29" s="5">
        <f>102329.08</f>
        <v>102329.08</v>
      </c>
      <c r="G29" s="5">
        <f>4471</f>
        <v>4471</v>
      </c>
      <c r="H29" s="5">
        <f>9855.32</f>
        <v>9855.32</v>
      </c>
      <c r="I29" s="4"/>
      <c r="J29" s="5">
        <f>14608.16</f>
        <v>14608.16</v>
      </c>
      <c r="K29" s="5">
        <f>16630.28</f>
        <v>16630.28</v>
      </c>
      <c r="L29" s="4"/>
      <c r="M29" s="5">
        <f>633.65</f>
        <v>633.65</v>
      </c>
      <c r="N29" s="4"/>
      <c r="O29" s="5">
        <f>8911.76</f>
        <v>8911.76</v>
      </c>
      <c r="P29" s="5">
        <f>91670.37</f>
        <v>91670.37</v>
      </c>
      <c r="Q29" s="5">
        <f>8910</f>
        <v>8910</v>
      </c>
      <c r="R29" s="5">
        <f>40750</f>
        <v>40750</v>
      </c>
      <c r="S29" s="4"/>
      <c r="T29" s="5">
        <f>19178.8</f>
        <v>19178.8</v>
      </c>
      <c r="U29" s="4"/>
      <c r="V29" s="5">
        <f>91293.47</f>
        <v>91293.47</v>
      </c>
      <c r="W29" s="5">
        <f>27817.92</f>
        <v>27817.919999999998</v>
      </c>
      <c r="X29" s="5">
        <f>39819.28</f>
        <v>39819.279999999999</v>
      </c>
      <c r="Y29" s="5">
        <f>1555.6</f>
        <v>1555.6</v>
      </c>
      <c r="Z29" s="5">
        <f>16936.28</f>
        <v>16936.28</v>
      </c>
      <c r="AA29" s="4"/>
      <c r="AB29" s="5">
        <f t="shared" si="6"/>
        <v>598003.49000000011</v>
      </c>
    </row>
    <row r="30" spans="1:28" x14ac:dyDescent="0.25">
      <c r="A30" s="3" t="s">
        <v>52</v>
      </c>
      <c r="B30" s="5">
        <f>43781.18</f>
        <v>43781.18</v>
      </c>
      <c r="C30" s="4"/>
      <c r="D30" s="4"/>
      <c r="E30" s="5">
        <f>7687.52</f>
        <v>7687.52</v>
      </c>
      <c r="F30" s="5">
        <f>22240.54</f>
        <v>22240.54</v>
      </c>
      <c r="G30" s="4"/>
      <c r="H30" s="4"/>
      <c r="I30" s="4"/>
      <c r="J30" s="4"/>
      <c r="K30" s="4"/>
      <c r="L30" s="5">
        <f>11388.2</f>
        <v>11388.2</v>
      </c>
      <c r="M30" s="4"/>
      <c r="N30" s="4"/>
      <c r="O30" s="4"/>
      <c r="P30" s="5">
        <f>6354.68</f>
        <v>6354.68</v>
      </c>
      <c r="Q30" s="4"/>
      <c r="R30" s="5">
        <f>454.3</f>
        <v>454.3</v>
      </c>
      <c r="S30" s="5">
        <f>79354.72</f>
        <v>79354.720000000001</v>
      </c>
      <c r="T30" s="4"/>
      <c r="U30" s="5">
        <f>10000</f>
        <v>10000</v>
      </c>
      <c r="V30" s="5">
        <f>9548.32</f>
        <v>9548.32</v>
      </c>
      <c r="W30" s="4"/>
      <c r="X30" s="4"/>
      <c r="Y30" s="4"/>
      <c r="Z30" s="4"/>
      <c r="AA30" s="4"/>
      <c r="AB30" s="5">
        <f t="shared" si="6"/>
        <v>190809.46000000002</v>
      </c>
    </row>
    <row r="31" spans="1:28" x14ac:dyDescent="0.25">
      <c r="A31" s="3" t="s">
        <v>53</v>
      </c>
      <c r="B31" s="6">
        <f t="shared" ref="B31:AA31" si="7">((B28)+(B29))+(B30)</f>
        <v>88900.459999999992</v>
      </c>
      <c r="C31" s="6">
        <f t="shared" si="7"/>
        <v>0</v>
      </c>
      <c r="D31" s="6">
        <f t="shared" si="7"/>
        <v>57513.24</v>
      </c>
      <c r="E31" s="6">
        <f t="shared" si="7"/>
        <v>7687.52</v>
      </c>
      <c r="F31" s="6">
        <f t="shared" si="7"/>
        <v>124569.62</v>
      </c>
      <c r="G31" s="6">
        <f t="shared" si="7"/>
        <v>4471</v>
      </c>
      <c r="H31" s="6">
        <f t="shared" si="7"/>
        <v>9855.32</v>
      </c>
      <c r="I31" s="6">
        <f t="shared" si="7"/>
        <v>0</v>
      </c>
      <c r="J31" s="6">
        <f t="shared" si="7"/>
        <v>14608.16</v>
      </c>
      <c r="K31" s="6">
        <f t="shared" si="7"/>
        <v>16630.28</v>
      </c>
      <c r="L31" s="6">
        <f t="shared" si="7"/>
        <v>11388.2</v>
      </c>
      <c r="M31" s="6">
        <f t="shared" si="7"/>
        <v>633.65</v>
      </c>
      <c r="N31" s="6">
        <f t="shared" si="7"/>
        <v>0</v>
      </c>
      <c r="O31" s="6">
        <f t="shared" si="7"/>
        <v>8911.76</v>
      </c>
      <c r="P31" s="6">
        <f t="shared" si="7"/>
        <v>98025.049999999988</v>
      </c>
      <c r="Q31" s="6">
        <f t="shared" si="7"/>
        <v>8910</v>
      </c>
      <c r="R31" s="6">
        <f t="shared" si="7"/>
        <v>41204.300000000003</v>
      </c>
      <c r="S31" s="6">
        <f t="shared" si="7"/>
        <v>79354.720000000001</v>
      </c>
      <c r="T31" s="6">
        <f t="shared" si="7"/>
        <v>19178.8</v>
      </c>
      <c r="U31" s="6">
        <f t="shared" si="7"/>
        <v>10000</v>
      </c>
      <c r="V31" s="6">
        <f t="shared" si="7"/>
        <v>100841.79000000001</v>
      </c>
      <c r="W31" s="6">
        <f t="shared" si="7"/>
        <v>27817.919999999998</v>
      </c>
      <c r="X31" s="6">
        <f t="shared" si="7"/>
        <v>39819.279999999999</v>
      </c>
      <c r="Y31" s="6">
        <f t="shared" si="7"/>
        <v>1555.6</v>
      </c>
      <c r="Z31" s="6">
        <f t="shared" si="7"/>
        <v>16936.28</v>
      </c>
      <c r="AA31" s="6">
        <f t="shared" si="7"/>
        <v>0</v>
      </c>
      <c r="AB31" s="6">
        <f t="shared" si="6"/>
        <v>788812.95000000019</v>
      </c>
    </row>
    <row r="32" spans="1:28" x14ac:dyDescent="0.25">
      <c r="A32" s="3" t="s">
        <v>54</v>
      </c>
      <c r="B32" s="5">
        <f>-15130</f>
        <v>-15130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>15130</f>
        <v>15130</v>
      </c>
      <c r="S32" s="4"/>
      <c r="T32" s="4"/>
      <c r="U32" s="4"/>
      <c r="V32" s="4"/>
      <c r="W32" s="4"/>
      <c r="X32" s="4"/>
      <c r="Y32" s="4"/>
      <c r="Z32" s="4"/>
      <c r="AA32" s="4"/>
      <c r="AB32" s="5">
        <f t="shared" si="6"/>
        <v>0</v>
      </c>
    </row>
    <row r="33" spans="1:28" x14ac:dyDescent="0.25">
      <c r="A33" s="3" t="s">
        <v>55</v>
      </c>
      <c r="B33" s="4"/>
      <c r="C33" s="4"/>
      <c r="D33" s="5">
        <f>8.18</f>
        <v>8.18</v>
      </c>
      <c r="E33" s="4"/>
      <c r="F33" s="4"/>
      <c r="G33" s="5">
        <f>0.69</f>
        <v>0.69</v>
      </c>
      <c r="H33" s="5">
        <f>1.31</f>
        <v>1.31</v>
      </c>
      <c r="I33" s="4"/>
      <c r="J33" s="5">
        <f>2.14</f>
        <v>2.14</v>
      </c>
      <c r="K33" s="4"/>
      <c r="L33" s="4"/>
      <c r="M33" s="5">
        <f>0.1</f>
        <v>0.1</v>
      </c>
      <c r="N33" s="4"/>
      <c r="O33" s="4"/>
      <c r="P33" s="4"/>
      <c r="Q33" s="4"/>
      <c r="R33" s="4"/>
      <c r="S33" s="4"/>
      <c r="T33" s="5">
        <f>4</f>
        <v>4</v>
      </c>
      <c r="U33" s="4"/>
      <c r="V33" s="5">
        <f>12.48</f>
        <v>12.48</v>
      </c>
      <c r="W33" s="5">
        <f>1.98</f>
        <v>1.98</v>
      </c>
      <c r="X33" s="5">
        <f>3.26</f>
        <v>3.26</v>
      </c>
      <c r="Y33" s="5">
        <f>0</f>
        <v>0</v>
      </c>
      <c r="Z33" s="5">
        <f>2.48</f>
        <v>2.48</v>
      </c>
      <c r="AA33" s="4"/>
      <c r="AB33" s="5">
        <f t="shared" si="6"/>
        <v>36.619999999999997</v>
      </c>
    </row>
    <row r="34" spans="1:28" x14ac:dyDescent="0.25">
      <c r="A34" s="3" t="s">
        <v>56</v>
      </c>
      <c r="B34" s="5">
        <f>2541.36</f>
        <v>2541.36</v>
      </c>
      <c r="C34" s="4"/>
      <c r="D34" s="4"/>
      <c r="E34" s="5">
        <f>429.8</f>
        <v>429.8</v>
      </c>
      <c r="F34" s="5">
        <f>1302.09</f>
        <v>1302.0899999999999</v>
      </c>
      <c r="G34" s="4"/>
      <c r="H34" s="4"/>
      <c r="I34" s="4"/>
      <c r="J34" s="4"/>
      <c r="K34" s="4"/>
      <c r="L34" s="5">
        <f>661.56</f>
        <v>661.56</v>
      </c>
      <c r="M34" s="4"/>
      <c r="N34" s="4"/>
      <c r="O34" s="4"/>
      <c r="P34" s="5">
        <f>375.28</f>
        <v>375.28</v>
      </c>
      <c r="Q34" s="4"/>
      <c r="R34" s="5">
        <f>28.16</f>
        <v>28.16</v>
      </c>
      <c r="S34" s="5">
        <f>4738.98</f>
        <v>4738.9799999999996</v>
      </c>
      <c r="T34" s="4"/>
      <c r="U34" s="5">
        <f>613.4</f>
        <v>613.4</v>
      </c>
      <c r="V34" s="5">
        <f>586.6</f>
        <v>586.6</v>
      </c>
      <c r="W34" s="4"/>
      <c r="X34" s="4"/>
      <c r="Y34" s="4"/>
      <c r="Z34" s="4"/>
      <c r="AA34" s="4"/>
      <c r="AB34" s="5">
        <f t="shared" si="6"/>
        <v>11277.23</v>
      </c>
    </row>
    <row r="35" spans="1:28" x14ac:dyDescent="0.25">
      <c r="A35" s="3" t="s">
        <v>57</v>
      </c>
      <c r="B35" s="5">
        <f>1223.21</f>
        <v>1223.21</v>
      </c>
      <c r="C35" s="4"/>
      <c r="D35" s="5">
        <f>812.04</f>
        <v>812.04</v>
      </c>
      <c r="E35" s="5">
        <f>100.52</f>
        <v>100.52</v>
      </c>
      <c r="F35" s="5">
        <f>1704.12</f>
        <v>1704.12</v>
      </c>
      <c r="G35" s="5">
        <f>71.66</f>
        <v>71.66</v>
      </c>
      <c r="H35" s="5">
        <f>136.06</f>
        <v>136.06</v>
      </c>
      <c r="I35" s="4"/>
      <c r="J35" s="5">
        <f>135.64</f>
        <v>135.63999999999999</v>
      </c>
      <c r="K35" s="5">
        <f>225.52</f>
        <v>225.52</v>
      </c>
      <c r="L35" s="5">
        <f>154.72</f>
        <v>154.72</v>
      </c>
      <c r="M35" s="5">
        <f>9.19</f>
        <v>9.19</v>
      </c>
      <c r="N35" s="4"/>
      <c r="O35" s="5">
        <f>127.68</f>
        <v>127.68</v>
      </c>
      <c r="P35" s="5">
        <f>1375.99</f>
        <v>1375.99</v>
      </c>
      <c r="Q35" s="5">
        <f>124.76</f>
        <v>124.76</v>
      </c>
      <c r="R35" s="5">
        <f>579.3</f>
        <v>579.29999999999995</v>
      </c>
      <c r="S35" s="5">
        <f>1108.31</f>
        <v>1108.31</v>
      </c>
      <c r="T35" s="5">
        <f>271.44</f>
        <v>271.44</v>
      </c>
      <c r="U35" s="5">
        <f>143.44</f>
        <v>143.44</v>
      </c>
      <c r="V35" s="5">
        <f>1408.31</f>
        <v>1408.31</v>
      </c>
      <c r="W35" s="5">
        <f>384.03</f>
        <v>384.03</v>
      </c>
      <c r="X35" s="5">
        <f>560.82</f>
        <v>560.82000000000005</v>
      </c>
      <c r="Y35" s="5">
        <f>22.56</f>
        <v>22.56</v>
      </c>
      <c r="Z35" s="5">
        <f>229.24</f>
        <v>229.24</v>
      </c>
      <c r="AA35" s="4"/>
      <c r="AB35" s="5">
        <f t="shared" si="6"/>
        <v>10908.56</v>
      </c>
    </row>
    <row r="36" spans="1:28" x14ac:dyDescent="0.25">
      <c r="A36" s="3" t="s">
        <v>58</v>
      </c>
      <c r="B36" s="5">
        <f>2301.52</f>
        <v>2301.52</v>
      </c>
      <c r="C36" s="4"/>
      <c r="D36" s="5">
        <f>9489.28</f>
        <v>9489.2800000000007</v>
      </c>
      <c r="E36" s="4"/>
      <c r="F36" s="5">
        <f>3069.84</f>
        <v>3069.84</v>
      </c>
      <c r="G36" s="5">
        <f>845.42</f>
        <v>845.42</v>
      </c>
      <c r="H36" s="5">
        <f>1605.1</f>
        <v>1605.1</v>
      </c>
      <c r="I36" s="4"/>
      <c r="J36" s="5">
        <f>1545.28</f>
        <v>1545.28</v>
      </c>
      <c r="K36" s="5">
        <f>685.36</f>
        <v>685.36</v>
      </c>
      <c r="L36" s="4"/>
      <c r="M36" s="5">
        <f>102.05</f>
        <v>102.05</v>
      </c>
      <c r="N36" s="4"/>
      <c r="O36" s="5">
        <f>267.36</f>
        <v>267.36</v>
      </c>
      <c r="P36" s="5">
        <f>2750.11</f>
        <v>2750.11</v>
      </c>
      <c r="Q36" s="5">
        <f>267.32</f>
        <v>267.32</v>
      </c>
      <c r="R36" s="5">
        <f>6777.01</f>
        <v>6777.01</v>
      </c>
      <c r="S36" s="4"/>
      <c r="T36" s="5">
        <f>3182.32</f>
        <v>3182.32</v>
      </c>
      <c r="U36" s="4"/>
      <c r="V36" s="5">
        <f>14779.71</f>
        <v>14779.71</v>
      </c>
      <c r="W36" s="5">
        <f>3966.36</f>
        <v>3966.36</v>
      </c>
      <c r="X36" s="5">
        <f>6444.14</f>
        <v>6444.14</v>
      </c>
      <c r="Y36" s="5">
        <f>79.6</f>
        <v>79.599999999999994</v>
      </c>
      <c r="Z36" s="5">
        <f>2438.32</f>
        <v>2438.3200000000002</v>
      </c>
      <c r="AA36" s="4"/>
      <c r="AB36" s="5">
        <f t="shared" si="6"/>
        <v>60596.1</v>
      </c>
    </row>
    <row r="37" spans="1:28" x14ac:dyDescent="0.25">
      <c r="A37" s="3" t="s">
        <v>59</v>
      </c>
      <c r="B37" s="5">
        <f>11576.48</f>
        <v>11576.48</v>
      </c>
      <c r="C37" s="4"/>
      <c r="D37" s="4"/>
      <c r="E37" s="4"/>
      <c r="F37" s="5">
        <f>5604.55</f>
        <v>5604.55</v>
      </c>
      <c r="G37" s="4"/>
      <c r="H37" s="4"/>
      <c r="I37" s="4"/>
      <c r="J37" s="4"/>
      <c r="K37" s="4"/>
      <c r="L37" s="5">
        <f>3050.88</f>
        <v>3050.88</v>
      </c>
      <c r="M37" s="4"/>
      <c r="N37" s="4"/>
      <c r="O37" s="4"/>
      <c r="P37" s="5">
        <f>1702.4</f>
        <v>1702.4</v>
      </c>
      <c r="Q37" s="4"/>
      <c r="R37" s="4"/>
      <c r="S37" s="5">
        <f>20068.03</f>
        <v>20068.03</v>
      </c>
      <c r="T37" s="4"/>
      <c r="U37" s="5">
        <f>2679</f>
        <v>2679</v>
      </c>
      <c r="V37" s="5">
        <f>1596.88</f>
        <v>1596.88</v>
      </c>
      <c r="W37" s="4"/>
      <c r="X37" s="4"/>
      <c r="Y37" s="4"/>
      <c r="Z37" s="4"/>
      <c r="AA37" s="4"/>
      <c r="AB37" s="5">
        <f t="shared" si="6"/>
        <v>46278.219999999994</v>
      </c>
    </row>
    <row r="38" spans="1:28" x14ac:dyDescent="0.25">
      <c r="A38" s="3" t="s">
        <v>60</v>
      </c>
      <c r="B38" s="4"/>
      <c r="C38" s="4"/>
      <c r="D38" s="5">
        <f>6278.76</f>
        <v>6278.76</v>
      </c>
      <c r="E38" s="4"/>
      <c r="F38" s="4"/>
      <c r="G38" s="5">
        <f>845.43</f>
        <v>845.43</v>
      </c>
      <c r="H38" s="5">
        <f>1605.09</f>
        <v>1605.09</v>
      </c>
      <c r="I38" s="4"/>
      <c r="J38" s="5">
        <f>459.18</f>
        <v>459.18</v>
      </c>
      <c r="K38" s="4"/>
      <c r="L38" s="4"/>
      <c r="M38" s="5">
        <f>111.99</f>
        <v>111.99</v>
      </c>
      <c r="N38" s="4"/>
      <c r="O38" s="4"/>
      <c r="P38" s="4"/>
      <c r="Q38" s="4"/>
      <c r="R38" s="4"/>
      <c r="S38" s="5">
        <f>772.16</f>
        <v>772.16</v>
      </c>
      <c r="T38" s="5">
        <f>2759.72</f>
        <v>2759.72</v>
      </c>
      <c r="U38" s="4"/>
      <c r="V38" s="5">
        <f>8739.07</f>
        <v>8739.07</v>
      </c>
      <c r="W38" s="5">
        <f>2145.48</f>
        <v>2145.48</v>
      </c>
      <c r="X38" s="5">
        <f>2716.06</f>
        <v>2716.06</v>
      </c>
      <c r="Y38" s="5">
        <f>0</f>
        <v>0</v>
      </c>
      <c r="Z38" s="5">
        <f>2629.14</f>
        <v>2629.14</v>
      </c>
      <c r="AA38" s="4"/>
      <c r="AB38" s="5">
        <f t="shared" si="6"/>
        <v>29062.080000000002</v>
      </c>
    </row>
    <row r="39" spans="1:28" x14ac:dyDescent="0.25">
      <c r="A39" s="3" t="s">
        <v>61</v>
      </c>
      <c r="B39" s="5">
        <f>312.92</f>
        <v>312.92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>
        <f t="shared" si="6"/>
        <v>312.92</v>
      </c>
    </row>
    <row r="40" spans="1:28" x14ac:dyDescent="0.25">
      <c r="A40" s="3" t="s">
        <v>62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>
        <f>20</f>
        <v>20</v>
      </c>
      <c r="S40" s="4"/>
      <c r="T40" s="4"/>
      <c r="U40" s="4"/>
      <c r="V40" s="4"/>
      <c r="W40" s="4"/>
      <c r="X40" s="4"/>
      <c r="Y40" s="4"/>
      <c r="Z40" s="4"/>
      <c r="AA40" s="4"/>
      <c r="AB40" s="5">
        <f t="shared" si="6"/>
        <v>20</v>
      </c>
    </row>
    <row r="41" spans="1:28" x14ac:dyDescent="0.25">
      <c r="A41" s="3" t="s">
        <v>63</v>
      </c>
      <c r="B41" s="4"/>
      <c r="C41" s="4"/>
      <c r="D41" s="4"/>
      <c r="E41" s="4"/>
      <c r="F41" s="5">
        <f>5000</f>
        <v>5000</v>
      </c>
      <c r="G41" s="4"/>
      <c r="H41" s="4"/>
      <c r="I41" s="4"/>
      <c r="J41" s="4"/>
      <c r="K41" s="4"/>
      <c r="L41" s="4"/>
      <c r="M41" s="4"/>
      <c r="N41" s="4"/>
      <c r="O41" s="4"/>
      <c r="P41" s="5">
        <f>923.63</f>
        <v>923.63</v>
      </c>
      <c r="Q41" s="4"/>
      <c r="R41" s="4"/>
      <c r="S41" s="4"/>
      <c r="T41" s="5">
        <f>191.79</f>
        <v>191.79</v>
      </c>
      <c r="U41" s="4"/>
      <c r="V41" s="4"/>
      <c r="W41" s="4"/>
      <c r="X41" s="4"/>
      <c r="Y41" s="4"/>
      <c r="Z41" s="4"/>
      <c r="AA41" s="4"/>
      <c r="AB41" s="5">
        <f t="shared" si="6"/>
        <v>6115.42</v>
      </c>
    </row>
    <row r="42" spans="1:28" x14ac:dyDescent="0.25">
      <c r="A42" s="3" t="s">
        <v>64</v>
      </c>
      <c r="B42" s="4"/>
      <c r="C42" s="4"/>
      <c r="D42" s="5">
        <f>65.44</f>
        <v>65.44</v>
      </c>
      <c r="E42" s="4"/>
      <c r="F42" s="4"/>
      <c r="G42" s="5">
        <f>5.52</f>
        <v>5.52</v>
      </c>
      <c r="H42" s="5">
        <f>10.48</f>
        <v>10.48</v>
      </c>
      <c r="I42" s="4"/>
      <c r="J42" s="5">
        <f>17.12</f>
        <v>17.12</v>
      </c>
      <c r="K42" s="4"/>
      <c r="L42" s="4"/>
      <c r="M42" s="5">
        <f>0.8</f>
        <v>0.8</v>
      </c>
      <c r="N42" s="4"/>
      <c r="O42" s="4"/>
      <c r="P42" s="4"/>
      <c r="Q42" s="4"/>
      <c r="R42" s="4"/>
      <c r="S42" s="4"/>
      <c r="T42" s="5">
        <f>32</f>
        <v>32</v>
      </c>
      <c r="U42" s="4"/>
      <c r="V42" s="5">
        <f>99.84</f>
        <v>99.84</v>
      </c>
      <c r="W42" s="5">
        <f>15.84</f>
        <v>15.84</v>
      </c>
      <c r="X42" s="5">
        <f>26.08</f>
        <v>26.08</v>
      </c>
      <c r="Y42" s="5">
        <f>0</f>
        <v>0</v>
      </c>
      <c r="Z42" s="5">
        <f>19.84</f>
        <v>19.84</v>
      </c>
      <c r="AA42" s="4"/>
      <c r="AB42" s="5">
        <f t="shared" si="6"/>
        <v>292.95999999999998</v>
      </c>
    </row>
    <row r="43" spans="1:28" x14ac:dyDescent="0.25">
      <c r="A43" s="3" t="s">
        <v>65</v>
      </c>
      <c r="B43" s="6">
        <f t="shared" ref="B43:AA43" si="8">((((((((((B32)+(B33))+(B34))+(B35))+(B36))+(B37))+(B38))+(B39))+(B40))+(B41))+(B42)</f>
        <v>2825.49</v>
      </c>
      <c r="C43" s="6">
        <f t="shared" si="8"/>
        <v>0</v>
      </c>
      <c r="D43" s="6">
        <f t="shared" si="8"/>
        <v>16653.7</v>
      </c>
      <c r="E43" s="6">
        <f t="shared" si="8"/>
        <v>530.32000000000005</v>
      </c>
      <c r="F43" s="6">
        <f t="shared" si="8"/>
        <v>16680.599999999999</v>
      </c>
      <c r="G43" s="6">
        <f t="shared" si="8"/>
        <v>1768.7199999999998</v>
      </c>
      <c r="H43" s="6">
        <f t="shared" si="8"/>
        <v>3358.0399999999995</v>
      </c>
      <c r="I43" s="6">
        <f t="shared" si="8"/>
        <v>0</v>
      </c>
      <c r="J43" s="6">
        <f t="shared" si="8"/>
        <v>2159.3599999999997</v>
      </c>
      <c r="K43" s="6">
        <f t="shared" si="8"/>
        <v>910.88</v>
      </c>
      <c r="L43" s="6">
        <f t="shared" si="8"/>
        <v>3867.16</v>
      </c>
      <c r="M43" s="6">
        <f t="shared" si="8"/>
        <v>224.13</v>
      </c>
      <c r="N43" s="6">
        <f t="shared" si="8"/>
        <v>0</v>
      </c>
      <c r="O43" s="6">
        <f t="shared" si="8"/>
        <v>395.04</v>
      </c>
      <c r="P43" s="6">
        <f t="shared" si="8"/>
        <v>7127.4100000000008</v>
      </c>
      <c r="Q43" s="6">
        <f t="shared" si="8"/>
        <v>392.08</v>
      </c>
      <c r="R43" s="6">
        <f t="shared" si="8"/>
        <v>22534.47</v>
      </c>
      <c r="S43" s="6">
        <f t="shared" si="8"/>
        <v>26687.48</v>
      </c>
      <c r="T43" s="6">
        <f t="shared" si="8"/>
        <v>6441.2699999999995</v>
      </c>
      <c r="U43" s="6">
        <f t="shared" si="8"/>
        <v>3435.84</v>
      </c>
      <c r="V43" s="6">
        <f t="shared" si="8"/>
        <v>27222.89</v>
      </c>
      <c r="W43" s="6">
        <f t="shared" si="8"/>
        <v>6513.6900000000005</v>
      </c>
      <c r="X43" s="6">
        <f t="shared" si="8"/>
        <v>9750.36</v>
      </c>
      <c r="Y43" s="6">
        <f t="shared" si="8"/>
        <v>102.16</v>
      </c>
      <c r="Z43" s="6">
        <f t="shared" si="8"/>
        <v>5319.02</v>
      </c>
      <c r="AA43" s="6">
        <f t="shared" si="8"/>
        <v>0</v>
      </c>
      <c r="AB43" s="6">
        <f t="shared" si="6"/>
        <v>164900.10999999999</v>
      </c>
    </row>
    <row r="44" spans="1:28" x14ac:dyDescent="0.25">
      <c r="A44" s="3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5">
        <f t="shared" si="6"/>
        <v>0</v>
      </c>
    </row>
    <row r="45" spans="1:28" x14ac:dyDescent="0.25">
      <c r="A45" s="3" t="s">
        <v>67</v>
      </c>
      <c r="B45" s="5">
        <f>2130</f>
        <v>2130</v>
      </c>
      <c r="C45" s="4"/>
      <c r="D45" s="5">
        <f>10</f>
        <v>10</v>
      </c>
      <c r="E45" s="4"/>
      <c r="F45" s="5">
        <f>71.25</f>
        <v>71.25</v>
      </c>
      <c r="G45" s="4"/>
      <c r="H45" s="5">
        <f>51.25</f>
        <v>51.25</v>
      </c>
      <c r="I45" s="4"/>
      <c r="J45" s="4"/>
      <c r="K45" s="5">
        <f>61.25</f>
        <v>61.25</v>
      </c>
      <c r="L45" s="4"/>
      <c r="M45" s="4"/>
      <c r="N45" s="5">
        <f>58330</f>
        <v>58330</v>
      </c>
      <c r="O45" s="5">
        <f>61.25</f>
        <v>61.25</v>
      </c>
      <c r="P45" s="4"/>
      <c r="Q45" s="5">
        <f>575</f>
        <v>575</v>
      </c>
      <c r="R45" s="4"/>
      <c r="S45" s="5">
        <f>163.75</f>
        <v>163.75</v>
      </c>
      <c r="T45" s="4"/>
      <c r="U45" s="4"/>
      <c r="V45" s="5">
        <f>1628.88</f>
        <v>1628.88</v>
      </c>
      <c r="W45" s="5">
        <f>61.25</f>
        <v>61.25</v>
      </c>
      <c r="X45" s="5">
        <f>61.25</f>
        <v>61.25</v>
      </c>
      <c r="Y45" s="4"/>
      <c r="Z45" s="4"/>
      <c r="AA45" s="4"/>
      <c r="AB45" s="5">
        <f t="shared" si="6"/>
        <v>63205.13</v>
      </c>
    </row>
    <row r="46" spans="1:28" x14ac:dyDescent="0.25">
      <c r="A46" s="3" t="s">
        <v>68</v>
      </c>
      <c r="B46" s="5">
        <f>7900</f>
        <v>7900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>
        <f>0</f>
        <v>0</v>
      </c>
      <c r="AB46" s="5">
        <f t="shared" si="6"/>
        <v>7900</v>
      </c>
    </row>
    <row r="47" spans="1:28" x14ac:dyDescent="0.25">
      <c r="A47" s="3" t="s">
        <v>69</v>
      </c>
      <c r="B47" s="5">
        <f>1407.27</f>
        <v>1407.27</v>
      </c>
      <c r="C47" s="4"/>
      <c r="D47" s="4"/>
      <c r="E47" s="4"/>
      <c r="F47" s="5">
        <f>1105.72</f>
        <v>1105.72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>
        <f t="shared" si="6"/>
        <v>2512.9899999999998</v>
      </c>
    </row>
    <row r="48" spans="1:28" x14ac:dyDescent="0.25">
      <c r="A48" s="3" t="s">
        <v>70</v>
      </c>
      <c r="B48" s="5">
        <f>2940.78</f>
        <v>2940.78</v>
      </c>
      <c r="C48" s="4"/>
      <c r="D48" s="5">
        <f>121.32</f>
        <v>121.32</v>
      </c>
      <c r="E48" s="4"/>
      <c r="F48" s="5">
        <f>1112.1</f>
        <v>1112.0999999999999</v>
      </c>
      <c r="G48" s="4"/>
      <c r="H48" s="5">
        <f>20.22</f>
        <v>20.22</v>
      </c>
      <c r="I48" s="4"/>
      <c r="J48" s="5">
        <f>20.22</f>
        <v>20.22</v>
      </c>
      <c r="K48" s="5">
        <f>40.44</f>
        <v>40.44</v>
      </c>
      <c r="L48" s="4"/>
      <c r="M48" s="4"/>
      <c r="N48" s="4"/>
      <c r="O48" s="5">
        <f>20.22</f>
        <v>20.22</v>
      </c>
      <c r="P48" s="4"/>
      <c r="Q48" s="4"/>
      <c r="R48" s="5">
        <f>540</f>
        <v>540</v>
      </c>
      <c r="S48" s="4"/>
      <c r="T48" s="4"/>
      <c r="U48" s="4"/>
      <c r="V48" s="5">
        <f>181.98</f>
        <v>181.98</v>
      </c>
      <c r="W48" s="5">
        <f>40.44</f>
        <v>40.44</v>
      </c>
      <c r="X48" s="5">
        <f>60.66</f>
        <v>60.66</v>
      </c>
      <c r="Y48" s="4"/>
      <c r="Z48" s="5">
        <f>20.22</f>
        <v>20.22</v>
      </c>
      <c r="AA48" s="4"/>
      <c r="AB48" s="5">
        <f t="shared" si="6"/>
        <v>5118.6000000000004</v>
      </c>
    </row>
    <row r="49" spans="1:28" x14ac:dyDescent="0.25">
      <c r="A49" s="3" t="s">
        <v>71</v>
      </c>
      <c r="B49" s="6">
        <f t="shared" ref="B49:AA49" si="9">((((B44)+(B45))+(B46))+(B47))+(B48)</f>
        <v>14378.050000000001</v>
      </c>
      <c r="C49" s="6">
        <f t="shared" si="9"/>
        <v>0</v>
      </c>
      <c r="D49" s="6">
        <f t="shared" si="9"/>
        <v>131.32</v>
      </c>
      <c r="E49" s="6">
        <f t="shared" si="9"/>
        <v>0</v>
      </c>
      <c r="F49" s="6">
        <f t="shared" si="9"/>
        <v>2289.0699999999997</v>
      </c>
      <c r="G49" s="6">
        <f t="shared" si="9"/>
        <v>0</v>
      </c>
      <c r="H49" s="6">
        <f t="shared" si="9"/>
        <v>71.47</v>
      </c>
      <c r="I49" s="6">
        <f t="shared" si="9"/>
        <v>0</v>
      </c>
      <c r="J49" s="6">
        <f t="shared" si="9"/>
        <v>20.22</v>
      </c>
      <c r="K49" s="6">
        <f t="shared" si="9"/>
        <v>101.69</v>
      </c>
      <c r="L49" s="6">
        <f t="shared" si="9"/>
        <v>0</v>
      </c>
      <c r="M49" s="6">
        <f t="shared" si="9"/>
        <v>0</v>
      </c>
      <c r="N49" s="6">
        <f t="shared" si="9"/>
        <v>58330</v>
      </c>
      <c r="O49" s="6">
        <f t="shared" si="9"/>
        <v>81.47</v>
      </c>
      <c r="P49" s="6">
        <f t="shared" si="9"/>
        <v>0</v>
      </c>
      <c r="Q49" s="6">
        <f t="shared" si="9"/>
        <v>575</v>
      </c>
      <c r="R49" s="6">
        <f t="shared" si="9"/>
        <v>540</v>
      </c>
      <c r="S49" s="6">
        <f t="shared" si="9"/>
        <v>163.75</v>
      </c>
      <c r="T49" s="6">
        <f t="shared" si="9"/>
        <v>0</v>
      </c>
      <c r="U49" s="6">
        <f t="shared" si="9"/>
        <v>0</v>
      </c>
      <c r="V49" s="6">
        <f t="shared" si="9"/>
        <v>1810.8600000000001</v>
      </c>
      <c r="W49" s="6">
        <f t="shared" si="9"/>
        <v>101.69</v>
      </c>
      <c r="X49" s="6">
        <f t="shared" si="9"/>
        <v>121.91</v>
      </c>
      <c r="Y49" s="6">
        <f t="shared" si="9"/>
        <v>0</v>
      </c>
      <c r="Z49" s="6">
        <f t="shared" si="9"/>
        <v>20.22</v>
      </c>
      <c r="AA49" s="6">
        <f t="shared" si="9"/>
        <v>0</v>
      </c>
      <c r="AB49" s="6">
        <f t="shared" si="6"/>
        <v>78736.720000000016</v>
      </c>
    </row>
    <row r="50" spans="1:28" x14ac:dyDescent="0.25">
      <c r="A50" s="3" t="s">
        <v>72</v>
      </c>
      <c r="B50" s="5">
        <f>13803.22</f>
        <v>13803.22</v>
      </c>
      <c r="C50" s="4"/>
      <c r="D50" s="5">
        <f>300</f>
        <v>300</v>
      </c>
      <c r="E50" s="4"/>
      <c r="F50" s="5">
        <f>291.2</f>
        <v>291.2</v>
      </c>
      <c r="G50" s="4"/>
      <c r="H50" s="5">
        <f>80</f>
        <v>80</v>
      </c>
      <c r="I50" s="4"/>
      <c r="J50" s="4"/>
      <c r="K50" s="4"/>
      <c r="L50" s="4"/>
      <c r="M50" s="4"/>
      <c r="N50" s="4"/>
      <c r="O50" s="4"/>
      <c r="P50" s="4"/>
      <c r="Q50" s="4"/>
      <c r="R50" s="5">
        <f>34075</f>
        <v>34075</v>
      </c>
      <c r="S50" s="4"/>
      <c r="T50" s="4"/>
      <c r="U50" s="4"/>
      <c r="V50" s="4"/>
      <c r="W50" s="5">
        <f>80</f>
        <v>80</v>
      </c>
      <c r="X50" s="5">
        <f>80</f>
        <v>80</v>
      </c>
      <c r="Y50" s="4"/>
      <c r="Z50" s="5">
        <f>500</f>
        <v>500</v>
      </c>
      <c r="AA50" s="4"/>
      <c r="AB50" s="5">
        <f t="shared" si="6"/>
        <v>49209.42</v>
      </c>
    </row>
    <row r="51" spans="1:28" x14ac:dyDescent="0.25">
      <c r="A51" s="3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5">
        <f t="shared" si="6"/>
        <v>0</v>
      </c>
    </row>
    <row r="52" spans="1:28" x14ac:dyDescent="0.25">
      <c r="A52" s="3" t="s">
        <v>74</v>
      </c>
      <c r="B52" s="5">
        <f>319.28</f>
        <v>319.27999999999997</v>
      </c>
      <c r="C52" s="4"/>
      <c r="D52" s="4"/>
      <c r="E52" s="4"/>
      <c r="F52" s="5">
        <f>648.25</f>
        <v>648.25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>
        <f t="shared" si="6"/>
        <v>967.53</v>
      </c>
    </row>
    <row r="53" spans="1:28" x14ac:dyDescent="0.25">
      <c r="A53" s="3" t="s">
        <v>75</v>
      </c>
      <c r="B53" s="5">
        <f>452.1</f>
        <v>452.1</v>
      </c>
      <c r="C53" s="4"/>
      <c r="D53" s="4"/>
      <c r="E53" s="4"/>
      <c r="F53" s="5">
        <f>917.9</f>
        <v>917.9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>
        <f t="shared" si="6"/>
        <v>1370</v>
      </c>
    </row>
    <row r="54" spans="1:28" x14ac:dyDescent="0.25">
      <c r="A54" s="3" t="s">
        <v>76</v>
      </c>
      <c r="B54" s="5">
        <f>733.17</f>
        <v>733.17</v>
      </c>
      <c r="C54" s="4"/>
      <c r="D54" s="4"/>
      <c r="E54" s="4"/>
      <c r="F54" s="5">
        <f>1488.55</f>
        <v>1488.55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5">
        <f t="shared" si="6"/>
        <v>2221.7199999999998</v>
      </c>
    </row>
    <row r="55" spans="1:28" x14ac:dyDescent="0.25">
      <c r="A55" s="3" t="s">
        <v>77</v>
      </c>
      <c r="B55" s="5">
        <f>17618.68</f>
        <v>17618.68</v>
      </c>
      <c r="C55" s="4"/>
      <c r="D55" s="4"/>
      <c r="E55" s="4"/>
      <c r="F55" s="5">
        <f>14560.23</f>
        <v>14560.23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5">
        <f t="shared" si="6"/>
        <v>32178.91</v>
      </c>
    </row>
    <row r="56" spans="1:28" x14ac:dyDescent="0.25">
      <c r="A56" s="3" t="s">
        <v>78</v>
      </c>
      <c r="B56" s="4"/>
      <c r="C56" s="4"/>
      <c r="D56" s="5">
        <f>14000</f>
        <v>14000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>
        <f>700</f>
        <v>700</v>
      </c>
      <c r="R56" s="4"/>
      <c r="S56" s="4"/>
      <c r="T56" s="4"/>
      <c r="U56" s="4"/>
      <c r="V56" s="5">
        <f>40000</f>
        <v>40000</v>
      </c>
      <c r="W56" s="4"/>
      <c r="X56" s="4"/>
      <c r="Y56" s="4"/>
      <c r="Z56" s="4"/>
      <c r="AA56" s="4"/>
      <c r="AB56" s="5">
        <f t="shared" si="6"/>
        <v>54700</v>
      </c>
    </row>
    <row r="57" spans="1:28" x14ac:dyDescent="0.25">
      <c r="A57" s="3" t="s">
        <v>79</v>
      </c>
      <c r="B57" s="5">
        <f>1822.17</f>
        <v>1822.17</v>
      </c>
      <c r="C57" s="4"/>
      <c r="D57" s="4"/>
      <c r="E57" s="4"/>
      <c r="F57" s="5">
        <f>3699.56</f>
        <v>3699.56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5">
        <f t="shared" si="6"/>
        <v>5521.73</v>
      </c>
    </row>
    <row r="58" spans="1:28" x14ac:dyDescent="0.25">
      <c r="A58" s="3" t="s">
        <v>80</v>
      </c>
      <c r="B58" s="5">
        <f>697.55</f>
        <v>697.55</v>
      </c>
      <c r="C58" s="4"/>
      <c r="D58" s="4"/>
      <c r="E58" s="4"/>
      <c r="F58" s="5">
        <f>2796</f>
        <v>2796</v>
      </c>
      <c r="G58" s="4"/>
      <c r="H58" s="4"/>
      <c r="I58" s="4"/>
      <c r="J58" s="4"/>
      <c r="K58" s="4"/>
      <c r="L58" s="4"/>
      <c r="M58" s="4"/>
      <c r="N58" s="5">
        <f>24</f>
        <v>24</v>
      </c>
      <c r="O58" s="4"/>
      <c r="P58" s="4"/>
      <c r="Q58" s="4"/>
      <c r="R58" s="4"/>
      <c r="S58" s="4"/>
      <c r="T58" s="4"/>
      <c r="U58" s="4"/>
      <c r="V58" s="5">
        <f>112.45</f>
        <v>112.45</v>
      </c>
      <c r="W58" s="4"/>
      <c r="X58" s="4"/>
      <c r="Y58" s="5">
        <f>1999.96</f>
        <v>1999.96</v>
      </c>
      <c r="Z58" s="4"/>
      <c r="AA58" s="4"/>
      <c r="AB58" s="5">
        <f t="shared" si="6"/>
        <v>5629.96</v>
      </c>
    </row>
    <row r="59" spans="1:28" x14ac:dyDescent="0.25">
      <c r="A59" s="3" t="s">
        <v>81</v>
      </c>
      <c r="B59" s="4"/>
      <c r="C59" s="4"/>
      <c r="D59" s="4"/>
      <c r="E59" s="4"/>
      <c r="F59" s="5">
        <f>15676.4</f>
        <v>15676.4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5">
        <f t="shared" si="6"/>
        <v>15676.4</v>
      </c>
    </row>
    <row r="60" spans="1:28" x14ac:dyDescent="0.25">
      <c r="A60" s="3" t="s">
        <v>82</v>
      </c>
      <c r="B60" s="6">
        <f t="shared" ref="B60:AA60" si="10">((((((((B51)+(B52))+(B53))+(B54))+(B55))+(B56))+(B57))+(B58))+(B59)</f>
        <v>21642.95</v>
      </c>
      <c r="C60" s="6">
        <f t="shared" si="10"/>
        <v>0</v>
      </c>
      <c r="D60" s="6">
        <f t="shared" si="10"/>
        <v>14000</v>
      </c>
      <c r="E60" s="6">
        <f t="shared" si="10"/>
        <v>0</v>
      </c>
      <c r="F60" s="6">
        <f t="shared" si="10"/>
        <v>39786.89</v>
      </c>
      <c r="G60" s="6">
        <f t="shared" si="10"/>
        <v>0</v>
      </c>
      <c r="H60" s="6">
        <f t="shared" si="10"/>
        <v>0</v>
      </c>
      <c r="I60" s="6">
        <f t="shared" si="10"/>
        <v>0</v>
      </c>
      <c r="J60" s="6">
        <f t="shared" si="10"/>
        <v>0</v>
      </c>
      <c r="K60" s="6">
        <f t="shared" si="10"/>
        <v>0</v>
      </c>
      <c r="L60" s="6">
        <f t="shared" si="10"/>
        <v>0</v>
      </c>
      <c r="M60" s="6">
        <f t="shared" si="10"/>
        <v>0</v>
      </c>
      <c r="N60" s="6">
        <f t="shared" si="10"/>
        <v>24</v>
      </c>
      <c r="O60" s="6">
        <f t="shared" si="10"/>
        <v>0</v>
      </c>
      <c r="P60" s="6">
        <f t="shared" si="10"/>
        <v>0</v>
      </c>
      <c r="Q60" s="6">
        <f t="shared" si="10"/>
        <v>700</v>
      </c>
      <c r="R60" s="6">
        <f t="shared" si="10"/>
        <v>0</v>
      </c>
      <c r="S60" s="6">
        <f t="shared" si="10"/>
        <v>0</v>
      </c>
      <c r="T60" s="6">
        <f t="shared" si="10"/>
        <v>0</v>
      </c>
      <c r="U60" s="6">
        <f t="shared" si="10"/>
        <v>0</v>
      </c>
      <c r="V60" s="6">
        <f t="shared" si="10"/>
        <v>40112.449999999997</v>
      </c>
      <c r="W60" s="6">
        <f t="shared" si="10"/>
        <v>0</v>
      </c>
      <c r="X60" s="6">
        <f t="shared" si="10"/>
        <v>0</v>
      </c>
      <c r="Y60" s="6">
        <f t="shared" si="10"/>
        <v>1999.96</v>
      </c>
      <c r="Z60" s="6">
        <f t="shared" si="10"/>
        <v>0</v>
      </c>
      <c r="AA60" s="6">
        <f t="shared" si="10"/>
        <v>0</v>
      </c>
      <c r="AB60" s="6">
        <f t="shared" ref="AB60:AB88" si="11">(((((((((((((((((((((((((B60)+(C60))+(D60))+(E60))+(F60))+(G60))+(H60))+(I60))+(J60))+(K60))+(L60))+(M60))+(N60))+(O60))+(P60))+(Q60))+(R60))+(S60))+(T60))+(U60))+(V60))+(W60))+(X60))+(Y60))+(Z60))+(AA60)</f>
        <v>118266.25</v>
      </c>
    </row>
    <row r="61" spans="1:28" x14ac:dyDescent="0.25">
      <c r="A61" s="3" t="s">
        <v>83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5">
        <f t="shared" si="11"/>
        <v>0</v>
      </c>
    </row>
    <row r="62" spans="1:28" s="8" customFormat="1" ht="60.75" x14ac:dyDescent="0.25">
      <c r="A62" s="1"/>
      <c r="B62" s="2" t="s">
        <v>0</v>
      </c>
      <c r="C62" s="2" t="s">
        <v>1</v>
      </c>
      <c r="D62" s="2" t="s">
        <v>2</v>
      </c>
      <c r="E62" s="2" t="s">
        <v>3</v>
      </c>
      <c r="F62" s="2" t="s">
        <v>4</v>
      </c>
      <c r="G62" s="2" t="s">
        <v>5</v>
      </c>
      <c r="H62" s="2" t="s">
        <v>6</v>
      </c>
      <c r="I62" s="2" t="s">
        <v>7</v>
      </c>
      <c r="J62" s="2" t="s">
        <v>8</v>
      </c>
      <c r="K62" s="2" t="s">
        <v>9</v>
      </c>
      <c r="L62" s="2" t="s">
        <v>10</v>
      </c>
      <c r="M62" s="2" t="s">
        <v>11</v>
      </c>
      <c r="N62" s="2" t="s">
        <v>12</v>
      </c>
      <c r="O62" s="2" t="s">
        <v>13</v>
      </c>
      <c r="P62" s="2" t="s">
        <v>14</v>
      </c>
      <c r="Q62" s="2" t="s">
        <v>15</v>
      </c>
      <c r="R62" s="2" t="s">
        <v>16</v>
      </c>
      <c r="S62" s="2" t="s">
        <v>17</v>
      </c>
      <c r="T62" s="2" t="s">
        <v>18</v>
      </c>
      <c r="U62" s="2" t="s">
        <v>19</v>
      </c>
      <c r="V62" s="2" t="s">
        <v>20</v>
      </c>
      <c r="W62" s="2" t="s">
        <v>21</v>
      </c>
      <c r="X62" s="2" t="s">
        <v>22</v>
      </c>
      <c r="Y62" s="2" t="s">
        <v>23</v>
      </c>
      <c r="Z62" s="2" t="s">
        <v>24</v>
      </c>
      <c r="AA62" s="2" t="s">
        <v>25</v>
      </c>
      <c r="AB62" s="2" t="s">
        <v>26</v>
      </c>
    </row>
    <row r="63" spans="1:28" s="8" customForma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5"/>
    </row>
    <row r="64" spans="1:28" s="8" customForma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5"/>
    </row>
    <row r="65" spans="1:28" x14ac:dyDescent="0.25">
      <c r="A65" s="3" t="s">
        <v>84</v>
      </c>
      <c r="B65" s="5">
        <f>12135.28</f>
        <v>12135.28</v>
      </c>
      <c r="C65" s="4"/>
      <c r="D65" s="4"/>
      <c r="E65" s="4"/>
      <c r="F65" s="5">
        <f>16393.22</f>
        <v>16393.22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5">
        <f t="shared" si="11"/>
        <v>28528.5</v>
      </c>
    </row>
    <row r="66" spans="1:28" x14ac:dyDescent="0.25">
      <c r="A66" s="3" t="s">
        <v>85</v>
      </c>
      <c r="B66" s="5">
        <f>8074.28</f>
        <v>8074.28</v>
      </c>
      <c r="C66" s="4"/>
      <c r="D66" s="4"/>
      <c r="E66" s="4"/>
      <c r="F66" s="5">
        <f>16393.22</f>
        <v>16393.22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5">
        <f t="shared" si="11"/>
        <v>24467.5</v>
      </c>
    </row>
    <row r="67" spans="1:28" x14ac:dyDescent="0.25">
      <c r="A67" s="3" t="s">
        <v>86</v>
      </c>
      <c r="B67" s="6">
        <f t="shared" ref="B67:AA67" si="12">((B61)+(B65))+(B66)</f>
        <v>20209.560000000001</v>
      </c>
      <c r="C67" s="6">
        <f t="shared" si="12"/>
        <v>0</v>
      </c>
      <c r="D67" s="6">
        <f t="shared" si="12"/>
        <v>0</v>
      </c>
      <c r="E67" s="6">
        <f t="shared" si="12"/>
        <v>0</v>
      </c>
      <c r="F67" s="6">
        <f t="shared" si="12"/>
        <v>32786.44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t="shared" si="12"/>
        <v>0</v>
      </c>
      <c r="O67" s="6">
        <f t="shared" si="12"/>
        <v>0</v>
      </c>
      <c r="P67" s="6">
        <f t="shared" si="12"/>
        <v>0</v>
      </c>
      <c r="Q67" s="6">
        <f t="shared" si="12"/>
        <v>0</v>
      </c>
      <c r="R67" s="6">
        <f t="shared" si="12"/>
        <v>0</v>
      </c>
      <c r="S67" s="6">
        <f t="shared" si="12"/>
        <v>0</v>
      </c>
      <c r="T67" s="6">
        <f t="shared" si="12"/>
        <v>0</v>
      </c>
      <c r="U67" s="6">
        <f t="shared" si="12"/>
        <v>0</v>
      </c>
      <c r="V67" s="6">
        <f t="shared" si="12"/>
        <v>0</v>
      </c>
      <c r="W67" s="6">
        <f t="shared" si="12"/>
        <v>0</v>
      </c>
      <c r="X67" s="6">
        <f t="shared" si="12"/>
        <v>0</v>
      </c>
      <c r="Y67" s="6">
        <f t="shared" si="12"/>
        <v>0</v>
      </c>
      <c r="Z67" s="6">
        <f t="shared" si="12"/>
        <v>0</v>
      </c>
      <c r="AA67" s="6">
        <f t="shared" si="12"/>
        <v>0</v>
      </c>
      <c r="AB67" s="6">
        <f t="shared" si="11"/>
        <v>52996</v>
      </c>
    </row>
    <row r="68" spans="1:28" x14ac:dyDescent="0.25">
      <c r="A68" s="3" t="s">
        <v>87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5">
        <f t="shared" si="11"/>
        <v>0</v>
      </c>
    </row>
    <row r="69" spans="1:28" x14ac:dyDescent="0.25">
      <c r="A69" s="3" t="s">
        <v>88</v>
      </c>
      <c r="B69" s="5">
        <f>180.67</f>
        <v>180.67</v>
      </c>
      <c r="C69" s="4"/>
      <c r="D69" s="4"/>
      <c r="E69" s="4"/>
      <c r="F69" s="5">
        <f>108.4</f>
        <v>108.4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5">
        <f>72.27</f>
        <v>72.27</v>
      </c>
      <c r="W69" s="4"/>
      <c r="X69" s="4"/>
      <c r="Y69" s="4"/>
      <c r="Z69" s="4"/>
      <c r="AA69" s="4"/>
      <c r="AB69" s="5">
        <f t="shared" si="11"/>
        <v>361.34</v>
      </c>
    </row>
    <row r="70" spans="1:28" x14ac:dyDescent="0.25">
      <c r="A70" s="3" t="s">
        <v>89</v>
      </c>
      <c r="B70" s="5">
        <f>1195.33</f>
        <v>1195.33</v>
      </c>
      <c r="C70" s="4"/>
      <c r="D70" s="5">
        <f>400.41</f>
        <v>400.41</v>
      </c>
      <c r="E70" s="4"/>
      <c r="F70" s="5">
        <f>1541.05</f>
        <v>1541.05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">
        <f>168</f>
        <v>168</v>
      </c>
      <c r="S70" s="4"/>
      <c r="T70" s="4"/>
      <c r="U70" s="4"/>
      <c r="V70" s="5">
        <f>707.27</f>
        <v>707.27</v>
      </c>
      <c r="W70" s="5">
        <f>153.64</f>
        <v>153.63999999999999</v>
      </c>
      <c r="X70" s="4"/>
      <c r="Y70" s="4"/>
      <c r="Z70" s="5">
        <f>33.44</f>
        <v>33.44</v>
      </c>
      <c r="AA70" s="4"/>
      <c r="AB70" s="5">
        <f t="shared" si="11"/>
        <v>4199.1399999999994</v>
      </c>
    </row>
    <row r="71" spans="1:28" x14ac:dyDescent="0.25">
      <c r="A71" s="3" t="s">
        <v>90</v>
      </c>
      <c r="B71" s="5">
        <f>2838.83</f>
        <v>2838.83</v>
      </c>
      <c r="C71" s="4"/>
      <c r="D71" s="5">
        <f>217.07</f>
        <v>217.07</v>
      </c>
      <c r="E71" s="4"/>
      <c r="F71" s="5">
        <f>42.45</f>
        <v>42.45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5">
        <f>205.97</f>
        <v>205.97</v>
      </c>
      <c r="Y71" s="4"/>
      <c r="Z71" s="4"/>
      <c r="AA71" s="4"/>
      <c r="AB71" s="5">
        <f t="shared" si="11"/>
        <v>3304.3199999999997</v>
      </c>
    </row>
    <row r="72" spans="1:28" x14ac:dyDescent="0.25">
      <c r="A72" s="3" t="s">
        <v>91</v>
      </c>
      <c r="B72" s="5">
        <f>9510.44</f>
        <v>9510.44</v>
      </c>
      <c r="C72" s="4"/>
      <c r="D72" s="5">
        <f>226.99</f>
        <v>226.99</v>
      </c>
      <c r="E72" s="4"/>
      <c r="F72" s="5">
        <f>3608.71</f>
        <v>3608.71</v>
      </c>
      <c r="G72" s="5">
        <f>81</f>
        <v>81</v>
      </c>
      <c r="H72" s="4"/>
      <c r="I72" s="4"/>
      <c r="J72" s="5">
        <f>322.59</f>
        <v>322.58999999999997</v>
      </c>
      <c r="K72" s="5">
        <f>271</f>
        <v>271</v>
      </c>
      <c r="L72" s="4"/>
      <c r="M72" s="5">
        <f>201.5</f>
        <v>201.5</v>
      </c>
      <c r="N72" s="5">
        <f>199.2</f>
        <v>199.2</v>
      </c>
      <c r="O72" s="5">
        <f>81</f>
        <v>81</v>
      </c>
      <c r="P72" s="4"/>
      <c r="Q72" s="4"/>
      <c r="R72" s="5">
        <f>19961.11</f>
        <v>19961.11</v>
      </c>
      <c r="S72" s="4"/>
      <c r="T72" s="4"/>
      <c r="U72" s="4"/>
      <c r="V72" s="5">
        <f>583</f>
        <v>583</v>
      </c>
      <c r="W72" s="5">
        <f>10368.6</f>
        <v>10368.6</v>
      </c>
      <c r="X72" s="5">
        <f>162</f>
        <v>162</v>
      </c>
      <c r="Y72" s="4"/>
      <c r="Z72" s="5">
        <f>21272.92</f>
        <v>21272.92</v>
      </c>
      <c r="AA72" s="4"/>
      <c r="AB72" s="5">
        <f t="shared" si="11"/>
        <v>66850.06</v>
      </c>
    </row>
    <row r="73" spans="1:28" x14ac:dyDescent="0.25">
      <c r="A73" s="3" t="s">
        <v>92</v>
      </c>
      <c r="B73" s="5">
        <f>698.08</f>
        <v>698.08</v>
      </c>
      <c r="C73" s="4"/>
      <c r="D73" s="4"/>
      <c r="E73" s="4"/>
      <c r="F73" s="5">
        <f>770.34</f>
        <v>770.34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5">
        <f t="shared" si="11"/>
        <v>1468.42</v>
      </c>
    </row>
    <row r="74" spans="1:28" x14ac:dyDescent="0.25">
      <c r="A74" s="3" t="s">
        <v>93</v>
      </c>
      <c r="B74" s="6">
        <f t="shared" ref="B74:AA74" si="13">(((((B68)+(B69))+(B70))+(B71))+(B72))+(B73)</f>
        <v>14423.35</v>
      </c>
      <c r="C74" s="6">
        <f t="shared" si="13"/>
        <v>0</v>
      </c>
      <c r="D74" s="6">
        <f t="shared" si="13"/>
        <v>844.47</v>
      </c>
      <c r="E74" s="6">
        <f t="shared" si="13"/>
        <v>0</v>
      </c>
      <c r="F74" s="6">
        <f t="shared" si="13"/>
        <v>6070.9500000000007</v>
      </c>
      <c r="G74" s="6">
        <f t="shared" si="13"/>
        <v>81</v>
      </c>
      <c r="H74" s="6">
        <f t="shared" si="13"/>
        <v>0</v>
      </c>
      <c r="I74" s="6">
        <f t="shared" si="13"/>
        <v>0</v>
      </c>
      <c r="J74" s="6">
        <f t="shared" si="13"/>
        <v>322.58999999999997</v>
      </c>
      <c r="K74" s="6">
        <f t="shared" si="13"/>
        <v>271</v>
      </c>
      <c r="L74" s="6">
        <f t="shared" si="13"/>
        <v>0</v>
      </c>
      <c r="M74" s="6">
        <f t="shared" si="13"/>
        <v>201.5</v>
      </c>
      <c r="N74" s="6">
        <f t="shared" si="13"/>
        <v>199.2</v>
      </c>
      <c r="O74" s="6">
        <f t="shared" si="13"/>
        <v>81</v>
      </c>
      <c r="P74" s="6">
        <f t="shared" si="13"/>
        <v>0</v>
      </c>
      <c r="Q74" s="6">
        <f t="shared" si="13"/>
        <v>0</v>
      </c>
      <c r="R74" s="6">
        <f t="shared" si="13"/>
        <v>20129.11</v>
      </c>
      <c r="S74" s="6">
        <f t="shared" si="13"/>
        <v>0</v>
      </c>
      <c r="T74" s="6">
        <f t="shared" si="13"/>
        <v>0</v>
      </c>
      <c r="U74" s="6">
        <f t="shared" si="13"/>
        <v>0</v>
      </c>
      <c r="V74" s="6">
        <f t="shared" si="13"/>
        <v>1362.54</v>
      </c>
      <c r="W74" s="6">
        <f t="shared" si="13"/>
        <v>10522.24</v>
      </c>
      <c r="X74" s="6">
        <f t="shared" si="13"/>
        <v>367.97</v>
      </c>
      <c r="Y74" s="6">
        <f t="shared" si="13"/>
        <v>0</v>
      </c>
      <c r="Z74" s="6">
        <f t="shared" si="13"/>
        <v>21306.359999999997</v>
      </c>
      <c r="AA74" s="6">
        <f t="shared" si="13"/>
        <v>0</v>
      </c>
      <c r="AB74" s="6">
        <f t="shared" si="11"/>
        <v>76183.28</v>
      </c>
    </row>
    <row r="75" spans="1:28" x14ac:dyDescent="0.25">
      <c r="A75" s="3" t="s">
        <v>94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5">
        <f t="shared" si="11"/>
        <v>0</v>
      </c>
    </row>
    <row r="76" spans="1:28" x14ac:dyDescent="0.25">
      <c r="A76" s="3" t="s">
        <v>95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>
        <f>11522.36</f>
        <v>11522.36</v>
      </c>
      <c r="Q76" s="4"/>
      <c r="R76" s="4"/>
      <c r="S76" s="4"/>
      <c r="T76" s="4"/>
      <c r="U76" s="4"/>
      <c r="V76" s="5">
        <f>6874.85</f>
        <v>6874.85</v>
      </c>
      <c r="W76" s="4"/>
      <c r="X76" s="4"/>
      <c r="Y76" s="4"/>
      <c r="Z76" s="4"/>
      <c r="AA76" s="4"/>
      <c r="AB76" s="5">
        <f t="shared" si="11"/>
        <v>18397.21</v>
      </c>
    </row>
    <row r="77" spans="1:28" x14ac:dyDescent="0.25">
      <c r="A77" s="3" t="s">
        <v>96</v>
      </c>
      <c r="B77" s="5">
        <f>1400</f>
        <v>1400</v>
      </c>
      <c r="C77" s="4"/>
      <c r="D77" s="5">
        <f>29</f>
        <v>29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5">
        <f>655</f>
        <v>655</v>
      </c>
      <c r="W77" s="5">
        <f>800</f>
        <v>800</v>
      </c>
      <c r="X77" s="5">
        <f>469</f>
        <v>469</v>
      </c>
      <c r="Y77" s="4"/>
      <c r="Z77" s="4"/>
      <c r="AA77" s="4"/>
      <c r="AB77" s="5">
        <f t="shared" si="11"/>
        <v>3353</v>
      </c>
    </row>
    <row r="78" spans="1:28" x14ac:dyDescent="0.25">
      <c r="A78" s="3" t="s">
        <v>97</v>
      </c>
      <c r="B78" s="5">
        <f>2652.58</f>
        <v>2652.58</v>
      </c>
      <c r="C78" s="4"/>
      <c r="D78" s="5">
        <f>1179.2</f>
        <v>1179.2</v>
      </c>
      <c r="E78" s="4"/>
      <c r="F78" s="5">
        <f>1741.91</f>
        <v>1741.91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">
        <f>198.22</f>
        <v>198.22</v>
      </c>
      <c r="S78" s="4"/>
      <c r="T78" s="5">
        <f>7069.49</f>
        <v>7069.49</v>
      </c>
      <c r="U78" s="4"/>
      <c r="V78" s="5">
        <f>3728.8</f>
        <v>3728.8</v>
      </c>
      <c r="W78" s="5">
        <f>3556.16</f>
        <v>3556.16</v>
      </c>
      <c r="X78" s="5">
        <f>1922.01</f>
        <v>1922.01</v>
      </c>
      <c r="Y78" s="4"/>
      <c r="Z78" s="4"/>
      <c r="AA78" s="5">
        <f>0</f>
        <v>0</v>
      </c>
      <c r="AB78" s="5">
        <f t="shared" si="11"/>
        <v>22048.37</v>
      </c>
    </row>
    <row r="79" spans="1:28" x14ac:dyDescent="0.25">
      <c r="A79" s="3" t="s">
        <v>98</v>
      </c>
      <c r="B79" s="4"/>
      <c r="C79" s="4"/>
      <c r="D79" s="5">
        <f>28.99</f>
        <v>28.99</v>
      </c>
      <c r="E79" s="4"/>
      <c r="F79" s="5">
        <f>4499</f>
        <v>4499</v>
      </c>
      <c r="G79" s="4"/>
      <c r="H79" s="4"/>
      <c r="I79" s="4"/>
      <c r="J79" s="4"/>
      <c r="K79" s="4"/>
      <c r="L79" s="4"/>
      <c r="M79" s="5">
        <f>2756.34</f>
        <v>2756.34</v>
      </c>
      <c r="N79" s="4"/>
      <c r="O79" s="4"/>
      <c r="P79" s="4"/>
      <c r="Q79" s="4"/>
      <c r="R79" s="4"/>
      <c r="S79" s="4"/>
      <c r="T79" s="4"/>
      <c r="U79" s="4"/>
      <c r="V79" s="5">
        <f>2301.32</f>
        <v>2301.3200000000002</v>
      </c>
      <c r="W79" s="4"/>
      <c r="X79" s="4"/>
      <c r="Y79" s="5">
        <f>14.55</f>
        <v>14.55</v>
      </c>
      <c r="Z79" s="4"/>
      <c r="AA79" s="4"/>
      <c r="AB79" s="5">
        <f t="shared" si="11"/>
        <v>9600.1999999999989</v>
      </c>
    </row>
    <row r="80" spans="1:28" x14ac:dyDescent="0.25">
      <c r="A80" s="3" t="s">
        <v>99</v>
      </c>
      <c r="B80" s="5">
        <f>1918.2</f>
        <v>1918.2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5">
        <f t="shared" si="11"/>
        <v>1918.2</v>
      </c>
    </row>
    <row r="81" spans="1:28" x14ac:dyDescent="0.25">
      <c r="A81" s="3" t="s">
        <v>100</v>
      </c>
      <c r="B81" s="6">
        <f t="shared" ref="B81:AA81" si="14">(((((B75)+(B76))+(B77))+(B78))+(B79))+(B80)</f>
        <v>5970.78</v>
      </c>
      <c r="C81" s="6">
        <f t="shared" si="14"/>
        <v>0</v>
      </c>
      <c r="D81" s="6">
        <f t="shared" si="14"/>
        <v>1237.19</v>
      </c>
      <c r="E81" s="6">
        <f t="shared" si="14"/>
        <v>0</v>
      </c>
      <c r="F81" s="6">
        <f t="shared" si="14"/>
        <v>6240.91</v>
      </c>
      <c r="G81" s="6">
        <f t="shared" si="14"/>
        <v>0</v>
      </c>
      <c r="H81" s="6">
        <f t="shared" si="14"/>
        <v>0</v>
      </c>
      <c r="I81" s="6">
        <f t="shared" si="14"/>
        <v>0</v>
      </c>
      <c r="J81" s="6">
        <f t="shared" si="14"/>
        <v>0</v>
      </c>
      <c r="K81" s="6">
        <f t="shared" si="14"/>
        <v>0</v>
      </c>
      <c r="L81" s="6">
        <f t="shared" si="14"/>
        <v>0</v>
      </c>
      <c r="M81" s="6">
        <f t="shared" si="14"/>
        <v>2756.34</v>
      </c>
      <c r="N81" s="6">
        <f t="shared" si="14"/>
        <v>0</v>
      </c>
      <c r="O81" s="6">
        <f t="shared" si="14"/>
        <v>0</v>
      </c>
      <c r="P81" s="6">
        <f t="shared" si="14"/>
        <v>11522.36</v>
      </c>
      <c r="Q81" s="6">
        <f t="shared" si="14"/>
        <v>0</v>
      </c>
      <c r="R81" s="6">
        <f t="shared" si="14"/>
        <v>198.22</v>
      </c>
      <c r="S81" s="6">
        <f t="shared" si="14"/>
        <v>0</v>
      </c>
      <c r="T81" s="6">
        <f t="shared" si="14"/>
        <v>7069.49</v>
      </c>
      <c r="U81" s="6">
        <f t="shared" si="14"/>
        <v>0</v>
      </c>
      <c r="V81" s="6">
        <f t="shared" si="14"/>
        <v>13559.970000000001</v>
      </c>
      <c r="W81" s="6">
        <f t="shared" si="14"/>
        <v>4356.16</v>
      </c>
      <c r="X81" s="6">
        <f t="shared" si="14"/>
        <v>2391.0100000000002</v>
      </c>
      <c r="Y81" s="6">
        <f t="shared" si="14"/>
        <v>14.55</v>
      </c>
      <c r="Z81" s="6">
        <f t="shared" si="14"/>
        <v>0</v>
      </c>
      <c r="AA81" s="6">
        <f t="shared" si="14"/>
        <v>0</v>
      </c>
      <c r="AB81" s="6">
        <f t="shared" si="11"/>
        <v>55316.98</v>
      </c>
    </row>
    <row r="82" spans="1:28" x14ac:dyDescent="0.25">
      <c r="A82" s="3" t="s">
        <v>101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5">
        <f t="shared" si="11"/>
        <v>0</v>
      </c>
    </row>
    <row r="83" spans="1:28" x14ac:dyDescent="0.25">
      <c r="A83" s="3" t="s">
        <v>102</v>
      </c>
      <c r="B83" s="5">
        <f>1701.99</f>
        <v>1701.99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5">
        <f>422.9</f>
        <v>422.9</v>
      </c>
      <c r="W83" s="4"/>
      <c r="X83" s="5">
        <f>530</f>
        <v>530</v>
      </c>
      <c r="Y83" s="4"/>
      <c r="Z83" s="4"/>
      <c r="AA83" s="4"/>
      <c r="AB83" s="5">
        <f t="shared" si="11"/>
        <v>2654.89</v>
      </c>
    </row>
    <row r="84" spans="1:28" x14ac:dyDescent="0.25">
      <c r="A84" s="3" t="s">
        <v>103</v>
      </c>
      <c r="B84" s="4"/>
      <c r="C84" s="4"/>
      <c r="D84" s="5">
        <f>7254.39</f>
        <v>7254.39</v>
      </c>
      <c r="E84" s="5">
        <f>410.9</f>
        <v>410.9</v>
      </c>
      <c r="F84" s="5">
        <f>22371.57</f>
        <v>22371.57</v>
      </c>
      <c r="G84" s="5">
        <f>505.01</f>
        <v>505.01</v>
      </c>
      <c r="H84" s="5">
        <f>1283.58</f>
        <v>1283.58</v>
      </c>
      <c r="I84" s="5">
        <f>0</f>
        <v>0</v>
      </c>
      <c r="J84" s="5">
        <f>1711.03</f>
        <v>1711.03</v>
      </c>
      <c r="K84" s="5">
        <f>1791.39</f>
        <v>1791.39</v>
      </c>
      <c r="L84" s="5">
        <f>1220.42</f>
        <v>1220.42</v>
      </c>
      <c r="M84" s="4"/>
      <c r="N84" s="5">
        <f>5855.32</f>
        <v>5855.32</v>
      </c>
      <c r="O84" s="5">
        <f>946.93</f>
        <v>946.93</v>
      </c>
      <c r="P84" s="5">
        <f>11667.48</f>
        <v>11667.48</v>
      </c>
      <c r="Q84" s="5">
        <f>1057.7</f>
        <v>1057.7</v>
      </c>
      <c r="R84" s="5">
        <f>15428.54</f>
        <v>15428.54</v>
      </c>
      <c r="S84" s="5">
        <f>12744.71</f>
        <v>12744.71</v>
      </c>
      <c r="T84" s="5">
        <f>3268.95</f>
        <v>3268.95</v>
      </c>
      <c r="U84" s="5">
        <f>1074.86</f>
        <v>1074.8599999999999</v>
      </c>
      <c r="V84" s="5">
        <f>15100.48</f>
        <v>15100.48</v>
      </c>
      <c r="W84" s="5">
        <f>6914.84</f>
        <v>6914.84</v>
      </c>
      <c r="X84" s="5">
        <f>5306.06</f>
        <v>5306.06</v>
      </c>
      <c r="Y84" s="5">
        <f>73.45</f>
        <v>73.45</v>
      </c>
      <c r="Z84" s="5">
        <f>546.62</f>
        <v>546.62</v>
      </c>
      <c r="AA84" s="4"/>
      <c r="AB84" s="5">
        <f t="shared" si="11"/>
        <v>116534.22999999995</v>
      </c>
    </row>
    <row r="85" spans="1:28" x14ac:dyDescent="0.25">
      <c r="A85" s="3" t="s">
        <v>104</v>
      </c>
      <c r="B85" s="6">
        <f t="shared" ref="B85:AA85" si="15">((B82)+(B83))+(B84)</f>
        <v>1701.99</v>
      </c>
      <c r="C85" s="6">
        <f t="shared" si="15"/>
        <v>0</v>
      </c>
      <c r="D85" s="6">
        <f t="shared" si="15"/>
        <v>7254.39</v>
      </c>
      <c r="E85" s="6">
        <f t="shared" si="15"/>
        <v>410.9</v>
      </c>
      <c r="F85" s="6">
        <f t="shared" si="15"/>
        <v>22371.57</v>
      </c>
      <c r="G85" s="6">
        <f t="shared" si="15"/>
        <v>505.01</v>
      </c>
      <c r="H85" s="6">
        <f t="shared" si="15"/>
        <v>1283.58</v>
      </c>
      <c r="I85" s="6">
        <f t="shared" si="15"/>
        <v>0</v>
      </c>
      <c r="J85" s="6">
        <f t="shared" si="15"/>
        <v>1711.03</v>
      </c>
      <c r="K85" s="6">
        <f t="shared" si="15"/>
        <v>1791.39</v>
      </c>
      <c r="L85" s="6">
        <f t="shared" si="15"/>
        <v>1220.42</v>
      </c>
      <c r="M85" s="6">
        <f t="shared" si="15"/>
        <v>0</v>
      </c>
      <c r="N85" s="6">
        <f t="shared" si="15"/>
        <v>5855.32</v>
      </c>
      <c r="O85" s="6">
        <f t="shared" si="15"/>
        <v>946.93</v>
      </c>
      <c r="P85" s="6">
        <f t="shared" si="15"/>
        <v>11667.48</v>
      </c>
      <c r="Q85" s="6">
        <f t="shared" si="15"/>
        <v>1057.7</v>
      </c>
      <c r="R85" s="6">
        <f t="shared" si="15"/>
        <v>15428.54</v>
      </c>
      <c r="S85" s="6">
        <f t="shared" si="15"/>
        <v>12744.71</v>
      </c>
      <c r="T85" s="6">
        <f t="shared" si="15"/>
        <v>3268.95</v>
      </c>
      <c r="U85" s="6">
        <f t="shared" si="15"/>
        <v>1074.8599999999999</v>
      </c>
      <c r="V85" s="6">
        <f t="shared" si="15"/>
        <v>15523.38</v>
      </c>
      <c r="W85" s="6">
        <f t="shared" si="15"/>
        <v>6914.84</v>
      </c>
      <c r="X85" s="6">
        <f t="shared" si="15"/>
        <v>5836.06</v>
      </c>
      <c r="Y85" s="6">
        <f t="shared" si="15"/>
        <v>73.45</v>
      </c>
      <c r="Z85" s="6">
        <f t="shared" si="15"/>
        <v>546.62</v>
      </c>
      <c r="AA85" s="6">
        <f t="shared" si="15"/>
        <v>0</v>
      </c>
      <c r="AB85" s="6">
        <f t="shared" si="11"/>
        <v>119189.11999999998</v>
      </c>
    </row>
    <row r="86" spans="1:28" x14ac:dyDescent="0.25">
      <c r="A86" s="3" t="s">
        <v>105</v>
      </c>
      <c r="B86" s="6">
        <f t="shared" ref="B86:AA86" si="16">((((((((B31)+(B43))+(B49))+(B50))+(B60))+(B67))+(B74))+(B81))+(B85)</f>
        <v>183855.85</v>
      </c>
      <c r="C86" s="6">
        <f t="shared" si="16"/>
        <v>0</v>
      </c>
      <c r="D86" s="6">
        <f t="shared" si="16"/>
        <v>97934.310000000012</v>
      </c>
      <c r="E86" s="6">
        <f t="shared" si="16"/>
        <v>8628.74</v>
      </c>
      <c r="F86" s="6">
        <f t="shared" si="16"/>
        <v>251087.25000000003</v>
      </c>
      <c r="G86" s="6">
        <f t="shared" si="16"/>
        <v>6825.73</v>
      </c>
      <c r="H86" s="6">
        <f t="shared" si="16"/>
        <v>14648.409999999998</v>
      </c>
      <c r="I86" s="6">
        <f t="shared" si="16"/>
        <v>0</v>
      </c>
      <c r="J86" s="6">
        <f t="shared" si="16"/>
        <v>18821.36</v>
      </c>
      <c r="K86" s="6">
        <f t="shared" si="16"/>
        <v>19705.239999999998</v>
      </c>
      <c r="L86" s="6">
        <f t="shared" si="16"/>
        <v>16475.78</v>
      </c>
      <c r="M86" s="6">
        <f t="shared" si="16"/>
        <v>3815.62</v>
      </c>
      <c r="N86" s="6">
        <f t="shared" si="16"/>
        <v>64408.52</v>
      </c>
      <c r="O86" s="6">
        <f t="shared" si="16"/>
        <v>10416.200000000001</v>
      </c>
      <c r="P86" s="6">
        <f t="shared" si="16"/>
        <v>128342.29999999999</v>
      </c>
      <c r="Q86" s="6">
        <f t="shared" si="16"/>
        <v>11634.78</v>
      </c>
      <c r="R86" s="6">
        <f t="shared" si="16"/>
        <v>134109.64000000001</v>
      </c>
      <c r="S86" s="6">
        <f t="shared" si="16"/>
        <v>118950.66</v>
      </c>
      <c r="T86" s="6">
        <f t="shared" si="16"/>
        <v>35958.509999999995</v>
      </c>
      <c r="U86" s="6">
        <f t="shared" si="16"/>
        <v>14510.7</v>
      </c>
      <c r="V86" s="6">
        <f t="shared" si="16"/>
        <v>200433.88</v>
      </c>
      <c r="W86" s="6">
        <f t="shared" si="16"/>
        <v>56306.539999999994</v>
      </c>
      <c r="X86" s="6">
        <f t="shared" si="16"/>
        <v>58366.590000000004</v>
      </c>
      <c r="Y86" s="6">
        <f t="shared" si="16"/>
        <v>3745.7200000000003</v>
      </c>
      <c r="Z86" s="6">
        <f t="shared" si="16"/>
        <v>44628.5</v>
      </c>
      <c r="AA86" s="6">
        <f t="shared" si="16"/>
        <v>0</v>
      </c>
      <c r="AB86" s="6">
        <f t="shared" si="11"/>
        <v>1503610.83</v>
      </c>
    </row>
    <row r="87" spans="1:28" x14ac:dyDescent="0.25">
      <c r="A87" s="3" t="s">
        <v>106</v>
      </c>
      <c r="B87" s="6">
        <f t="shared" ref="B87:AA87" si="17">(B26)-(B86)</f>
        <v>275708.71999999997</v>
      </c>
      <c r="C87" s="6">
        <f t="shared" si="17"/>
        <v>100</v>
      </c>
      <c r="D87" s="6">
        <f t="shared" si="17"/>
        <v>-97934.310000000012</v>
      </c>
      <c r="E87" s="6">
        <f t="shared" si="17"/>
        <v>-8628.74</v>
      </c>
      <c r="F87" s="6">
        <f t="shared" si="17"/>
        <v>602386.06999999995</v>
      </c>
      <c r="G87" s="6">
        <f t="shared" si="17"/>
        <v>-6825.73</v>
      </c>
      <c r="H87" s="6">
        <f t="shared" si="17"/>
        <v>-14648.409999999998</v>
      </c>
      <c r="I87" s="6">
        <f t="shared" si="17"/>
        <v>0</v>
      </c>
      <c r="J87" s="6">
        <f t="shared" si="17"/>
        <v>-15677.36</v>
      </c>
      <c r="K87" s="6">
        <f t="shared" si="17"/>
        <v>6087.52</v>
      </c>
      <c r="L87" s="6">
        <f t="shared" si="17"/>
        <v>-16475.78</v>
      </c>
      <c r="M87" s="6">
        <f t="shared" si="17"/>
        <v>4184.38</v>
      </c>
      <c r="N87" s="6">
        <f t="shared" si="17"/>
        <v>-48088.52</v>
      </c>
      <c r="O87" s="6">
        <f t="shared" si="17"/>
        <v>-10416.200000000001</v>
      </c>
      <c r="P87" s="6">
        <f t="shared" si="17"/>
        <v>0</v>
      </c>
      <c r="Q87" s="6">
        <f t="shared" si="17"/>
        <v>373023.22</v>
      </c>
      <c r="R87" s="6">
        <f t="shared" si="17"/>
        <v>-33121.430000000008</v>
      </c>
      <c r="S87" s="6">
        <f t="shared" si="17"/>
        <v>0</v>
      </c>
      <c r="T87" s="6">
        <f t="shared" si="17"/>
        <v>0</v>
      </c>
      <c r="U87" s="6">
        <f t="shared" si="17"/>
        <v>-14510.7</v>
      </c>
      <c r="V87" s="6">
        <f t="shared" si="17"/>
        <v>4968.1199999999953</v>
      </c>
      <c r="W87" s="6">
        <f t="shared" si="17"/>
        <v>-56306.539999999994</v>
      </c>
      <c r="X87" s="6">
        <f t="shared" si="17"/>
        <v>-58366.590000000004</v>
      </c>
      <c r="Y87" s="6">
        <f t="shared" si="17"/>
        <v>-14.720000000000255</v>
      </c>
      <c r="Z87" s="6">
        <f t="shared" si="17"/>
        <v>-44628.5</v>
      </c>
      <c r="AA87" s="6">
        <f t="shared" si="17"/>
        <v>0</v>
      </c>
      <c r="AB87" s="6">
        <f t="shared" si="11"/>
        <v>840814.5</v>
      </c>
    </row>
    <row r="88" spans="1:28" x14ac:dyDescent="0.25">
      <c r="A88" s="3" t="s">
        <v>107</v>
      </c>
      <c r="B88" s="7">
        <f t="shared" ref="B88:AA88" si="18">(B87)+(0)</f>
        <v>275708.71999999997</v>
      </c>
      <c r="C88" s="7">
        <f t="shared" si="18"/>
        <v>100</v>
      </c>
      <c r="D88" s="7">
        <f t="shared" si="18"/>
        <v>-97934.310000000012</v>
      </c>
      <c r="E88" s="7">
        <f t="shared" si="18"/>
        <v>-8628.74</v>
      </c>
      <c r="F88" s="7">
        <f t="shared" si="18"/>
        <v>602386.06999999995</v>
      </c>
      <c r="G88" s="7">
        <f t="shared" si="18"/>
        <v>-6825.73</v>
      </c>
      <c r="H88" s="7">
        <f t="shared" si="18"/>
        <v>-14648.409999999998</v>
      </c>
      <c r="I88" s="7">
        <f t="shared" si="18"/>
        <v>0</v>
      </c>
      <c r="J88" s="7">
        <f t="shared" si="18"/>
        <v>-15677.36</v>
      </c>
      <c r="K88" s="7">
        <f t="shared" si="18"/>
        <v>6087.52</v>
      </c>
      <c r="L88" s="7">
        <f t="shared" si="18"/>
        <v>-16475.78</v>
      </c>
      <c r="M88" s="7">
        <f t="shared" si="18"/>
        <v>4184.38</v>
      </c>
      <c r="N88" s="7">
        <f t="shared" si="18"/>
        <v>-48088.52</v>
      </c>
      <c r="O88" s="7">
        <f t="shared" si="18"/>
        <v>-10416.200000000001</v>
      </c>
      <c r="P88" s="7">
        <f t="shared" si="18"/>
        <v>0</v>
      </c>
      <c r="Q88" s="7">
        <f t="shared" si="18"/>
        <v>373023.22</v>
      </c>
      <c r="R88" s="7">
        <f t="shared" si="18"/>
        <v>-33121.430000000008</v>
      </c>
      <c r="S88" s="7">
        <f t="shared" si="18"/>
        <v>0</v>
      </c>
      <c r="T88" s="7">
        <f t="shared" si="18"/>
        <v>0</v>
      </c>
      <c r="U88" s="7">
        <f t="shared" si="18"/>
        <v>-14510.7</v>
      </c>
      <c r="V88" s="7">
        <f t="shared" si="18"/>
        <v>4968.1199999999953</v>
      </c>
      <c r="W88" s="7">
        <f t="shared" si="18"/>
        <v>-56306.539999999994</v>
      </c>
      <c r="X88" s="7">
        <f t="shared" si="18"/>
        <v>-58366.590000000004</v>
      </c>
      <c r="Y88" s="7">
        <f t="shared" si="18"/>
        <v>-14.720000000000255</v>
      </c>
      <c r="Z88" s="7">
        <f t="shared" si="18"/>
        <v>-44628.5</v>
      </c>
      <c r="AA88" s="7">
        <f t="shared" si="18"/>
        <v>0</v>
      </c>
      <c r="AB88" s="7">
        <f t="shared" si="11"/>
        <v>840814.5</v>
      </c>
    </row>
    <row r="89" spans="1:28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2" spans="1:28" x14ac:dyDescent="0.2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</sheetData>
  <mergeCells count="3">
    <mergeCell ref="A92:AB92"/>
    <mergeCell ref="A1:AB1"/>
    <mergeCell ref="A2:AB2"/>
  </mergeCells>
  <pageMargins left="0.25" right="0.25" top="0.75" bottom="0.75" header="0.3" footer="0.3"/>
  <pageSetup paperSize="5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 Perkins</cp:lastModifiedBy>
  <cp:lastPrinted>2022-09-29T14:32:34Z</cp:lastPrinted>
  <dcterms:created xsi:type="dcterms:W3CDTF">2022-09-29T12:21:23Z</dcterms:created>
  <dcterms:modified xsi:type="dcterms:W3CDTF">2022-10-04T13:48:06Z</dcterms:modified>
</cp:coreProperties>
</file>