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Fund 2\ESSER round 2 funding 9.2 million\Info for Board\"/>
    </mc:Choice>
  </mc:AlternateContent>
  <bookViews>
    <workbookView xWindow="0" yWindow="0" windowWidth="28800" windowHeight="11700" activeTab="1"/>
  </bookViews>
  <sheets>
    <sheet name="ESSER II 554G" sheetId="1" r:id="rId1"/>
    <sheet name="ESSER II 554G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2" l="1"/>
  <c r="C123" i="2"/>
  <c r="C122" i="2"/>
  <c r="C120" i="2"/>
  <c r="C113" i="2"/>
  <c r="C110" i="2"/>
  <c r="C109" i="2"/>
  <c r="C104" i="2"/>
  <c r="C94" i="2"/>
  <c r="C93" i="2"/>
  <c r="C84" i="2"/>
  <c r="C79" i="2"/>
  <c r="C80" i="2"/>
  <c r="C76" i="2"/>
  <c r="C71" i="2"/>
  <c r="C69" i="2"/>
  <c r="C56" i="2"/>
  <c r="C63" i="2"/>
  <c r="D53" i="2"/>
  <c r="C51" i="2"/>
  <c r="D48" i="2"/>
  <c r="C47" i="2"/>
  <c r="C44" i="2"/>
  <c r="C37" i="2"/>
  <c r="C25" i="2"/>
  <c r="D16" i="2"/>
  <c r="C12" i="2"/>
  <c r="C11" i="2"/>
  <c r="C10" i="2"/>
  <c r="D8" i="2"/>
  <c r="C8" i="2"/>
  <c r="F111" i="1"/>
  <c r="C51" i="1"/>
  <c r="C48" i="1"/>
  <c r="C41" i="1"/>
  <c r="C43" i="1"/>
  <c r="C52" i="1"/>
  <c r="C37" i="1"/>
  <c r="D26" i="1"/>
  <c r="D18" i="1"/>
  <c r="D10" i="1" l="1"/>
  <c r="D127" i="2" l="1"/>
  <c r="D133" i="2"/>
  <c r="D125" i="2"/>
  <c r="D124" i="2"/>
  <c r="D119" i="2"/>
  <c r="D117" i="2"/>
  <c r="D116" i="2"/>
  <c r="D112" i="2"/>
  <c r="D110" i="2"/>
  <c r="C103" i="2"/>
  <c r="D108" i="2"/>
  <c r="D100" i="2"/>
  <c r="D90" i="2"/>
  <c r="D88" i="2"/>
  <c r="D87" i="2"/>
  <c r="D83" i="2"/>
  <c r="D81" i="2"/>
  <c r="D78" i="2"/>
  <c r="D77" i="2"/>
  <c r="D68" i="2"/>
  <c r="D55" i="2"/>
  <c r="D66" i="2"/>
  <c r="D65" i="2"/>
  <c r="D50" i="2"/>
  <c r="D46" i="2"/>
  <c r="C43" i="2"/>
  <c r="D39" i="2"/>
  <c r="D37" i="2"/>
  <c r="D33" i="2"/>
  <c r="D31" i="2"/>
  <c r="C26" i="2"/>
  <c r="C20" i="2"/>
  <c r="D80" i="2" l="1"/>
  <c r="D26" i="2"/>
  <c r="D13" i="2" l="1"/>
  <c r="D109" i="1" l="1"/>
  <c r="D106" i="1"/>
  <c r="D104" i="1"/>
  <c r="D97" i="1"/>
  <c r="C94" i="1"/>
  <c r="C88" i="1"/>
  <c r="D89" i="1" s="1"/>
  <c r="C76" i="1"/>
  <c r="D81" i="1"/>
  <c r="C65" i="1"/>
  <c r="C35" i="1"/>
  <c r="D38" i="1" s="1"/>
  <c r="D31" i="1"/>
  <c r="D23" i="1"/>
  <c r="D73" i="1"/>
  <c r="D14" i="1"/>
  <c r="D12" i="1"/>
  <c r="D8" i="1"/>
  <c r="C40" i="1"/>
  <c r="C25" i="1"/>
  <c r="C18" i="1"/>
  <c r="C14" i="1"/>
  <c r="C20" i="1"/>
  <c r="D20" i="1" s="1"/>
  <c r="D53" i="1" l="1"/>
  <c r="C18" i="2" l="1"/>
  <c r="D18" i="2" s="1"/>
  <c r="C96" i="2"/>
  <c r="D98" i="2" s="1"/>
  <c r="C57" i="2"/>
  <c r="D64" i="2" s="1"/>
  <c r="C40" i="2"/>
  <c r="D44" i="2" s="1"/>
  <c r="C29" i="2"/>
  <c r="D29" i="2" s="1"/>
  <c r="C135" i="2" l="1"/>
  <c r="D135" i="2"/>
  <c r="E135" i="2" s="1"/>
  <c r="C60" i="1"/>
  <c r="C56" i="1"/>
  <c r="D67" i="1" s="1"/>
  <c r="C111" i="1" l="1"/>
  <c r="D111" i="1"/>
</calcChain>
</file>

<file path=xl/sharedStrings.xml><?xml version="1.0" encoding="utf-8"?>
<sst xmlns="http://schemas.openxmlformats.org/spreadsheetml/2006/main" count="388" uniqueCount="168">
  <si>
    <t xml:space="preserve">ESSER II </t>
  </si>
  <si>
    <t>Chromebooks</t>
  </si>
  <si>
    <t>Description</t>
  </si>
  <si>
    <t>Amount</t>
  </si>
  <si>
    <t>Biggs</t>
  </si>
  <si>
    <t>Asset tracker - fixed assets</t>
  </si>
  <si>
    <t>Scanner</t>
  </si>
  <si>
    <t>Holmes Adult High School</t>
  </si>
  <si>
    <t>Charging cart</t>
  </si>
  <si>
    <t>Laser presenters</t>
  </si>
  <si>
    <t>Smart TV's</t>
  </si>
  <si>
    <t>TV mounts</t>
  </si>
  <si>
    <t>Macbooks</t>
  </si>
  <si>
    <t>Holmes Middle School</t>
  </si>
  <si>
    <t>Technology supplies</t>
  </si>
  <si>
    <t>Laptop/Chromebooks</t>
  </si>
  <si>
    <t>30 unit cart</t>
  </si>
  <si>
    <t>Apple TV's</t>
  </si>
  <si>
    <t>Holmes High School</t>
  </si>
  <si>
    <t>Applecare</t>
  </si>
  <si>
    <t>Ipads</t>
  </si>
  <si>
    <t>Macbooks &amp; Applecare</t>
  </si>
  <si>
    <t>Applecare for ipads</t>
  </si>
  <si>
    <t>JGC</t>
  </si>
  <si>
    <t>Cases with keyboard for ipads</t>
  </si>
  <si>
    <t>Latonia</t>
  </si>
  <si>
    <t>9th District</t>
  </si>
  <si>
    <t>Laminator</t>
  </si>
  <si>
    <t>GOS</t>
  </si>
  <si>
    <t>Document cameras</t>
  </si>
  <si>
    <t>Charging carts</t>
  </si>
  <si>
    <t>6th District</t>
  </si>
  <si>
    <t>Chapman</t>
  </si>
  <si>
    <t>Install carpet tiles</t>
  </si>
  <si>
    <t>Department/School</t>
  </si>
  <si>
    <t>Reimbursement of food costs</t>
  </si>
  <si>
    <t>Classroom materials</t>
  </si>
  <si>
    <t>Backpacks</t>
  </si>
  <si>
    <t>Face masks</t>
  </si>
  <si>
    <t>Summer program 2021 -salary &amp; fringes</t>
  </si>
  <si>
    <t>Chairs</t>
  </si>
  <si>
    <t>Tables</t>
  </si>
  <si>
    <t>Instructional materials</t>
  </si>
  <si>
    <t>Registrations for Virtual OG training</t>
  </si>
  <si>
    <t>Dreambox learning - licenses</t>
  </si>
  <si>
    <t>Newsela software</t>
  </si>
  <si>
    <t>Software</t>
  </si>
  <si>
    <t>Bus garage</t>
  </si>
  <si>
    <t>Masks</t>
  </si>
  <si>
    <t>Computer monitor</t>
  </si>
  <si>
    <t>Applecare for Ipads</t>
  </si>
  <si>
    <t>Total ESSER pots is $9,208,715</t>
  </si>
  <si>
    <t>Update server migration</t>
  </si>
  <si>
    <t>Indirects</t>
  </si>
  <si>
    <t>Computers</t>
  </si>
  <si>
    <t>Equity work</t>
  </si>
  <si>
    <t>Frontline implementation-recruit &amp; hire</t>
  </si>
  <si>
    <t>TV's</t>
  </si>
  <si>
    <t>Laptop/ipad/chromebook protection</t>
  </si>
  <si>
    <t>Apple pencils</t>
  </si>
  <si>
    <t>Total</t>
  </si>
  <si>
    <t>Technology Dept (org 0002087)</t>
  </si>
  <si>
    <t>TLC</t>
  </si>
  <si>
    <t>TV mount</t>
  </si>
  <si>
    <t xml:space="preserve">TV   </t>
  </si>
  <si>
    <t>Chromebook rentals</t>
  </si>
  <si>
    <t xml:space="preserve">Macbook chargers </t>
  </si>
  <si>
    <t>Crayon for ipads</t>
  </si>
  <si>
    <t>Smartboards</t>
  </si>
  <si>
    <t>Wead eater, trimmers, blower</t>
  </si>
  <si>
    <t>Carpet extactor, burnisher</t>
  </si>
  <si>
    <t>Laptops</t>
  </si>
  <si>
    <t>Environmental evaluation</t>
  </si>
  <si>
    <t>Western Nursing Service Agency Nurses</t>
  </si>
  <si>
    <t>Mobile vision screeners</t>
  </si>
  <si>
    <t>Custodial supplies - districtwide</t>
  </si>
  <si>
    <t>Vaccine incentive - salary &amp; fringes</t>
  </si>
  <si>
    <t>HHS/HMS paying teachers for planning period</t>
  </si>
  <si>
    <t>Fringes on both categories</t>
  </si>
  <si>
    <t>Salary (org 0002918-0113)</t>
  </si>
  <si>
    <t>Salary (org 0002918-0131)</t>
  </si>
  <si>
    <t xml:space="preserve">I/A being teacher due to lack of subs </t>
  </si>
  <si>
    <t>Supplies</t>
  </si>
  <si>
    <t>Books</t>
  </si>
  <si>
    <t>ITEAM stipends (org 0132118)</t>
  </si>
  <si>
    <t>ITEAM stipends (org 0172118)</t>
  </si>
  <si>
    <t>ELL - salary &amp; fringes (org 0172124)</t>
  </si>
  <si>
    <t>Workstations</t>
  </si>
  <si>
    <t>Virtual teacher salary &amp; fringes (org 0172787)</t>
  </si>
  <si>
    <t>ITEAM stipends (org 0192118)</t>
  </si>
  <si>
    <t>Focus care -online tutoring</t>
  </si>
  <si>
    <t>Radios &amp; earpieces</t>
  </si>
  <si>
    <t>ELL - salary &amp; fringes (org 0192124)</t>
  </si>
  <si>
    <t>Virtual teacher salary &amp; fringes (org 0192787)</t>
  </si>
  <si>
    <t>Refrigerator</t>
  </si>
  <si>
    <t>Chairs &amp; tables</t>
  </si>
  <si>
    <t>After school program - salary &amp; fringes (org 0192197)</t>
  </si>
  <si>
    <t>After school program - programming, postage, supplies</t>
  </si>
  <si>
    <t>Custodial cleaning supplies (org 1102087)</t>
  </si>
  <si>
    <t>Custodial cleaning supplies (org 0192087)</t>
  </si>
  <si>
    <t>Custodial cleaning supplies (org 0172087)</t>
  </si>
  <si>
    <t>Custodial supplies (org 0132087)</t>
  </si>
  <si>
    <t>Custodial supplies (org 0112087)</t>
  </si>
  <si>
    <t>Custodial supplies (org 0102087)</t>
  </si>
  <si>
    <t>ITEAM stipends (org 1102118)</t>
  </si>
  <si>
    <t>Technology software</t>
  </si>
  <si>
    <t>ELL - salary &amp; fringes (org 1102124)</t>
  </si>
  <si>
    <t>Custodial cleaning supplies (org 1152087)</t>
  </si>
  <si>
    <t>ITEAM stipends (org 1152118)</t>
  </si>
  <si>
    <t>Fringes on ITEAM stipends &amp; intervention teacher</t>
  </si>
  <si>
    <t>Intervention teacher - salary (org 1152118)</t>
  </si>
  <si>
    <t>Custodial cleaning supplies (org 1502087)</t>
  </si>
  <si>
    <t>Guys with Ties program</t>
  </si>
  <si>
    <t>Shades</t>
  </si>
  <si>
    <t>Virtual program</t>
  </si>
  <si>
    <t>After school program - salary &amp; fringes (org 1502197)</t>
  </si>
  <si>
    <t>Custodial cleaning supplies (org 1602087)</t>
  </si>
  <si>
    <t>ITEAM stipends (org 1602118)</t>
  </si>
  <si>
    <t>ELL - salary &amp; fringes (org 1602124)</t>
  </si>
  <si>
    <t>Custodial cleaning supplies (org 1702087)</t>
  </si>
  <si>
    <t>ITEAM stipends (org 1702118)</t>
  </si>
  <si>
    <t>Masks &amp; custodial supplies</t>
  </si>
  <si>
    <t>Actual expenses as of 3/31/22</t>
  </si>
  <si>
    <t>Total spent as of 3/31/22</t>
  </si>
  <si>
    <t>District (org 0002113)</t>
  </si>
  <si>
    <t>Districtwide Attendance (org 0002029)</t>
  </si>
  <si>
    <t>Yellowfolder - microfilm processing</t>
  </si>
  <si>
    <t>Special Education Dept (org 0002121)</t>
  </si>
  <si>
    <t>School Board (org 0012071)</t>
  </si>
  <si>
    <t>Personnel Services/HR (org 0012099)</t>
  </si>
  <si>
    <t>Carpet</t>
  </si>
  <si>
    <t>Technology Dept (org 0012100)</t>
  </si>
  <si>
    <t>Chargers</t>
  </si>
  <si>
    <t>TV's &amp; monitors</t>
  </si>
  <si>
    <t>Dry Erase boards</t>
  </si>
  <si>
    <t>AGI protection plan - year coverage</t>
  </si>
  <si>
    <t>Chargers/Adapters/Surge protectors</t>
  </si>
  <si>
    <t>Mounting TV's - installation</t>
  </si>
  <si>
    <t>Custodial supplies</t>
  </si>
  <si>
    <t>Custodial equipment</t>
  </si>
  <si>
    <t>Total 554G allocation is $3,910,930.96</t>
  </si>
  <si>
    <t>Total 554GD allocation is $5,297,784.04</t>
  </si>
  <si>
    <t>Nurse supplements with fringes</t>
  </si>
  <si>
    <t>Health Services (org 0002037)</t>
  </si>
  <si>
    <t>Homeless (org 0002030)</t>
  </si>
  <si>
    <t>Supplement for homeless coordinator</t>
  </si>
  <si>
    <t>Health supplies - masks, audiometers</t>
  </si>
  <si>
    <t>Custodial (org 0002087)</t>
  </si>
  <si>
    <t>Pallet jack</t>
  </si>
  <si>
    <t>Nutrition Services (xxx2101)</t>
  </si>
  <si>
    <t>District office (org 0002118-0610)</t>
  </si>
  <si>
    <t>Summer program 2021 (org 0002118)</t>
  </si>
  <si>
    <t xml:space="preserve">Salary &amp; fringes </t>
  </si>
  <si>
    <t>Curriculum Dept (org 0002118)</t>
  </si>
  <si>
    <t xml:space="preserve">Mastery Connect </t>
  </si>
  <si>
    <t xml:space="preserve">Instructional materials </t>
  </si>
  <si>
    <t xml:space="preserve">Software </t>
  </si>
  <si>
    <t>Summer program 2021 - special ed (org 0002121)</t>
  </si>
  <si>
    <t>ELL (org 0001124)</t>
  </si>
  <si>
    <t>Districtwide Health Services (org 0002732)</t>
  </si>
  <si>
    <t>Food</t>
  </si>
  <si>
    <t>Lesson planning toolkit</t>
  </si>
  <si>
    <t>Hands free water coolers (0172118-0739)</t>
  </si>
  <si>
    <t>Registration</t>
  </si>
  <si>
    <t>TV installations</t>
  </si>
  <si>
    <t>Dreambox</t>
  </si>
  <si>
    <t>Library books</t>
  </si>
  <si>
    <t xml:space="preserve">Computer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</si>
</sst>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 applyFill="1"/>
    <xf numFmtId="164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43" fontId="0" fillId="0" borderId="0" xfId="0" applyNumberFormat="1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53" zoomScaleNormal="100" workbookViewId="0">
      <selection activeCell="B54" sqref="B54"/>
    </sheetView>
  </sheetViews>
  <sheetFormatPr defaultRowHeight="15" x14ac:dyDescent="0.25"/>
  <cols>
    <col min="1" max="1" width="36.42578125" customWidth="1"/>
    <col min="2" max="2" width="37.140625" style="1" customWidth="1"/>
    <col min="3" max="3" width="14" style="1" customWidth="1"/>
    <col min="4" max="4" width="15.42578125" customWidth="1"/>
  </cols>
  <sheetData>
    <row r="1" spans="1:4" x14ac:dyDescent="0.25">
      <c r="A1" t="s">
        <v>0</v>
      </c>
    </row>
    <row r="2" spans="1:4" x14ac:dyDescent="0.25">
      <c r="A2" t="s">
        <v>122</v>
      </c>
    </row>
    <row r="6" spans="1:4" x14ac:dyDescent="0.25">
      <c r="A6" s="2" t="s">
        <v>34</v>
      </c>
      <c r="B6" s="3" t="s">
        <v>2</v>
      </c>
      <c r="C6" s="3" t="s">
        <v>3</v>
      </c>
      <c r="D6" s="2" t="s">
        <v>60</v>
      </c>
    </row>
    <row r="8" spans="1:4" x14ac:dyDescent="0.25">
      <c r="A8" t="s">
        <v>124</v>
      </c>
      <c r="B8" s="1" t="s">
        <v>53</v>
      </c>
      <c r="C8" s="1">
        <v>584194.72</v>
      </c>
      <c r="D8" s="7">
        <f>C8</f>
        <v>584194.72</v>
      </c>
    </row>
    <row r="10" spans="1:4" x14ac:dyDescent="0.25">
      <c r="A10" t="s">
        <v>125</v>
      </c>
      <c r="B10" s="1" t="s">
        <v>126</v>
      </c>
      <c r="C10" s="1">
        <v>20410.5</v>
      </c>
      <c r="D10" s="7">
        <f>C10</f>
        <v>20410.5</v>
      </c>
    </row>
    <row r="12" spans="1:4" x14ac:dyDescent="0.25">
      <c r="A12" t="s">
        <v>127</v>
      </c>
      <c r="B12" s="1" t="s">
        <v>54</v>
      </c>
      <c r="C12" s="1">
        <v>11881.5</v>
      </c>
      <c r="D12" s="7">
        <f>C12</f>
        <v>11881.5</v>
      </c>
    </row>
    <row r="14" spans="1:4" x14ac:dyDescent="0.25">
      <c r="A14" t="s">
        <v>128</v>
      </c>
      <c r="B14" s="1" t="s">
        <v>55</v>
      </c>
      <c r="C14" s="1">
        <f>9166+9166</f>
        <v>18332</v>
      </c>
      <c r="D14" s="7">
        <f>C14</f>
        <v>18332</v>
      </c>
    </row>
    <row r="16" spans="1:4" x14ac:dyDescent="0.25">
      <c r="A16" t="s">
        <v>129</v>
      </c>
      <c r="B16" s="1" t="s">
        <v>130</v>
      </c>
      <c r="C16" s="1">
        <v>2312.0500000000002</v>
      </c>
    </row>
    <row r="17" spans="1:4" x14ac:dyDescent="0.25">
      <c r="A17" t="s">
        <v>129</v>
      </c>
      <c r="B17" s="1" t="s">
        <v>54</v>
      </c>
      <c r="C17" s="1">
        <v>3155.71</v>
      </c>
    </row>
    <row r="18" spans="1:4" x14ac:dyDescent="0.25">
      <c r="A18" t="s">
        <v>129</v>
      </c>
      <c r="B18" s="1" t="s">
        <v>56</v>
      </c>
      <c r="C18" s="1">
        <f>9303+12697</f>
        <v>22000</v>
      </c>
      <c r="D18" s="7">
        <f>C17+C18+C16</f>
        <v>27467.759999999998</v>
      </c>
    </row>
    <row r="20" spans="1:4" x14ac:dyDescent="0.25">
      <c r="A20" t="s">
        <v>61</v>
      </c>
      <c r="B20" s="1" t="s">
        <v>52</v>
      </c>
      <c r="C20" s="1">
        <f>45761+22373+16182</f>
        <v>84316</v>
      </c>
      <c r="D20" s="7">
        <f>C20</f>
        <v>84316</v>
      </c>
    </row>
    <row r="22" spans="1:4" x14ac:dyDescent="0.25">
      <c r="A22" t="s">
        <v>131</v>
      </c>
      <c r="B22" t="s">
        <v>1</v>
      </c>
      <c r="C22" s="1">
        <v>50345</v>
      </c>
    </row>
    <row r="23" spans="1:4" x14ac:dyDescent="0.25">
      <c r="A23" t="s">
        <v>131</v>
      </c>
      <c r="B23" s="1" t="s">
        <v>5</v>
      </c>
      <c r="C23" s="1">
        <v>7000</v>
      </c>
      <c r="D23" s="7">
        <f>C22+C23</f>
        <v>57345</v>
      </c>
    </row>
    <row r="25" spans="1:4" x14ac:dyDescent="0.25">
      <c r="A25" t="s">
        <v>4</v>
      </c>
      <c r="B25" s="1" t="s">
        <v>6</v>
      </c>
      <c r="C25" s="1">
        <f>495.99-430.52</f>
        <v>65.470000000000027</v>
      </c>
      <c r="D25" s="8"/>
    </row>
    <row r="26" spans="1:4" x14ac:dyDescent="0.25">
      <c r="A26" t="s">
        <v>4</v>
      </c>
      <c r="B26" s="1" t="s">
        <v>68</v>
      </c>
      <c r="C26" s="1">
        <v>59900</v>
      </c>
      <c r="D26" s="8">
        <f>C25+C26</f>
        <v>59965.47</v>
      </c>
    </row>
    <row r="28" spans="1:4" x14ac:dyDescent="0.25">
      <c r="A28" t="s">
        <v>7</v>
      </c>
      <c r="B28" s="1" t="s">
        <v>8</v>
      </c>
      <c r="C28" s="1">
        <v>449</v>
      </c>
    </row>
    <row r="29" spans="1:4" x14ac:dyDescent="0.25">
      <c r="A29" t="s">
        <v>7</v>
      </c>
      <c r="B29" s="1" t="s">
        <v>1</v>
      </c>
      <c r="C29" s="1">
        <v>11153.2</v>
      </c>
    </row>
    <row r="30" spans="1:4" x14ac:dyDescent="0.25">
      <c r="A30" t="s">
        <v>7</v>
      </c>
      <c r="B30" s="1" t="s">
        <v>63</v>
      </c>
      <c r="C30" s="1">
        <v>69.3</v>
      </c>
    </row>
    <row r="31" spans="1:4" x14ac:dyDescent="0.25">
      <c r="A31" t="s">
        <v>7</v>
      </c>
      <c r="B31" s="1" t="s">
        <v>64</v>
      </c>
      <c r="C31" s="1">
        <v>627.24</v>
      </c>
      <c r="D31" s="7">
        <f>SUM(C28:C31)</f>
        <v>12298.74</v>
      </c>
    </row>
    <row r="33" spans="1:4" x14ac:dyDescent="0.25">
      <c r="A33" t="s">
        <v>62</v>
      </c>
      <c r="B33" s="1" t="s">
        <v>9</v>
      </c>
      <c r="C33" s="1">
        <v>234.18</v>
      </c>
    </row>
    <row r="34" spans="1:4" x14ac:dyDescent="0.25">
      <c r="A34" t="s">
        <v>62</v>
      </c>
      <c r="B34" s="1" t="s">
        <v>10</v>
      </c>
      <c r="C34" s="1">
        <v>5248.88</v>
      </c>
    </row>
    <row r="35" spans="1:4" x14ac:dyDescent="0.25">
      <c r="A35" t="s">
        <v>62</v>
      </c>
      <c r="B35" s="1" t="s">
        <v>11</v>
      </c>
      <c r="C35" s="1">
        <f>471.66</f>
        <v>471.66</v>
      </c>
    </row>
    <row r="36" spans="1:4" x14ac:dyDescent="0.25">
      <c r="A36" t="s">
        <v>62</v>
      </c>
      <c r="B36" s="1" t="s">
        <v>1</v>
      </c>
      <c r="C36" s="1">
        <v>6586.75</v>
      </c>
    </row>
    <row r="37" spans="1:4" x14ac:dyDescent="0.25">
      <c r="A37" t="s">
        <v>62</v>
      </c>
      <c r="B37" s="1" t="s">
        <v>132</v>
      </c>
      <c r="C37" s="1">
        <f>189.7+89.85</f>
        <v>279.54999999999995</v>
      </c>
    </row>
    <row r="38" spans="1:4" x14ac:dyDescent="0.25">
      <c r="A38" t="s">
        <v>62</v>
      </c>
      <c r="B38" s="1" t="s">
        <v>12</v>
      </c>
      <c r="C38" s="1">
        <v>19908</v>
      </c>
      <c r="D38" s="8">
        <f>SUM(C33:C38)</f>
        <v>32729.02</v>
      </c>
    </row>
    <row r="40" spans="1:4" x14ac:dyDescent="0.25">
      <c r="A40" t="s">
        <v>13</v>
      </c>
      <c r="B40" s="1" t="s">
        <v>14</v>
      </c>
      <c r="C40" s="1">
        <f>2218+439.9+774+414.75+145.5+84.24</f>
        <v>4076.39</v>
      </c>
    </row>
    <row r="41" spans="1:4" x14ac:dyDescent="0.25">
      <c r="A41" t="s">
        <v>13</v>
      </c>
      <c r="B41" s="1" t="s">
        <v>15</v>
      </c>
      <c r="C41" s="1">
        <f>4864.14+19374+3109.86+16241.36</f>
        <v>43589.36</v>
      </c>
    </row>
    <row r="42" spans="1:4" x14ac:dyDescent="0.25">
      <c r="A42" t="s">
        <v>13</v>
      </c>
      <c r="B42" s="1" t="s">
        <v>12</v>
      </c>
      <c r="C42" s="1">
        <v>3384</v>
      </c>
    </row>
    <row r="43" spans="1:4" x14ac:dyDescent="0.25">
      <c r="A43" t="s">
        <v>13</v>
      </c>
      <c r="B43" s="1" t="s">
        <v>20</v>
      </c>
      <c r="C43" s="1">
        <f>20580+27965</f>
        <v>48545</v>
      </c>
    </row>
    <row r="44" spans="1:4" x14ac:dyDescent="0.25">
      <c r="A44" t="s">
        <v>13</v>
      </c>
      <c r="B44" s="1" t="s">
        <v>59</v>
      </c>
      <c r="C44" s="1">
        <v>5340</v>
      </c>
    </row>
    <row r="45" spans="1:4" x14ac:dyDescent="0.25">
      <c r="A45" t="s">
        <v>13</v>
      </c>
      <c r="B45" s="1" t="s">
        <v>16</v>
      </c>
      <c r="C45" s="1">
        <v>6286</v>
      </c>
    </row>
    <row r="46" spans="1:4" x14ac:dyDescent="0.25">
      <c r="A46" t="s">
        <v>13</v>
      </c>
      <c r="B46" s="1" t="s">
        <v>17</v>
      </c>
      <c r="C46" s="1">
        <v>4470</v>
      </c>
    </row>
    <row r="47" spans="1:4" x14ac:dyDescent="0.25">
      <c r="A47" t="s">
        <v>13</v>
      </c>
      <c r="B47" s="1" t="s">
        <v>10</v>
      </c>
      <c r="C47" s="1">
        <v>14996.8</v>
      </c>
    </row>
    <row r="48" spans="1:4" x14ac:dyDescent="0.25">
      <c r="A48" t="s">
        <v>13</v>
      </c>
      <c r="B48" s="1" t="s">
        <v>136</v>
      </c>
      <c r="C48" s="1">
        <f>4590.59+3814</f>
        <v>8404.59</v>
      </c>
    </row>
    <row r="49" spans="1:4" x14ac:dyDescent="0.25">
      <c r="A49" t="s">
        <v>13</v>
      </c>
      <c r="B49" s="1" t="s">
        <v>134</v>
      </c>
      <c r="C49" s="1">
        <v>5632.87</v>
      </c>
    </row>
    <row r="50" spans="1:4" x14ac:dyDescent="0.25">
      <c r="A50" t="s">
        <v>13</v>
      </c>
      <c r="B50" s="1" t="s">
        <v>135</v>
      </c>
      <c r="C50" s="1">
        <v>15295</v>
      </c>
    </row>
    <row r="51" spans="1:4" x14ac:dyDescent="0.25">
      <c r="A51" t="s">
        <v>13</v>
      </c>
      <c r="B51" s="1" t="s">
        <v>137</v>
      </c>
      <c r="C51" s="1">
        <f>11344.99-1950</f>
        <v>9394.99</v>
      </c>
    </row>
    <row r="52" spans="1:4" x14ac:dyDescent="0.25">
      <c r="A52" t="s">
        <v>13</v>
      </c>
      <c r="B52" s="1" t="s">
        <v>133</v>
      </c>
      <c r="C52" s="1">
        <f>2447.34+576.63+341.98</f>
        <v>3365.9500000000003</v>
      </c>
    </row>
    <row r="53" spans="1:4" x14ac:dyDescent="0.25">
      <c r="A53" t="s">
        <v>13</v>
      </c>
      <c r="B53" s="1" t="s">
        <v>58</v>
      </c>
      <c r="C53" s="1">
        <v>23295</v>
      </c>
      <c r="D53" s="7">
        <f>SUM(C40:C53)</f>
        <v>196075.95</v>
      </c>
    </row>
    <row r="56" spans="1:4" x14ac:dyDescent="0.25">
      <c r="A56" t="s">
        <v>18</v>
      </c>
      <c r="B56" s="1" t="s">
        <v>14</v>
      </c>
      <c r="C56" s="1">
        <f>2015+6800+6996.5</f>
        <v>15811.5</v>
      </c>
    </row>
    <row r="57" spans="1:4" x14ac:dyDescent="0.25">
      <c r="A57" t="s">
        <v>18</v>
      </c>
      <c r="B57" s="1" t="s">
        <v>11</v>
      </c>
      <c r="C57" s="1">
        <v>4042.8</v>
      </c>
    </row>
    <row r="58" spans="1:4" x14ac:dyDescent="0.25">
      <c r="A58" t="s">
        <v>18</v>
      </c>
      <c r="B58" s="1" t="s">
        <v>17</v>
      </c>
      <c r="C58" s="1">
        <v>10430</v>
      </c>
    </row>
    <row r="59" spans="1:4" x14ac:dyDescent="0.25">
      <c r="A59" t="s">
        <v>18</v>
      </c>
      <c r="B59" s="1" t="s">
        <v>19</v>
      </c>
      <c r="C59" s="1">
        <v>12250</v>
      </c>
    </row>
    <row r="60" spans="1:4" x14ac:dyDescent="0.25">
      <c r="A60" t="s">
        <v>18</v>
      </c>
      <c r="B60" s="1" t="s">
        <v>20</v>
      </c>
      <c r="C60" s="1">
        <f>20580+73500</f>
        <v>94080</v>
      </c>
    </row>
    <row r="61" spans="1:4" x14ac:dyDescent="0.25">
      <c r="A61" t="s">
        <v>18</v>
      </c>
      <c r="B61" s="1" t="s">
        <v>21</v>
      </c>
      <c r="C61" s="1">
        <v>23200</v>
      </c>
    </row>
    <row r="62" spans="1:4" x14ac:dyDescent="0.25">
      <c r="A62" t="s">
        <v>18</v>
      </c>
      <c r="B62" s="1" t="s">
        <v>66</v>
      </c>
      <c r="C62" s="1">
        <v>2500</v>
      </c>
    </row>
    <row r="63" spans="1:4" x14ac:dyDescent="0.25">
      <c r="A63" t="s">
        <v>18</v>
      </c>
      <c r="B63" s="1" t="s">
        <v>22</v>
      </c>
      <c r="C63" s="1">
        <v>5530</v>
      </c>
    </row>
    <row r="64" spans="1:4" x14ac:dyDescent="0.25">
      <c r="A64" t="s">
        <v>18</v>
      </c>
      <c r="B64" s="1" t="s">
        <v>10</v>
      </c>
      <c r="C64" s="1">
        <v>44990.400000000001</v>
      </c>
    </row>
    <row r="65" spans="1:4" x14ac:dyDescent="0.25">
      <c r="A65" t="s">
        <v>18</v>
      </c>
      <c r="B65" s="1" t="s">
        <v>65</v>
      </c>
      <c r="C65" s="1">
        <f>3600+3600+2736</f>
        <v>9936</v>
      </c>
    </row>
    <row r="66" spans="1:4" x14ac:dyDescent="0.25">
      <c r="A66" t="s">
        <v>18</v>
      </c>
      <c r="B66" s="1" t="s">
        <v>67</v>
      </c>
      <c r="C66" s="1">
        <v>12487.5</v>
      </c>
    </row>
    <row r="67" spans="1:4" x14ac:dyDescent="0.25">
      <c r="A67" t="s">
        <v>18</v>
      </c>
      <c r="B67" s="1" t="s">
        <v>24</v>
      </c>
      <c r="C67" s="1">
        <v>24987.5</v>
      </c>
      <c r="D67" s="7">
        <f>SUM(C56:C67)</f>
        <v>260245.69999999998</v>
      </c>
    </row>
    <row r="69" spans="1:4" x14ac:dyDescent="0.25">
      <c r="A69" t="s">
        <v>23</v>
      </c>
      <c r="B69" s="1" t="s">
        <v>20</v>
      </c>
      <c r="C69" s="1">
        <v>26460</v>
      </c>
    </row>
    <row r="70" spans="1:4" x14ac:dyDescent="0.25">
      <c r="A70" t="s">
        <v>23</v>
      </c>
      <c r="B70" s="1" t="s">
        <v>54</v>
      </c>
      <c r="C70" s="1">
        <v>37153.5</v>
      </c>
    </row>
    <row r="71" spans="1:4" x14ac:dyDescent="0.25">
      <c r="A71" t="s">
        <v>23</v>
      </c>
      <c r="B71" s="1" t="s">
        <v>57</v>
      </c>
      <c r="C71" s="1">
        <v>74245</v>
      </c>
    </row>
    <row r="72" spans="1:4" x14ac:dyDescent="0.25">
      <c r="A72" t="s">
        <v>23</v>
      </c>
      <c r="B72" s="1" t="s">
        <v>22</v>
      </c>
      <c r="C72" s="1">
        <v>4410</v>
      </c>
    </row>
    <row r="73" spans="1:4" x14ac:dyDescent="0.25">
      <c r="A73" t="s">
        <v>23</v>
      </c>
      <c r="B73" s="1" t="s">
        <v>24</v>
      </c>
      <c r="C73" s="1">
        <v>8995.5</v>
      </c>
      <c r="D73" s="7">
        <f>SUM(C69:C73)</f>
        <v>151264</v>
      </c>
    </row>
    <row r="75" spans="1:4" x14ac:dyDescent="0.25">
      <c r="A75" t="s">
        <v>25</v>
      </c>
      <c r="B75" s="1" t="s">
        <v>68</v>
      </c>
      <c r="C75" s="1">
        <v>38320</v>
      </c>
    </row>
    <row r="76" spans="1:4" x14ac:dyDescent="0.25">
      <c r="A76" t="s">
        <v>25</v>
      </c>
      <c r="B76" s="1" t="s">
        <v>57</v>
      </c>
      <c r="C76" s="1">
        <f>4790+17100</f>
        <v>21890</v>
      </c>
    </row>
    <row r="77" spans="1:4" x14ac:dyDescent="0.25">
      <c r="A77" t="s">
        <v>25</v>
      </c>
      <c r="B77" s="1" t="s">
        <v>69</v>
      </c>
      <c r="C77" s="1">
        <v>1071.96</v>
      </c>
    </row>
    <row r="78" spans="1:4" x14ac:dyDescent="0.25">
      <c r="A78" t="s">
        <v>25</v>
      </c>
      <c r="B78" s="1" t="s">
        <v>70</v>
      </c>
      <c r="C78" s="1">
        <v>6187.93</v>
      </c>
    </row>
    <row r="79" spans="1:4" x14ac:dyDescent="0.25">
      <c r="A79" t="s">
        <v>25</v>
      </c>
      <c r="B79" s="1" t="s">
        <v>1</v>
      </c>
      <c r="C79" s="1">
        <v>10096.5</v>
      </c>
    </row>
    <row r="80" spans="1:4" x14ac:dyDescent="0.25">
      <c r="A80" t="s">
        <v>25</v>
      </c>
      <c r="B80" s="1" t="s">
        <v>138</v>
      </c>
      <c r="C80" s="1">
        <v>1475.85</v>
      </c>
    </row>
    <row r="81" spans="1:4" x14ac:dyDescent="0.25">
      <c r="A81" t="s">
        <v>25</v>
      </c>
      <c r="B81" s="1" t="s">
        <v>8</v>
      </c>
      <c r="C81" s="1">
        <v>5388</v>
      </c>
      <c r="D81" s="7">
        <f>SUM(C75:C81)</f>
        <v>84430.24</v>
      </c>
    </row>
    <row r="83" spans="1:4" x14ac:dyDescent="0.25">
      <c r="A83" t="s">
        <v>26</v>
      </c>
      <c r="B83" s="1" t="s">
        <v>11</v>
      </c>
      <c r="C83" s="1">
        <v>943.32</v>
      </c>
    </row>
    <row r="84" spans="1:4" x14ac:dyDescent="0.25">
      <c r="A84" t="s">
        <v>26</v>
      </c>
      <c r="B84" s="1" t="s">
        <v>22</v>
      </c>
      <c r="C84" s="1">
        <v>17380</v>
      </c>
    </row>
    <row r="85" spans="1:4" x14ac:dyDescent="0.25">
      <c r="A85" t="s">
        <v>26</v>
      </c>
      <c r="B85" s="1" t="s">
        <v>20</v>
      </c>
      <c r="C85" s="1">
        <v>64680</v>
      </c>
    </row>
    <row r="86" spans="1:4" x14ac:dyDescent="0.25">
      <c r="A86" t="s">
        <v>26</v>
      </c>
      <c r="B86" s="1" t="s">
        <v>24</v>
      </c>
      <c r="C86" s="1">
        <v>21989</v>
      </c>
    </row>
    <row r="87" spans="1:4" x14ac:dyDescent="0.25">
      <c r="A87" t="s">
        <v>26</v>
      </c>
      <c r="B87" s="1" t="s">
        <v>10</v>
      </c>
      <c r="C87" s="1">
        <v>8490.02</v>
      </c>
    </row>
    <row r="88" spans="1:4" x14ac:dyDescent="0.25">
      <c r="A88" t="s">
        <v>26</v>
      </c>
      <c r="B88" s="1" t="s">
        <v>54</v>
      </c>
      <c r="C88" s="1">
        <f>37022.37-825</f>
        <v>36197.370000000003</v>
      </c>
    </row>
    <row r="89" spans="1:4" x14ac:dyDescent="0.25">
      <c r="A89" t="s">
        <v>26</v>
      </c>
      <c r="B89" s="1" t="s">
        <v>27</v>
      </c>
      <c r="C89" s="1">
        <v>1954</v>
      </c>
      <c r="D89" s="7">
        <f>SUM(C83:C89)</f>
        <v>151633.71000000002</v>
      </c>
    </row>
    <row r="91" spans="1:4" x14ac:dyDescent="0.25">
      <c r="A91" t="s">
        <v>28</v>
      </c>
      <c r="B91" s="1" t="s">
        <v>29</v>
      </c>
      <c r="C91" s="1">
        <v>5082.2</v>
      </c>
    </row>
    <row r="92" spans="1:4" x14ac:dyDescent="0.25">
      <c r="A92" t="s">
        <v>28</v>
      </c>
      <c r="B92" s="1" t="s">
        <v>30</v>
      </c>
      <c r="C92" s="1">
        <v>9978</v>
      </c>
      <c r="D92" s="7"/>
    </row>
    <row r="93" spans="1:4" x14ac:dyDescent="0.25">
      <c r="A93" t="s">
        <v>28</v>
      </c>
      <c r="B93" s="1" t="s">
        <v>1</v>
      </c>
      <c r="C93" s="1">
        <v>33544.400000000001</v>
      </c>
    </row>
    <row r="94" spans="1:4" x14ac:dyDescent="0.25">
      <c r="A94" t="s">
        <v>28</v>
      </c>
      <c r="B94" s="1" t="s">
        <v>57</v>
      </c>
      <c r="C94" s="1">
        <f>38320+28740</f>
        <v>67060</v>
      </c>
    </row>
    <row r="95" spans="1:4" x14ac:dyDescent="0.25">
      <c r="A95" t="s">
        <v>28</v>
      </c>
      <c r="B95" s="1" t="s">
        <v>71</v>
      </c>
      <c r="C95" s="1">
        <v>33621</v>
      </c>
    </row>
    <row r="96" spans="1:4" x14ac:dyDescent="0.25">
      <c r="A96" t="s">
        <v>28</v>
      </c>
      <c r="B96" s="1" t="s">
        <v>139</v>
      </c>
      <c r="C96" s="1">
        <v>1478.06</v>
      </c>
    </row>
    <row r="97" spans="1:6" x14ac:dyDescent="0.25">
      <c r="A97" t="s">
        <v>28</v>
      </c>
      <c r="B97" s="1" t="s">
        <v>54</v>
      </c>
      <c r="C97" s="1">
        <v>22967.279999999999</v>
      </c>
      <c r="D97" s="7">
        <f>SUM(C91:C97)</f>
        <v>173730.94</v>
      </c>
    </row>
    <row r="99" spans="1:6" x14ac:dyDescent="0.25">
      <c r="A99" t="s">
        <v>31</v>
      </c>
      <c r="B99" s="1" t="s">
        <v>20</v>
      </c>
      <c r="C99" s="1">
        <v>11760</v>
      </c>
    </row>
    <row r="100" spans="1:6" x14ac:dyDescent="0.25">
      <c r="A100" t="s">
        <v>31</v>
      </c>
      <c r="B100" s="1" t="s">
        <v>54</v>
      </c>
      <c r="C100" s="1">
        <v>46576.53</v>
      </c>
    </row>
    <row r="101" spans="1:6" x14ac:dyDescent="0.25">
      <c r="A101" t="s">
        <v>31</v>
      </c>
      <c r="B101" s="1" t="s">
        <v>57</v>
      </c>
      <c r="C101" s="1">
        <v>69455</v>
      </c>
    </row>
    <row r="102" spans="1:6" x14ac:dyDescent="0.25">
      <c r="A102" t="s">
        <v>31</v>
      </c>
      <c r="B102" s="1" t="s">
        <v>22</v>
      </c>
      <c r="C102" s="1">
        <v>3160</v>
      </c>
    </row>
    <row r="103" spans="1:6" x14ac:dyDescent="0.25">
      <c r="A103" t="s">
        <v>31</v>
      </c>
      <c r="B103" s="1" t="s">
        <v>1</v>
      </c>
      <c r="C103" s="1">
        <v>10211.75</v>
      </c>
    </row>
    <row r="104" spans="1:6" x14ac:dyDescent="0.25">
      <c r="A104" t="s">
        <v>31</v>
      </c>
      <c r="B104" s="1" t="s">
        <v>24</v>
      </c>
      <c r="C104" s="1">
        <v>3998</v>
      </c>
      <c r="D104" s="7">
        <f>SUM(C99:C104)</f>
        <v>145161.28</v>
      </c>
    </row>
    <row r="106" spans="1:6" x14ac:dyDescent="0.25">
      <c r="A106" t="s">
        <v>47</v>
      </c>
      <c r="B106" s="1" t="s">
        <v>72</v>
      </c>
      <c r="C106" s="1">
        <v>9595.48</v>
      </c>
      <c r="D106" s="7">
        <f>C106</f>
        <v>9595.48</v>
      </c>
    </row>
    <row r="108" spans="1:6" x14ac:dyDescent="0.25">
      <c r="A108" t="s">
        <v>32</v>
      </c>
      <c r="C108" s="1">
        <v>6358.85</v>
      </c>
    </row>
    <row r="109" spans="1:6" x14ac:dyDescent="0.25">
      <c r="A109" t="s">
        <v>32</v>
      </c>
      <c r="B109" s="1" t="s">
        <v>33</v>
      </c>
      <c r="C109" s="1">
        <v>970</v>
      </c>
      <c r="D109" s="7">
        <f>C108+C109</f>
        <v>7328.85</v>
      </c>
    </row>
    <row r="111" spans="1:6" x14ac:dyDescent="0.25">
      <c r="A111" t="s">
        <v>123</v>
      </c>
      <c r="C111" s="1">
        <f>SUM(C2:C109)</f>
        <v>2088406.8600000003</v>
      </c>
      <c r="D111" s="1">
        <f>SUM(D2:D109)</f>
        <v>2088406.8599999999</v>
      </c>
      <c r="F111" s="5">
        <f>D111/3910930.96</f>
        <v>0.53399225947982465</v>
      </c>
    </row>
    <row r="114" spans="1:1" x14ac:dyDescent="0.25">
      <c r="A114" t="s">
        <v>140</v>
      </c>
    </row>
    <row r="116" spans="1:1" x14ac:dyDescent="0.25">
      <c r="A116" t="s">
        <v>51</v>
      </c>
    </row>
  </sheetData>
  <pageMargins left="0.45" right="0.2" top="0.75" bottom="0.75" header="0.3" footer="0.3"/>
  <pageSetup scale="79" orientation="portrait" r:id="rId1"/>
  <headerFooter>
    <oddFooter>&amp;A</oddFoot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106" zoomScaleNormal="100" workbookViewId="0">
      <selection activeCell="C128" sqref="C128"/>
    </sheetView>
  </sheetViews>
  <sheetFormatPr defaultRowHeight="15" x14ac:dyDescent="0.25"/>
  <cols>
    <col min="1" max="1" width="46.140625" customWidth="1"/>
    <col min="2" max="2" width="50.7109375" style="1" customWidth="1"/>
    <col min="3" max="3" width="14" style="1" customWidth="1"/>
    <col min="4" max="4" width="13.28515625" customWidth="1"/>
  </cols>
  <sheetData>
    <row r="1" spans="1:4" x14ac:dyDescent="0.25">
      <c r="A1" t="s">
        <v>0</v>
      </c>
    </row>
    <row r="2" spans="1:4" x14ac:dyDescent="0.25">
      <c r="A2" t="s">
        <v>122</v>
      </c>
    </row>
    <row r="6" spans="1:4" x14ac:dyDescent="0.25">
      <c r="A6" s="2" t="s">
        <v>34</v>
      </c>
      <c r="B6" s="3" t="s">
        <v>2</v>
      </c>
      <c r="C6" s="3" t="s">
        <v>3</v>
      </c>
      <c r="D6" s="2" t="s">
        <v>60</v>
      </c>
    </row>
    <row r="8" spans="1:4" x14ac:dyDescent="0.25">
      <c r="A8" t="s">
        <v>144</v>
      </c>
      <c r="B8" s="1" t="s">
        <v>145</v>
      </c>
      <c r="C8" s="1">
        <f>687.5+687.5+42.01+42.01+9.82+9.82+185.28+185.28</f>
        <v>1849.2199999999998</v>
      </c>
      <c r="D8" s="7">
        <f>C8</f>
        <v>1849.2199999999998</v>
      </c>
    </row>
    <row r="10" spans="1:4" x14ac:dyDescent="0.25">
      <c r="A10" t="s">
        <v>143</v>
      </c>
      <c r="B10" s="1" t="s">
        <v>142</v>
      </c>
      <c r="C10" s="1">
        <f>13762.5+545.6+199.56+799.22+2371.6+84.62+84.62+84.62+84.62+5.25+5.25+5.25+5.25+1.23+1.23+1.23+1.23+22.81+22.81+22.81+22.81</f>
        <v>18134.12</v>
      </c>
    </row>
    <row r="11" spans="1:4" x14ac:dyDescent="0.25">
      <c r="A11" t="s">
        <v>143</v>
      </c>
      <c r="B11" s="1" t="s">
        <v>73</v>
      </c>
      <c r="C11" s="1">
        <f>4634.5+1330+1197+1406+1349+1064+1311+1064+798+1064+1064+1064+1330</f>
        <v>18675.5</v>
      </c>
    </row>
    <row r="12" spans="1:4" x14ac:dyDescent="0.25">
      <c r="A12" t="s">
        <v>143</v>
      </c>
      <c r="B12" s="1" t="s">
        <v>146</v>
      </c>
      <c r="C12" s="1">
        <f>1301.92+295+320+10041</f>
        <v>11957.92</v>
      </c>
    </row>
    <row r="13" spans="1:4" x14ac:dyDescent="0.25">
      <c r="A13" t="s">
        <v>143</v>
      </c>
      <c r="B13" s="1" t="s">
        <v>74</v>
      </c>
      <c r="C13" s="1">
        <v>47200</v>
      </c>
      <c r="D13" s="7">
        <f>SUM(C10:C13)</f>
        <v>95967.54</v>
      </c>
    </row>
    <row r="15" spans="1:4" x14ac:dyDescent="0.25">
      <c r="A15" t="s">
        <v>147</v>
      </c>
      <c r="B15" s="1" t="s">
        <v>148</v>
      </c>
      <c r="C15" s="1">
        <v>1051.1600000000001</v>
      </c>
    </row>
    <row r="16" spans="1:4" x14ac:dyDescent="0.25">
      <c r="A16" t="s">
        <v>147</v>
      </c>
      <c r="B16" s="1" t="s">
        <v>75</v>
      </c>
      <c r="C16" s="1">
        <v>8116.98</v>
      </c>
      <c r="D16" s="7">
        <f>C15+C16</f>
        <v>9168.14</v>
      </c>
    </row>
    <row r="18" spans="1:4" x14ac:dyDescent="0.25">
      <c r="A18" t="s">
        <v>149</v>
      </c>
      <c r="B18" s="1" t="s">
        <v>35</v>
      </c>
      <c r="C18" s="1">
        <f>35461.35+14178.43+167307.17+40347.31+22171.95+35841.9+41823.77+53501.93</f>
        <v>410633.81000000006</v>
      </c>
      <c r="D18" s="7">
        <f>C18</f>
        <v>410633.81000000006</v>
      </c>
    </row>
    <row r="20" spans="1:4" x14ac:dyDescent="0.25">
      <c r="A20" t="s">
        <v>151</v>
      </c>
      <c r="B20" s="1" t="s">
        <v>152</v>
      </c>
      <c r="C20" s="1">
        <f>280147.5+129660.3+18.96+6238.84+5924.18+49665.36+25254.71+737.5+9.95+118.77</f>
        <v>497776.07000000007</v>
      </c>
      <c r="D20" s="7"/>
    </row>
    <row r="22" spans="1:4" x14ac:dyDescent="0.25">
      <c r="A22" t="s">
        <v>150</v>
      </c>
      <c r="B22" s="1" t="s">
        <v>48</v>
      </c>
      <c r="C22" s="1">
        <v>678</v>
      </c>
    </row>
    <row r="24" spans="1:4" x14ac:dyDescent="0.25">
      <c r="A24" t="s">
        <v>153</v>
      </c>
      <c r="B24" s="1" t="s">
        <v>154</v>
      </c>
      <c r="C24" s="1">
        <v>40042.71</v>
      </c>
    </row>
    <row r="25" spans="1:4" x14ac:dyDescent="0.25">
      <c r="A25" t="s">
        <v>153</v>
      </c>
      <c r="B25" s="1" t="s">
        <v>155</v>
      </c>
      <c r="C25" s="1">
        <f>129661.3+12.64</f>
        <v>129673.94</v>
      </c>
    </row>
    <row r="26" spans="1:4" x14ac:dyDescent="0.25">
      <c r="A26" t="s">
        <v>153</v>
      </c>
      <c r="B26" s="1" t="s">
        <v>156</v>
      </c>
      <c r="C26" s="1">
        <f>316178.38-40042.71</f>
        <v>276135.67</v>
      </c>
      <c r="D26" s="7">
        <f>C20+C22+SUM(C24:C26)</f>
        <v>944306.39</v>
      </c>
    </row>
    <row r="29" spans="1:4" x14ac:dyDescent="0.25">
      <c r="A29" t="s">
        <v>157</v>
      </c>
      <c r="B29" s="1" t="s">
        <v>152</v>
      </c>
      <c r="C29" s="1">
        <f>16150+13303.6+823.97+426.44+2600.97+3557.49+2307</f>
        <v>39169.469999999994</v>
      </c>
      <c r="D29" s="7">
        <f>C29</f>
        <v>39169.469999999994</v>
      </c>
    </row>
    <row r="31" spans="1:4" x14ac:dyDescent="0.25">
      <c r="A31" t="s">
        <v>158</v>
      </c>
      <c r="B31" s="1" t="s">
        <v>152</v>
      </c>
      <c r="C31" s="1">
        <v>34681.160000000003</v>
      </c>
      <c r="D31" s="7">
        <f>C31</f>
        <v>34681.160000000003</v>
      </c>
    </row>
    <row r="33" spans="1:4" x14ac:dyDescent="0.25">
      <c r="A33" t="s">
        <v>159</v>
      </c>
      <c r="B33" s="1" t="s">
        <v>76</v>
      </c>
      <c r="C33" s="1">
        <v>55920.5</v>
      </c>
      <c r="D33" s="7">
        <f>C33</f>
        <v>55920.5</v>
      </c>
    </row>
    <row r="35" spans="1:4" x14ac:dyDescent="0.25">
      <c r="A35" s="1" t="s">
        <v>77</v>
      </c>
      <c r="B35" s="1" t="s">
        <v>79</v>
      </c>
      <c r="C35" s="1">
        <v>19920</v>
      </c>
      <c r="D35" s="7"/>
    </row>
    <row r="36" spans="1:4" ht="15.75" x14ac:dyDescent="0.25">
      <c r="A36" s="9" t="s">
        <v>81</v>
      </c>
      <c r="B36" s="1" t="s">
        <v>80</v>
      </c>
      <c r="C36" s="1">
        <v>17700</v>
      </c>
      <c r="D36" s="7"/>
    </row>
    <row r="37" spans="1:4" x14ac:dyDescent="0.25">
      <c r="A37" s="1"/>
      <c r="B37" s="1" t="s">
        <v>78</v>
      </c>
      <c r="C37" s="1">
        <f>1050.34+525.42+3256.18+4729.79</f>
        <v>9561.73</v>
      </c>
      <c r="D37" s="7">
        <f>SUM(C35:C37)</f>
        <v>47181.729999999996</v>
      </c>
    </row>
    <row r="38" spans="1:4" x14ac:dyDescent="0.25">
      <c r="A38" s="1"/>
      <c r="D38" s="7"/>
    </row>
    <row r="39" spans="1:4" x14ac:dyDescent="0.25">
      <c r="A39" t="s">
        <v>4</v>
      </c>
      <c r="B39" s="1" t="s">
        <v>103</v>
      </c>
      <c r="C39" s="1">
        <v>5910.72</v>
      </c>
      <c r="D39" s="7">
        <f>C39</f>
        <v>5910.72</v>
      </c>
    </row>
    <row r="40" spans="1:4" x14ac:dyDescent="0.25">
      <c r="A40" t="s">
        <v>4</v>
      </c>
      <c r="B40" s="1" t="s">
        <v>36</v>
      </c>
      <c r="C40" s="1">
        <f>149.84+507.6+1550.39+1993.8</f>
        <v>4201.63</v>
      </c>
    </row>
    <row r="41" spans="1:4" x14ac:dyDescent="0.25">
      <c r="A41" t="s">
        <v>4</v>
      </c>
      <c r="B41" s="1" t="s">
        <v>37</v>
      </c>
      <c r="C41" s="1">
        <v>1691</v>
      </c>
    </row>
    <row r="42" spans="1:4" x14ac:dyDescent="0.25">
      <c r="A42" t="s">
        <v>4</v>
      </c>
      <c r="B42" s="1" t="s">
        <v>160</v>
      </c>
      <c r="C42" s="1">
        <v>96.75</v>
      </c>
    </row>
    <row r="43" spans="1:4" x14ac:dyDescent="0.25">
      <c r="A43" t="s">
        <v>4</v>
      </c>
      <c r="B43" s="1" t="s">
        <v>82</v>
      </c>
      <c r="C43" s="1">
        <f>429.75+904+306.45+229.88+35.08</f>
        <v>1905.1599999999999</v>
      </c>
      <c r="D43" s="7"/>
    </row>
    <row r="44" spans="1:4" x14ac:dyDescent="0.25">
      <c r="A44" t="s">
        <v>4</v>
      </c>
      <c r="B44" s="1" t="s">
        <v>83</v>
      </c>
      <c r="C44" s="1">
        <f>1400+100</f>
        <v>1500</v>
      </c>
      <c r="D44" s="7">
        <f>SUM(C40:C44)</f>
        <v>9394.5400000000009</v>
      </c>
    </row>
    <row r="46" spans="1:4" x14ac:dyDescent="0.25">
      <c r="A46" t="s">
        <v>7</v>
      </c>
      <c r="B46" s="1" t="s">
        <v>102</v>
      </c>
      <c r="C46" s="1">
        <v>5098.1400000000003</v>
      </c>
      <c r="D46" s="7">
        <f>C46</f>
        <v>5098.1400000000003</v>
      </c>
    </row>
    <row r="47" spans="1:4" x14ac:dyDescent="0.25">
      <c r="A47" t="s">
        <v>7</v>
      </c>
      <c r="B47" s="1" t="s">
        <v>82</v>
      </c>
      <c r="C47" s="1">
        <f>178.66+37.19+202.99</f>
        <v>418.84000000000003</v>
      </c>
      <c r="D47" s="7"/>
    </row>
    <row r="48" spans="1:4" x14ac:dyDescent="0.25">
      <c r="A48" t="s">
        <v>7</v>
      </c>
      <c r="B48" s="1" t="s">
        <v>38</v>
      </c>
      <c r="C48" s="1">
        <v>226</v>
      </c>
      <c r="D48" s="7">
        <f>C47+C48</f>
        <v>644.84</v>
      </c>
    </row>
    <row r="50" spans="1:4" x14ac:dyDescent="0.25">
      <c r="A50" t="s">
        <v>62</v>
      </c>
      <c r="B50" s="1" t="s">
        <v>101</v>
      </c>
      <c r="C50" s="1">
        <v>6501.66</v>
      </c>
      <c r="D50" s="7">
        <f>C50</f>
        <v>6501.66</v>
      </c>
    </row>
    <row r="51" spans="1:4" x14ac:dyDescent="0.25">
      <c r="A51" t="s">
        <v>62</v>
      </c>
      <c r="B51" s="1" t="s">
        <v>84</v>
      </c>
      <c r="C51" s="1">
        <f>1964.4+27.95+322.19</f>
        <v>2314.54</v>
      </c>
      <c r="D51" s="7"/>
    </row>
    <row r="52" spans="1:4" x14ac:dyDescent="0.25">
      <c r="A52" t="s">
        <v>62</v>
      </c>
      <c r="B52" s="1" t="s">
        <v>48</v>
      </c>
      <c r="C52" s="1">
        <v>452</v>
      </c>
      <c r="D52" s="7"/>
    </row>
    <row r="53" spans="1:4" x14ac:dyDescent="0.25">
      <c r="A53" t="s">
        <v>62</v>
      </c>
      <c r="B53" s="1" t="s">
        <v>161</v>
      </c>
      <c r="C53" s="1">
        <v>525</v>
      </c>
      <c r="D53" s="7">
        <f>SUM(C51:C53)</f>
        <v>3291.54</v>
      </c>
    </row>
    <row r="55" spans="1:4" x14ac:dyDescent="0.25">
      <c r="A55" t="s">
        <v>13</v>
      </c>
      <c r="B55" s="1" t="s">
        <v>100</v>
      </c>
      <c r="C55" s="1">
        <v>9543.0400000000009</v>
      </c>
      <c r="D55" s="7">
        <f>C55</f>
        <v>9543.0400000000009</v>
      </c>
    </row>
    <row r="56" spans="1:4" x14ac:dyDescent="0.25">
      <c r="A56" t="s">
        <v>13</v>
      </c>
      <c r="B56" s="1" t="s">
        <v>85</v>
      </c>
      <c r="C56" s="1">
        <f>11293.8+163.3+1828.85-C57</f>
        <v>9965.0499999999993</v>
      </c>
    </row>
    <row r="57" spans="1:4" x14ac:dyDescent="0.25">
      <c r="A57" t="s">
        <v>13</v>
      </c>
      <c r="B57" t="s">
        <v>39</v>
      </c>
      <c r="C57" s="1">
        <f>2825+40.93+454.97</f>
        <v>3320.8999999999996</v>
      </c>
    </row>
    <row r="58" spans="1:4" x14ac:dyDescent="0.25">
      <c r="A58" t="s">
        <v>13</v>
      </c>
      <c r="B58" s="1" t="s">
        <v>163</v>
      </c>
      <c r="C58" s="1">
        <v>5985</v>
      </c>
    </row>
    <row r="59" spans="1:4" x14ac:dyDescent="0.25">
      <c r="A59" t="s">
        <v>13</v>
      </c>
      <c r="B59" s="1" t="s">
        <v>48</v>
      </c>
      <c r="C59" s="1">
        <v>904</v>
      </c>
    </row>
    <row r="60" spans="1:4" x14ac:dyDescent="0.25">
      <c r="A60" t="s">
        <v>13</v>
      </c>
      <c r="B60" s="1" t="s">
        <v>40</v>
      </c>
      <c r="C60" s="1">
        <v>7005.9</v>
      </c>
    </row>
    <row r="61" spans="1:4" x14ac:dyDescent="0.25">
      <c r="A61" t="s">
        <v>13</v>
      </c>
      <c r="B61" s="1" t="s">
        <v>41</v>
      </c>
      <c r="C61" s="1">
        <v>12900.94</v>
      </c>
    </row>
    <row r="62" spans="1:4" x14ac:dyDescent="0.25">
      <c r="A62" t="s">
        <v>13</v>
      </c>
      <c r="B62" s="1" t="s">
        <v>87</v>
      </c>
      <c r="C62" s="1">
        <v>12648.44</v>
      </c>
    </row>
    <row r="63" spans="1:4" x14ac:dyDescent="0.25">
      <c r="A63" t="s">
        <v>13</v>
      </c>
      <c r="B63" s="1" t="s">
        <v>14</v>
      </c>
      <c r="C63" s="1">
        <f>556.8+1371.04+3614.56+171.88</f>
        <v>5714.28</v>
      </c>
    </row>
    <row r="64" spans="1:4" x14ac:dyDescent="0.25">
      <c r="A64" t="s">
        <v>13</v>
      </c>
      <c r="B64" s="1" t="s">
        <v>162</v>
      </c>
      <c r="C64" s="1">
        <v>20009</v>
      </c>
      <c r="D64" s="7">
        <f>SUM(C56:C64)</f>
        <v>78453.510000000009</v>
      </c>
    </row>
    <row r="65" spans="1:4" x14ac:dyDescent="0.25">
      <c r="A65" t="s">
        <v>13</v>
      </c>
      <c r="B65" s="1" t="s">
        <v>86</v>
      </c>
      <c r="C65" s="1">
        <v>42671.64</v>
      </c>
      <c r="D65" s="7">
        <f>C65</f>
        <v>42671.64</v>
      </c>
    </row>
    <row r="66" spans="1:4" x14ac:dyDescent="0.25">
      <c r="A66" t="s">
        <v>13</v>
      </c>
      <c r="B66" s="1" t="s">
        <v>88</v>
      </c>
      <c r="C66" s="1">
        <v>48942.05</v>
      </c>
      <c r="D66" s="7">
        <f>C66</f>
        <v>48942.05</v>
      </c>
    </row>
    <row r="68" spans="1:4" x14ac:dyDescent="0.25">
      <c r="A68" t="s">
        <v>18</v>
      </c>
      <c r="B68" s="1" t="s">
        <v>99</v>
      </c>
      <c r="C68" s="1">
        <v>11454.15</v>
      </c>
      <c r="D68" s="7">
        <f>C68</f>
        <v>11454.15</v>
      </c>
    </row>
    <row r="69" spans="1:4" x14ac:dyDescent="0.25">
      <c r="A69" t="s">
        <v>18</v>
      </c>
      <c r="B69" s="1" t="s">
        <v>89</v>
      </c>
      <c r="C69" s="1">
        <f>13348.2+190.38+2164.68</f>
        <v>15703.26</v>
      </c>
      <c r="D69" s="7"/>
    </row>
    <row r="70" spans="1:4" x14ac:dyDescent="0.25">
      <c r="A70" t="s">
        <v>18</v>
      </c>
      <c r="B70" s="1" t="s">
        <v>90</v>
      </c>
      <c r="C70" s="1">
        <v>5000</v>
      </c>
      <c r="D70" s="7"/>
    </row>
    <row r="71" spans="1:4" x14ac:dyDescent="0.25">
      <c r="A71" t="s">
        <v>18</v>
      </c>
      <c r="B71" s="1" t="s">
        <v>164</v>
      </c>
      <c r="C71" s="1">
        <f>23178.07+4090.25</f>
        <v>27268.32</v>
      </c>
      <c r="D71" s="7"/>
    </row>
    <row r="72" spans="1:4" x14ac:dyDescent="0.25">
      <c r="A72" t="s">
        <v>18</v>
      </c>
      <c r="B72" s="1" t="s">
        <v>38</v>
      </c>
      <c r="C72" s="1">
        <v>1130</v>
      </c>
    </row>
    <row r="73" spans="1:4" x14ac:dyDescent="0.25">
      <c r="A73" t="s">
        <v>18</v>
      </c>
      <c r="B73" s="1" t="s">
        <v>91</v>
      </c>
      <c r="C73" s="1">
        <v>7125</v>
      </c>
      <c r="D73" s="7"/>
    </row>
    <row r="74" spans="1:4" x14ac:dyDescent="0.25">
      <c r="A74" t="s">
        <v>18</v>
      </c>
      <c r="B74" s="1" t="s">
        <v>83</v>
      </c>
      <c r="C74" s="1">
        <v>11408.68</v>
      </c>
      <c r="D74" s="7"/>
    </row>
    <row r="75" spans="1:4" x14ac:dyDescent="0.25">
      <c r="A75" t="s">
        <v>18</v>
      </c>
      <c r="B75" s="1" t="s">
        <v>95</v>
      </c>
      <c r="C75" s="1">
        <v>3618.03</v>
      </c>
      <c r="D75" s="7"/>
    </row>
    <row r="76" spans="1:4" x14ac:dyDescent="0.25">
      <c r="A76" t="s">
        <v>18</v>
      </c>
      <c r="B76" s="1" t="s">
        <v>82</v>
      </c>
      <c r="C76" s="1">
        <f>29.99+98.97+155.6</f>
        <v>284.56</v>
      </c>
      <c r="D76" s="7"/>
    </row>
    <row r="77" spans="1:4" x14ac:dyDescent="0.25">
      <c r="A77" t="s">
        <v>18</v>
      </c>
      <c r="B77" s="1" t="s">
        <v>94</v>
      </c>
      <c r="C77" s="1">
        <v>1157.24</v>
      </c>
      <c r="D77" s="7">
        <f>SUM(C69:C77)</f>
        <v>72695.090000000011</v>
      </c>
    </row>
    <row r="78" spans="1:4" x14ac:dyDescent="0.25">
      <c r="A78" t="s">
        <v>18</v>
      </c>
      <c r="B78" s="1" t="s">
        <v>92</v>
      </c>
      <c r="C78" s="1">
        <v>38846.35</v>
      </c>
      <c r="D78" s="7">
        <f>C78</f>
        <v>38846.35</v>
      </c>
    </row>
    <row r="79" spans="1:4" x14ac:dyDescent="0.25">
      <c r="A79" t="s">
        <v>18</v>
      </c>
      <c r="B79" s="1" t="s">
        <v>96</v>
      </c>
      <c r="C79" s="1">
        <f>55295.22-1050-465.87-469.73-62</f>
        <v>53247.619999999995</v>
      </c>
    </row>
    <row r="80" spans="1:4" x14ac:dyDescent="0.25">
      <c r="A80" t="s">
        <v>18</v>
      </c>
      <c r="B80" s="1" t="s">
        <v>97</v>
      </c>
      <c r="C80" s="1">
        <f>1050+465.87+469.73+62</f>
        <v>2047.6</v>
      </c>
      <c r="D80" s="7">
        <f>C79+C80</f>
        <v>55295.219999999994</v>
      </c>
    </row>
    <row r="81" spans="1:4" x14ac:dyDescent="0.25">
      <c r="A81" t="s">
        <v>18</v>
      </c>
      <c r="B81" s="1" t="s">
        <v>93</v>
      </c>
      <c r="C81" s="1">
        <v>45580.67</v>
      </c>
      <c r="D81" s="7">
        <f>C81</f>
        <v>45580.67</v>
      </c>
    </row>
    <row r="83" spans="1:4" x14ac:dyDescent="0.25">
      <c r="A83" t="s">
        <v>23</v>
      </c>
      <c r="B83" s="1" t="s">
        <v>98</v>
      </c>
      <c r="C83" s="1">
        <v>7401.56</v>
      </c>
      <c r="D83" s="7">
        <f>C83</f>
        <v>7401.56</v>
      </c>
    </row>
    <row r="84" spans="1:4" x14ac:dyDescent="0.25">
      <c r="A84" t="s">
        <v>23</v>
      </c>
      <c r="B84" s="1" t="s">
        <v>104</v>
      </c>
      <c r="C84" s="1">
        <f>5984.4+86.46+965.38</f>
        <v>7036.24</v>
      </c>
    </row>
    <row r="85" spans="1:4" x14ac:dyDescent="0.25">
      <c r="A85" t="s">
        <v>23</v>
      </c>
      <c r="B85" s="1" t="s">
        <v>48</v>
      </c>
      <c r="C85" s="1">
        <v>904</v>
      </c>
    </row>
    <row r="86" spans="1:4" x14ac:dyDescent="0.25">
      <c r="A86" t="s">
        <v>23</v>
      </c>
      <c r="B86" s="1" t="s">
        <v>42</v>
      </c>
      <c r="C86" s="1">
        <v>96997.77</v>
      </c>
    </row>
    <row r="87" spans="1:4" x14ac:dyDescent="0.25">
      <c r="A87" t="s">
        <v>23</v>
      </c>
      <c r="B87" s="1" t="s">
        <v>105</v>
      </c>
      <c r="C87" s="1">
        <v>11861.33</v>
      </c>
      <c r="D87" s="7">
        <f>SUM(C84:C87)</f>
        <v>116799.34000000001</v>
      </c>
    </row>
    <row r="88" spans="1:4" x14ac:dyDescent="0.25">
      <c r="A88" t="s">
        <v>23</v>
      </c>
      <c r="B88" s="1" t="s">
        <v>106</v>
      </c>
      <c r="C88" s="1">
        <v>50328.31</v>
      </c>
      <c r="D88" s="7">
        <f>C88</f>
        <v>50328.31</v>
      </c>
    </row>
    <row r="90" spans="1:4" x14ac:dyDescent="0.25">
      <c r="A90" t="s">
        <v>25</v>
      </c>
      <c r="B90" s="1" t="s">
        <v>107</v>
      </c>
      <c r="C90" s="1">
        <v>6879.22</v>
      </c>
      <c r="D90" s="7">
        <f>C90</f>
        <v>6879.22</v>
      </c>
    </row>
    <row r="91" spans="1:4" x14ac:dyDescent="0.25">
      <c r="A91" t="s">
        <v>25</v>
      </c>
      <c r="B91" s="1" t="s">
        <v>108</v>
      </c>
      <c r="C91" s="1">
        <v>3562.5</v>
      </c>
      <c r="D91" s="7"/>
    </row>
    <row r="92" spans="1:4" x14ac:dyDescent="0.25">
      <c r="A92" t="s">
        <v>25</v>
      </c>
      <c r="B92" s="1" t="s">
        <v>110</v>
      </c>
      <c r="C92" s="4">
        <v>30768.75</v>
      </c>
    </row>
    <row r="93" spans="1:4" x14ac:dyDescent="0.25">
      <c r="A93" t="s">
        <v>25</v>
      </c>
      <c r="B93" s="1" t="s">
        <v>109</v>
      </c>
      <c r="C93" s="4">
        <f>487.8+5631.6+60+4048.14+6+48</f>
        <v>10281.540000000001</v>
      </c>
    </row>
    <row r="94" spans="1:4" x14ac:dyDescent="0.25">
      <c r="A94" t="s">
        <v>25</v>
      </c>
      <c r="B94" s="1" t="s">
        <v>164</v>
      </c>
      <c r="C94" s="4">
        <f>7548.33-1450</f>
        <v>6098.33</v>
      </c>
    </row>
    <row r="95" spans="1:4" x14ac:dyDescent="0.25">
      <c r="A95" t="s">
        <v>25</v>
      </c>
      <c r="B95" s="1" t="s">
        <v>48</v>
      </c>
      <c r="C95" s="4">
        <v>904</v>
      </c>
    </row>
    <row r="96" spans="1:4" x14ac:dyDescent="0.25">
      <c r="A96" t="s">
        <v>25</v>
      </c>
      <c r="B96" s="1" t="s">
        <v>43</v>
      </c>
      <c r="C96" s="1">
        <f>1275+7650</f>
        <v>8925</v>
      </c>
    </row>
    <row r="97" spans="1:4" x14ac:dyDescent="0.25">
      <c r="A97" t="s">
        <v>25</v>
      </c>
      <c r="B97" s="1" t="s">
        <v>165</v>
      </c>
      <c r="C97" s="1">
        <v>9820</v>
      </c>
    </row>
    <row r="98" spans="1:4" x14ac:dyDescent="0.25">
      <c r="A98" t="s">
        <v>25</v>
      </c>
      <c r="B98" s="1" t="s">
        <v>42</v>
      </c>
      <c r="C98" s="1">
        <v>18369.57</v>
      </c>
      <c r="D98" s="7">
        <f>SUM(C91:C98)</f>
        <v>88729.69</v>
      </c>
    </row>
    <row r="100" spans="1:4" x14ac:dyDescent="0.25">
      <c r="A100" t="s">
        <v>26</v>
      </c>
      <c r="B100" s="1" t="s">
        <v>111</v>
      </c>
      <c r="C100" s="1">
        <v>6626.48</v>
      </c>
      <c r="D100" s="7">
        <f>C100</f>
        <v>6626.48</v>
      </c>
    </row>
    <row r="101" spans="1:4" x14ac:dyDescent="0.25">
      <c r="A101" t="s">
        <v>26</v>
      </c>
      <c r="B101" s="1" t="s">
        <v>112</v>
      </c>
      <c r="C101" s="1">
        <v>5000</v>
      </c>
      <c r="D101" s="7"/>
    </row>
    <row r="102" spans="1:4" x14ac:dyDescent="0.25">
      <c r="A102" t="s">
        <v>26</v>
      </c>
      <c r="B102" s="1" t="s">
        <v>48</v>
      </c>
      <c r="C102" s="1">
        <v>904</v>
      </c>
      <c r="D102" s="7"/>
    </row>
    <row r="103" spans="1:4" x14ac:dyDescent="0.25">
      <c r="A103" t="s">
        <v>26</v>
      </c>
      <c r="B103" s="1" t="s">
        <v>82</v>
      </c>
      <c r="C103" s="1">
        <f>1537.64-904</f>
        <v>633.6400000000001</v>
      </c>
      <c r="D103" s="7"/>
    </row>
    <row r="104" spans="1:4" x14ac:dyDescent="0.25">
      <c r="A104" t="s">
        <v>26</v>
      </c>
      <c r="B104" s="1" t="s">
        <v>42</v>
      </c>
      <c r="C104" s="1">
        <f>25185.15+3892+1496.74+567.43+327.64</f>
        <v>31468.960000000003</v>
      </c>
    </row>
    <row r="105" spans="1:4" x14ac:dyDescent="0.25">
      <c r="A105" t="s">
        <v>26</v>
      </c>
      <c r="B105" s="1" t="s">
        <v>113</v>
      </c>
      <c r="C105" s="1">
        <v>760.2</v>
      </c>
    </row>
    <row r="106" spans="1:4" x14ac:dyDescent="0.25">
      <c r="A106" t="s">
        <v>26</v>
      </c>
      <c r="B106" s="1" t="s">
        <v>44</v>
      </c>
      <c r="C106" s="1">
        <v>11200</v>
      </c>
    </row>
    <row r="107" spans="1:4" x14ac:dyDescent="0.25">
      <c r="A107" t="s">
        <v>26</v>
      </c>
      <c r="B107" s="1" t="s">
        <v>45</v>
      </c>
      <c r="C107" s="1">
        <v>4702.1899999999996</v>
      </c>
    </row>
    <row r="108" spans="1:4" x14ac:dyDescent="0.25">
      <c r="A108" t="s">
        <v>26</v>
      </c>
      <c r="B108" s="1" t="s">
        <v>114</v>
      </c>
      <c r="C108" s="1">
        <v>20658.580000000002</v>
      </c>
      <c r="D108" s="7">
        <f>SUM(C101:C108)</f>
        <v>75327.570000000007</v>
      </c>
    </row>
    <row r="109" spans="1:4" x14ac:dyDescent="0.25">
      <c r="A109" t="s">
        <v>26</v>
      </c>
      <c r="B109" s="1" t="s">
        <v>115</v>
      </c>
      <c r="C109" s="1">
        <f>64215.62-C110</f>
        <v>60842.200000000004</v>
      </c>
      <c r="D109" s="7"/>
    </row>
    <row r="110" spans="1:4" x14ac:dyDescent="0.25">
      <c r="A110" t="s">
        <v>26</v>
      </c>
      <c r="B110" s="1" t="s">
        <v>97</v>
      </c>
      <c r="C110" s="1">
        <f>296.66+1462.76+1614</f>
        <v>3373.42</v>
      </c>
      <c r="D110" s="7">
        <f>C109+C110</f>
        <v>64215.62</v>
      </c>
    </row>
    <row r="112" spans="1:4" x14ac:dyDescent="0.25">
      <c r="A112" t="s">
        <v>28</v>
      </c>
      <c r="B112" s="1" t="s">
        <v>116</v>
      </c>
      <c r="C112" s="1">
        <v>6649.8</v>
      </c>
      <c r="D112" s="7">
        <f>C112</f>
        <v>6649.8</v>
      </c>
    </row>
    <row r="113" spans="1:4" x14ac:dyDescent="0.25">
      <c r="A113" t="s">
        <v>28</v>
      </c>
      <c r="B113" s="1" t="s">
        <v>117</v>
      </c>
      <c r="C113" s="1">
        <f>17762.6+254.24+2880.64</f>
        <v>20897.48</v>
      </c>
      <c r="D113" s="7"/>
    </row>
    <row r="114" spans="1:4" x14ac:dyDescent="0.25">
      <c r="A114" t="s">
        <v>28</v>
      </c>
      <c r="B114" s="1" t="s">
        <v>48</v>
      </c>
      <c r="C114" s="1">
        <v>904</v>
      </c>
      <c r="D114" s="7"/>
    </row>
    <row r="115" spans="1:4" x14ac:dyDescent="0.25">
      <c r="A115" t="s">
        <v>28</v>
      </c>
      <c r="B115" s="1" t="s">
        <v>42</v>
      </c>
      <c r="C115" s="1">
        <v>63569.43</v>
      </c>
    </row>
    <row r="116" spans="1:4" x14ac:dyDescent="0.25">
      <c r="A116" t="s">
        <v>28</v>
      </c>
      <c r="B116" s="1" t="s">
        <v>46</v>
      </c>
      <c r="C116" s="1">
        <v>63437.81</v>
      </c>
      <c r="D116" s="7">
        <f>SUM(C113:C116)</f>
        <v>148808.72</v>
      </c>
    </row>
    <row r="117" spans="1:4" x14ac:dyDescent="0.25">
      <c r="A117" t="s">
        <v>28</v>
      </c>
      <c r="B117" s="1" t="s">
        <v>118</v>
      </c>
      <c r="C117" s="1">
        <v>60003.11</v>
      </c>
      <c r="D117" s="7">
        <f>C117</f>
        <v>60003.11</v>
      </c>
    </row>
    <row r="119" spans="1:4" x14ac:dyDescent="0.25">
      <c r="A119" t="s">
        <v>31</v>
      </c>
      <c r="B119" s="1" t="s">
        <v>119</v>
      </c>
      <c r="C119" s="1">
        <v>7549.89</v>
      </c>
      <c r="D119" s="7">
        <f>C119</f>
        <v>7549.89</v>
      </c>
    </row>
    <row r="120" spans="1:4" x14ac:dyDescent="0.25">
      <c r="A120" t="s">
        <v>31</v>
      </c>
      <c r="B120" s="1" t="s">
        <v>120</v>
      </c>
      <c r="C120" s="1">
        <f>3859.4+55.23+626.51</f>
        <v>4541.1400000000003</v>
      </c>
      <c r="D120" s="7"/>
    </row>
    <row r="121" spans="1:4" x14ac:dyDescent="0.25">
      <c r="A121" t="s">
        <v>31</v>
      </c>
      <c r="B121" s="1" t="s">
        <v>48</v>
      </c>
      <c r="C121" s="1">
        <v>1130</v>
      </c>
      <c r="D121" s="7"/>
    </row>
    <row r="122" spans="1:4" x14ac:dyDescent="0.25">
      <c r="A122" t="s">
        <v>31</v>
      </c>
      <c r="B122" s="1" t="s">
        <v>166</v>
      </c>
      <c r="C122" s="1">
        <f>348.79+4245.35</f>
        <v>4594.1400000000003</v>
      </c>
      <c r="D122" s="7"/>
    </row>
    <row r="123" spans="1:4" x14ac:dyDescent="0.25">
      <c r="A123" t="s">
        <v>31</v>
      </c>
      <c r="B123" s="1" t="s">
        <v>42</v>
      </c>
      <c r="C123" s="1">
        <f>132169.29+687.45</f>
        <v>132856.74000000002</v>
      </c>
    </row>
    <row r="124" spans="1:4" x14ac:dyDescent="0.25">
      <c r="A124" t="s">
        <v>31</v>
      </c>
      <c r="B124" s="1" t="s">
        <v>46</v>
      </c>
      <c r="C124" s="1">
        <v>6990.62</v>
      </c>
      <c r="D124" s="7">
        <f>SUM(C120:C124)</f>
        <v>150112.64000000001</v>
      </c>
    </row>
    <row r="125" spans="1:4" x14ac:dyDescent="0.25">
      <c r="A125" t="s">
        <v>31</v>
      </c>
      <c r="B125" s="1" t="s">
        <v>118</v>
      </c>
      <c r="C125" s="1">
        <v>25789.98</v>
      </c>
      <c r="D125" s="7">
        <f>C125</f>
        <v>25789.98</v>
      </c>
    </row>
    <row r="127" spans="1:4" x14ac:dyDescent="0.25">
      <c r="A127" t="s">
        <v>47</v>
      </c>
      <c r="B127" s="1" t="s">
        <v>121</v>
      </c>
      <c r="C127" s="1">
        <f>5999.66+480+49.98+2220.13+87</f>
        <v>8836.77</v>
      </c>
      <c r="D127" s="7">
        <f>C127</f>
        <v>8836.77</v>
      </c>
    </row>
    <row r="129" spans="1:5" x14ac:dyDescent="0.25">
      <c r="A129" t="s">
        <v>32</v>
      </c>
      <c r="B129" s="1" t="s">
        <v>49</v>
      </c>
      <c r="C129" s="1">
        <v>201.14</v>
      </c>
    </row>
    <row r="130" spans="1:5" x14ac:dyDescent="0.25">
      <c r="A130" t="s">
        <v>32</v>
      </c>
      <c r="B130" s="1" t="s">
        <v>167</v>
      </c>
      <c r="C130" s="1">
        <v>836.22</v>
      </c>
    </row>
    <row r="131" spans="1:5" x14ac:dyDescent="0.25">
      <c r="A131" t="s">
        <v>32</v>
      </c>
      <c r="B131" s="1" t="s">
        <v>20</v>
      </c>
      <c r="C131" s="1">
        <v>2890</v>
      </c>
    </row>
    <row r="132" spans="1:5" x14ac:dyDescent="0.25">
      <c r="A132" t="s">
        <v>32</v>
      </c>
      <c r="B132" s="1" t="s">
        <v>24</v>
      </c>
      <c r="C132" s="1">
        <v>999.5</v>
      </c>
    </row>
    <row r="133" spans="1:5" x14ac:dyDescent="0.25">
      <c r="A133" t="s">
        <v>32</v>
      </c>
      <c r="B133" s="1" t="s">
        <v>50</v>
      </c>
      <c r="C133" s="1">
        <v>490</v>
      </c>
      <c r="D133" s="7">
        <f>SUM(C129:C133)</f>
        <v>5416.8600000000006</v>
      </c>
    </row>
    <row r="135" spans="1:5" x14ac:dyDescent="0.25">
      <c r="A135" t="s">
        <v>123</v>
      </c>
      <c r="C135" s="1">
        <f>SUM(C2:C133)</f>
        <v>2902676.6800000011</v>
      </c>
      <c r="D135" s="1">
        <f>SUM(D2:D133)</f>
        <v>2902676.68</v>
      </c>
      <c r="E135" s="6">
        <f>D135/5297784.04</f>
        <v>0.54790392701624735</v>
      </c>
    </row>
    <row r="138" spans="1:5" x14ac:dyDescent="0.25">
      <c r="A138" t="s">
        <v>141</v>
      </c>
    </row>
    <row r="140" spans="1:5" x14ac:dyDescent="0.25">
      <c r="A140" t="s">
        <v>51</v>
      </c>
    </row>
  </sheetData>
  <pageMargins left="0.7" right="0.7" top="0.75" bottom="0.75" header="0.3" footer="0.3"/>
  <pageSetup scale="67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ESSER II 554G</vt:lpstr>
      <vt:lpstr>ESSER II 554GD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2022-04-07T15:02:12Z</cp:lastPrinted>
  <dcterms:created xsi:type="dcterms:W3CDTF">2021-09-09T20:03:15Z</dcterms:created>
  <dcterms:modified xsi:type="dcterms:W3CDTF">2022-04-07T15:02:16Z</dcterms:modified>
</cp:coreProperties>
</file>