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231000N7\SuptOff\MSOFFICE\BDMTGS\2022\Mar 2022\"/>
    </mc:Choice>
  </mc:AlternateContent>
  <bookViews>
    <workbookView xWindow="0" yWindow="0" windowWidth="28800" windowHeight="11700"/>
    <workbookView xWindow="-105" yWindow="-105" windowWidth="27075" windowHeight="16395" activeTab="1"/>
  </bookViews>
  <sheets>
    <sheet name=" EDIT LPC 3-16-22 (ES+MS+HS )" sheetId="21" r:id="rId1"/>
    <sheet name="EDIT - LPC 3-16-22" sheetId="19" r:id="rId2"/>
    <sheet name="EDIT - APPEAL 3-16-22" sheetId="20" r:id="rId3"/>
    <sheet name="LPC Review Notes" sheetId="18" r:id="rId4"/>
    <sheet name="KDE Notes" sheetId="3" r:id="rId5"/>
    <sheet name="Sheet2" sheetId="16" r:id="rId6"/>
    <sheet name="Sheet3" sheetId="4" r:id="rId7"/>
  </sheets>
  <definedNames>
    <definedName name="_xlnm.Print_Area" localSheetId="0">' EDIT LPC 3-16-22 (ES+MS+HS )'!$B$1:$W$188</definedName>
    <definedName name="_xlnm.Print_Area" localSheetId="2">'EDIT - APPEAL 3-16-22'!$B$1:$W$146</definedName>
    <definedName name="_xlnm.Print_Area" localSheetId="1">'EDIT - LPC 3-16-22'!$B$1:$W$190</definedName>
    <definedName name="_xlnm.Print_Area" localSheetId="4">'KDE Notes'!$B$1:$W$215</definedName>
    <definedName name="_xlnm.Print_Area" localSheetId="3">'LPC Review Notes'!$B$1:$W$215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17" i="21" l="1"/>
  <c r="K217" i="21"/>
  <c r="N214" i="21"/>
  <c r="K214" i="21"/>
  <c r="N73" i="21"/>
  <c r="N70" i="21"/>
  <c r="N67" i="21"/>
  <c r="N202" i="21"/>
  <c r="K202" i="21"/>
  <c r="N199" i="21"/>
  <c r="K199" i="21"/>
  <c r="N196" i="21"/>
  <c r="K196" i="21"/>
  <c r="N193" i="21"/>
  <c r="K193" i="21"/>
  <c r="N190" i="21"/>
  <c r="K190" i="21"/>
  <c r="N187" i="21"/>
  <c r="N184" i="21"/>
  <c r="N181" i="21"/>
  <c r="N178" i="21"/>
  <c r="N175" i="21"/>
  <c r="N172" i="21"/>
  <c r="N164" i="21"/>
  <c r="N161" i="21"/>
  <c r="N158" i="21"/>
  <c r="N155" i="21"/>
  <c r="N152" i="21"/>
  <c r="N149" i="21"/>
  <c r="N142" i="21"/>
  <c r="K142" i="21"/>
  <c r="N141" i="21"/>
  <c r="N138" i="21"/>
  <c r="K138" i="21"/>
  <c r="N137" i="21"/>
  <c r="N134" i="21"/>
  <c r="K134" i="21"/>
  <c r="N133" i="21"/>
  <c r="N211" i="21"/>
  <c r="K211" i="21"/>
  <c r="N208" i="21"/>
  <c r="K208" i="21"/>
  <c r="N205" i="21"/>
  <c r="K205" i="21"/>
  <c r="N130" i="21"/>
  <c r="N127" i="21"/>
  <c r="K127" i="21"/>
  <c r="N126" i="21"/>
  <c r="K126" i="21"/>
  <c r="N125" i="21"/>
  <c r="N122" i="21"/>
  <c r="K122" i="21"/>
  <c r="N121" i="21"/>
  <c r="K121" i="21"/>
  <c r="N120" i="21"/>
  <c r="K120" i="21"/>
  <c r="N119" i="21"/>
  <c r="N116" i="21"/>
  <c r="K116" i="21"/>
  <c r="N115" i="21"/>
  <c r="K115" i="21"/>
  <c r="N114" i="21"/>
  <c r="K114" i="21"/>
  <c r="N113" i="21"/>
  <c r="K113" i="21"/>
  <c r="N112" i="21"/>
  <c r="N109" i="21"/>
  <c r="K109" i="21"/>
  <c r="N108" i="21"/>
  <c r="K108" i="21"/>
  <c r="N107" i="21"/>
  <c r="K107" i="21"/>
  <c r="N106" i="21"/>
  <c r="K106" i="21"/>
  <c r="N105" i="21"/>
  <c r="N102" i="21"/>
  <c r="K102" i="21"/>
  <c r="N101" i="21"/>
  <c r="K101" i="21"/>
  <c r="N100" i="21"/>
  <c r="K100" i="21"/>
  <c r="N99" i="21"/>
  <c r="K99" i="21"/>
  <c r="N98" i="21"/>
  <c r="K98" i="21"/>
  <c r="N97" i="21"/>
  <c r="N94" i="21"/>
  <c r="K94" i="21"/>
  <c r="N93" i="21"/>
  <c r="K93" i="21"/>
  <c r="N92" i="21"/>
  <c r="N89" i="21"/>
  <c r="K89" i="21"/>
  <c r="N88" i="21"/>
  <c r="K88" i="21"/>
  <c r="N87" i="21"/>
  <c r="K87" i="21"/>
  <c r="N86" i="21"/>
  <c r="K86" i="21"/>
  <c r="N85" i="21"/>
  <c r="K85" i="21"/>
  <c r="N84" i="21"/>
  <c r="N78" i="21"/>
  <c r="N61" i="21"/>
  <c r="K61" i="21"/>
  <c r="N60" i="21"/>
  <c r="K60" i="21"/>
  <c r="N59" i="21"/>
  <c r="K59" i="21"/>
  <c r="N58" i="21"/>
  <c r="K58" i="21"/>
  <c r="N51" i="21"/>
  <c r="N48" i="21"/>
  <c r="T45" i="21"/>
  <c r="S45" i="21"/>
  <c r="V43" i="21"/>
  <c r="U42" i="21"/>
  <c r="V42" i="21" s="1"/>
  <c r="W42" i="21" s="1"/>
  <c r="Z41" i="21"/>
  <c r="V41" i="21"/>
  <c r="W41" i="21" s="1"/>
  <c r="Z40" i="21"/>
  <c r="V40" i="21"/>
  <c r="W40" i="21" s="1"/>
  <c r="Z39" i="21"/>
  <c r="V39" i="21"/>
  <c r="W39" i="21" s="1"/>
  <c r="Z38" i="21"/>
  <c r="V37" i="21"/>
  <c r="W37" i="21" s="1"/>
  <c r="Z36" i="21"/>
  <c r="U36" i="21"/>
  <c r="V36" i="21" s="1"/>
  <c r="W36" i="21" s="1"/>
  <c r="Z35" i="21"/>
  <c r="V35" i="21"/>
  <c r="W35" i="21" s="1"/>
  <c r="Z34" i="21"/>
  <c r="V34" i="21"/>
  <c r="W34" i="21" s="1"/>
  <c r="Z33" i="21"/>
  <c r="V33" i="21"/>
  <c r="W33" i="21" s="1"/>
  <c r="Z32" i="21"/>
  <c r="V32" i="21"/>
  <c r="W32" i="21" s="1"/>
  <c r="Z31" i="21"/>
  <c r="V31" i="21"/>
  <c r="W31" i="21" s="1"/>
  <c r="Z30" i="21"/>
  <c r="V30" i="21"/>
  <c r="W30" i="21" s="1"/>
  <c r="Z29" i="21"/>
  <c r="V29" i="21"/>
  <c r="Z28" i="21"/>
  <c r="T27" i="21"/>
  <c r="V26" i="21"/>
  <c r="V25" i="21"/>
  <c r="W25" i="21" s="1"/>
  <c r="Z24" i="21"/>
  <c r="S24" i="21"/>
  <c r="Z23" i="21"/>
  <c r="S23" i="21" s="1"/>
  <c r="V23" i="21"/>
  <c r="Z22" i="21"/>
  <c r="S22" i="21" s="1"/>
  <c r="V22" i="21"/>
  <c r="Z21" i="21"/>
  <c r="S21" i="21" s="1"/>
  <c r="V21" i="21"/>
  <c r="Z20" i="21"/>
  <c r="S20" i="21" s="1"/>
  <c r="V20" i="21"/>
  <c r="T17" i="21"/>
  <c r="Z16" i="21"/>
  <c r="V16" i="21"/>
  <c r="Z15" i="21"/>
  <c r="S15" i="21" s="1"/>
  <c r="V15" i="21"/>
  <c r="Z14" i="21"/>
  <c r="S14" i="21" s="1"/>
  <c r="V14" i="21"/>
  <c r="Z13" i="21"/>
  <c r="S13" i="21" s="1"/>
  <c r="V13" i="21"/>
  <c r="N92" i="20"/>
  <c r="N83" i="19"/>
  <c r="S38" i="20"/>
  <c r="Z42" i="20"/>
  <c r="S42" i="20" s="1"/>
  <c r="Z41" i="20"/>
  <c r="S41" i="20" s="1"/>
  <c r="Z40" i="20"/>
  <c r="S40" i="20" s="1"/>
  <c r="Z39" i="20"/>
  <c r="S39" i="20" s="1"/>
  <c r="Z37" i="20"/>
  <c r="S37" i="20" s="1"/>
  <c r="Z36" i="20"/>
  <c r="S36" i="20" s="1"/>
  <c r="Z35" i="20"/>
  <c r="S35" i="20" s="1"/>
  <c r="Z34" i="20"/>
  <c r="S34" i="20" s="1"/>
  <c r="Z33" i="20"/>
  <c r="S33" i="20" s="1"/>
  <c r="Z32" i="20"/>
  <c r="S32" i="20" s="1"/>
  <c r="Z31" i="20"/>
  <c r="S31" i="20" s="1"/>
  <c r="Z30" i="20"/>
  <c r="S30" i="20" s="1"/>
  <c r="Z29" i="20"/>
  <c r="S29" i="20" s="1"/>
  <c r="Z24" i="20"/>
  <c r="S25" i="20" s="1"/>
  <c r="Z23" i="20"/>
  <c r="S23" i="20" s="1"/>
  <c r="Z22" i="20"/>
  <c r="S22" i="20" s="1"/>
  <c r="Z21" i="20"/>
  <c r="S21" i="20" s="1"/>
  <c r="Z20" i="20"/>
  <c r="S20" i="20" s="1"/>
  <c r="Z16" i="20"/>
  <c r="Z15" i="20"/>
  <c r="S15" i="20" s="1"/>
  <c r="Z14" i="20"/>
  <c r="S14" i="20" s="1"/>
  <c r="Z13" i="20"/>
  <c r="S13" i="20" s="1"/>
  <c r="N73" i="20"/>
  <c r="N70" i="20"/>
  <c r="N67" i="20"/>
  <c r="N160" i="20"/>
  <c r="K160" i="20"/>
  <c r="N157" i="20"/>
  <c r="K157" i="20"/>
  <c r="N154" i="20"/>
  <c r="K154" i="20"/>
  <c r="N151" i="20"/>
  <c r="K151" i="20"/>
  <c r="N148" i="20"/>
  <c r="K148" i="20"/>
  <c r="N213" i="20"/>
  <c r="N210" i="20"/>
  <c r="N207" i="20"/>
  <c r="N204" i="20"/>
  <c r="N201" i="20"/>
  <c r="N198" i="20"/>
  <c r="N190" i="20"/>
  <c r="N187" i="20"/>
  <c r="N184" i="20"/>
  <c r="N181" i="20"/>
  <c r="N178" i="20"/>
  <c r="N175" i="20"/>
  <c r="N168" i="20"/>
  <c r="K168" i="20"/>
  <c r="N167" i="20"/>
  <c r="N164" i="20"/>
  <c r="K164" i="20"/>
  <c r="N163" i="20"/>
  <c r="N145" i="20"/>
  <c r="K145" i="20"/>
  <c r="N144" i="20"/>
  <c r="N141" i="20"/>
  <c r="K141" i="20"/>
  <c r="N140" i="20"/>
  <c r="N137" i="20"/>
  <c r="K137" i="20"/>
  <c r="N136" i="20"/>
  <c r="N133" i="20"/>
  <c r="K133" i="20"/>
  <c r="N130" i="20"/>
  <c r="N127" i="20"/>
  <c r="K127" i="20"/>
  <c r="N126" i="20"/>
  <c r="K126" i="20"/>
  <c r="N125" i="20"/>
  <c r="N122" i="20"/>
  <c r="K122" i="20"/>
  <c r="N121" i="20"/>
  <c r="K121" i="20"/>
  <c r="N120" i="20"/>
  <c r="K120" i="20"/>
  <c r="N119" i="20"/>
  <c r="N116" i="20"/>
  <c r="K116" i="20"/>
  <c r="N115" i="20"/>
  <c r="K115" i="20"/>
  <c r="N114" i="20"/>
  <c r="K114" i="20"/>
  <c r="N113" i="20"/>
  <c r="K113" i="20"/>
  <c r="N112" i="20"/>
  <c r="N109" i="20"/>
  <c r="K109" i="20"/>
  <c r="N108" i="20"/>
  <c r="K108" i="20"/>
  <c r="N107" i="20"/>
  <c r="K107" i="20"/>
  <c r="N106" i="20"/>
  <c r="K106" i="20"/>
  <c r="N105" i="20"/>
  <c r="N102" i="20"/>
  <c r="K102" i="20"/>
  <c r="N101" i="20"/>
  <c r="K101" i="20"/>
  <c r="N100" i="20"/>
  <c r="K100" i="20"/>
  <c r="N99" i="20"/>
  <c r="K99" i="20"/>
  <c r="N98" i="20"/>
  <c r="K98" i="20"/>
  <c r="N97" i="20"/>
  <c r="N94" i="20"/>
  <c r="K94" i="20"/>
  <c r="N93" i="20"/>
  <c r="K93" i="20"/>
  <c r="N89" i="20"/>
  <c r="K89" i="20"/>
  <c r="N88" i="20"/>
  <c r="K88" i="20"/>
  <c r="N87" i="20"/>
  <c r="K87" i="20"/>
  <c r="N86" i="20"/>
  <c r="K86" i="20"/>
  <c r="N85" i="20"/>
  <c r="K85" i="20"/>
  <c r="N84" i="20"/>
  <c r="N78" i="20"/>
  <c r="N61" i="20"/>
  <c r="K61" i="20"/>
  <c r="N60" i="20"/>
  <c r="K60" i="20"/>
  <c r="N59" i="20"/>
  <c r="K59" i="20"/>
  <c r="N58" i="20"/>
  <c r="K58" i="20"/>
  <c r="N51" i="20"/>
  <c r="N48" i="20"/>
  <c r="N192" i="20" s="1"/>
  <c r="T45" i="20"/>
  <c r="V43" i="20"/>
  <c r="U42" i="20"/>
  <c r="V42" i="20" s="1"/>
  <c r="V41" i="20"/>
  <c r="V40" i="20"/>
  <c r="V39" i="20"/>
  <c r="V37" i="20"/>
  <c r="U36" i="20"/>
  <c r="V36" i="20" s="1"/>
  <c r="U35" i="20"/>
  <c r="V35" i="20" s="1"/>
  <c r="V34" i="20"/>
  <c r="V33" i="20"/>
  <c r="V32" i="20"/>
  <c r="V31" i="20"/>
  <c r="V30" i="20"/>
  <c r="V29" i="20"/>
  <c r="T27" i="20"/>
  <c r="V26" i="20"/>
  <c r="V25" i="20"/>
  <c r="S24" i="20"/>
  <c r="U23" i="20"/>
  <c r="V23" i="20" s="1"/>
  <c r="V22" i="20"/>
  <c r="V21" i="20"/>
  <c r="U20" i="20"/>
  <c r="V20" i="20" s="1"/>
  <c r="T17" i="20"/>
  <c r="V16" i="20"/>
  <c r="U15" i="20"/>
  <c r="V15" i="20" s="1"/>
  <c r="V14" i="20"/>
  <c r="U13" i="20"/>
  <c r="V13" i="20" s="1"/>
  <c r="V26" i="19"/>
  <c r="T45" i="19"/>
  <c r="S45" i="19"/>
  <c r="V43" i="19"/>
  <c r="U42" i="19"/>
  <c r="V42" i="19" s="1"/>
  <c r="W42" i="19" s="1"/>
  <c r="V41" i="19"/>
  <c r="W41" i="19" s="1"/>
  <c r="V40" i="19"/>
  <c r="W40" i="19" s="1"/>
  <c r="V39" i="19"/>
  <c r="W39" i="19" s="1"/>
  <c r="V37" i="19"/>
  <c r="W37" i="19" s="1"/>
  <c r="U36" i="19"/>
  <c r="V36" i="19" s="1"/>
  <c r="W36" i="19" s="1"/>
  <c r="U35" i="19"/>
  <c r="V35" i="19" s="1"/>
  <c r="W35" i="19" s="1"/>
  <c r="V34" i="19"/>
  <c r="W34" i="19" s="1"/>
  <c r="V33" i="19"/>
  <c r="W33" i="19" s="1"/>
  <c r="V32" i="19"/>
  <c r="W32" i="19" s="1"/>
  <c r="V31" i="19"/>
  <c r="W31" i="19" s="1"/>
  <c r="V30" i="19"/>
  <c r="W30" i="19" s="1"/>
  <c r="V29" i="19"/>
  <c r="T27" i="19"/>
  <c r="V25" i="19"/>
  <c r="W25" i="19" s="1"/>
  <c r="S24" i="19"/>
  <c r="U23" i="19"/>
  <c r="V23" i="19" s="1"/>
  <c r="V22" i="19"/>
  <c r="V21" i="19"/>
  <c r="U20" i="19"/>
  <c r="V20" i="19" s="1"/>
  <c r="T17" i="19"/>
  <c r="V16" i="19"/>
  <c r="U15" i="19"/>
  <c r="V15" i="19" s="1"/>
  <c r="V14" i="19"/>
  <c r="V13" i="19"/>
  <c r="N143" i="19"/>
  <c r="N139" i="19"/>
  <c r="N135" i="19"/>
  <c r="N131" i="19"/>
  <c r="N127" i="19"/>
  <c r="N121" i="19"/>
  <c r="W14" i="21" l="1"/>
  <c r="W15" i="21"/>
  <c r="V17" i="21"/>
  <c r="W20" i="21"/>
  <c r="W23" i="21"/>
  <c r="W21" i="21"/>
  <c r="N166" i="21"/>
  <c r="V45" i="21"/>
  <c r="W45" i="21" s="1"/>
  <c r="W29" i="21"/>
  <c r="V27" i="21"/>
  <c r="S17" i="21"/>
  <c r="S27" i="21"/>
  <c r="W22" i="21"/>
  <c r="W13" i="21"/>
  <c r="S27" i="20"/>
  <c r="S45" i="20"/>
  <c r="W40" i="20"/>
  <c r="W41" i="20"/>
  <c r="W37" i="20"/>
  <c r="W14" i="20"/>
  <c r="W31" i="20"/>
  <c r="V17" i="20"/>
  <c r="W21" i="20"/>
  <c r="W39" i="20"/>
  <c r="W25" i="20"/>
  <c r="W42" i="20"/>
  <c r="W30" i="20"/>
  <c r="W32" i="20"/>
  <c r="W33" i="20"/>
  <c r="W34" i="20"/>
  <c r="W35" i="20"/>
  <c r="W36" i="20"/>
  <c r="W13" i="20"/>
  <c r="V45" i="20"/>
  <c r="W45" i="20" s="1"/>
  <c r="W15" i="20"/>
  <c r="S17" i="20"/>
  <c r="W22" i="20"/>
  <c r="W23" i="20"/>
  <c r="V27" i="20"/>
  <c r="W27" i="20" s="1"/>
  <c r="U27" i="20"/>
  <c r="W29" i="20"/>
  <c r="W20" i="20"/>
  <c r="V27" i="19"/>
  <c r="V17" i="19"/>
  <c r="V45" i="19"/>
  <c r="W45" i="19" s="1"/>
  <c r="W29" i="19"/>
  <c r="K77" i="19"/>
  <c r="N75" i="19"/>
  <c r="N204" i="19"/>
  <c r="K204" i="19"/>
  <c r="N192" i="19"/>
  <c r="K192" i="19"/>
  <c r="N61" i="19"/>
  <c r="K61" i="19"/>
  <c r="N59" i="19"/>
  <c r="K59" i="19"/>
  <c r="N58" i="19"/>
  <c r="K58" i="19"/>
  <c r="W27" i="21" l="1"/>
  <c r="U27" i="21"/>
  <c r="W17" i="21"/>
  <c r="U17" i="21"/>
  <c r="W17" i="20"/>
  <c r="U17" i="20"/>
  <c r="N189" i="19"/>
  <c r="N186" i="19"/>
  <c r="N183" i="19"/>
  <c r="N180" i="19"/>
  <c r="N177" i="19"/>
  <c r="N174" i="19"/>
  <c r="N166" i="19"/>
  <c r="N163" i="19"/>
  <c r="N160" i="19"/>
  <c r="N157" i="19"/>
  <c r="N154" i="19"/>
  <c r="N151" i="19"/>
  <c r="N144" i="19"/>
  <c r="K144" i="19"/>
  <c r="N140" i="19"/>
  <c r="K140" i="19"/>
  <c r="N136" i="19"/>
  <c r="K136" i="19"/>
  <c r="N201" i="19"/>
  <c r="K201" i="19"/>
  <c r="N198" i="19"/>
  <c r="K198" i="19"/>
  <c r="N195" i="19"/>
  <c r="K195" i="19"/>
  <c r="N132" i="19"/>
  <c r="K132" i="19"/>
  <c r="N128" i="19"/>
  <c r="K128" i="19"/>
  <c r="N124" i="19"/>
  <c r="K124" i="19"/>
  <c r="N118" i="19"/>
  <c r="K118" i="19"/>
  <c r="N117" i="19"/>
  <c r="K117" i="19"/>
  <c r="N116" i="19"/>
  <c r="N113" i="19"/>
  <c r="K113" i="19"/>
  <c r="N112" i="19"/>
  <c r="K112" i="19"/>
  <c r="N111" i="19"/>
  <c r="K111" i="19"/>
  <c r="N110" i="19"/>
  <c r="N107" i="19"/>
  <c r="K107" i="19"/>
  <c r="N106" i="19"/>
  <c r="K106" i="19"/>
  <c r="N105" i="19"/>
  <c r="K105" i="19"/>
  <c r="N104" i="19"/>
  <c r="K104" i="19"/>
  <c r="N103" i="19"/>
  <c r="N100" i="19"/>
  <c r="K100" i="19"/>
  <c r="N99" i="19"/>
  <c r="K99" i="19"/>
  <c r="N98" i="19"/>
  <c r="K98" i="19"/>
  <c r="N97" i="19"/>
  <c r="K97" i="19"/>
  <c r="N96" i="19"/>
  <c r="N93" i="19"/>
  <c r="K93" i="19"/>
  <c r="N92" i="19"/>
  <c r="K92" i="19"/>
  <c r="N91" i="19"/>
  <c r="K91" i="19"/>
  <c r="N90" i="19"/>
  <c r="K90" i="19"/>
  <c r="N89" i="19"/>
  <c r="K89" i="19"/>
  <c r="N88" i="19"/>
  <c r="N85" i="19"/>
  <c r="K85" i="19"/>
  <c r="N84" i="19"/>
  <c r="K84" i="19"/>
  <c r="N80" i="19"/>
  <c r="K80" i="19"/>
  <c r="N79" i="19"/>
  <c r="K79" i="19"/>
  <c r="N78" i="19"/>
  <c r="K78" i="19"/>
  <c r="N77" i="19"/>
  <c r="N76" i="19"/>
  <c r="K76" i="19"/>
  <c r="N69" i="19"/>
  <c r="N213" i="19"/>
  <c r="N210" i="19"/>
  <c r="N207" i="19"/>
  <c r="N60" i="19"/>
  <c r="K60" i="19"/>
  <c r="N51" i="19"/>
  <c r="N48" i="19"/>
  <c r="Z41" i="19"/>
  <c r="Z40" i="19"/>
  <c r="Z39" i="19"/>
  <c r="Z38" i="19"/>
  <c r="Z36" i="19"/>
  <c r="Z35" i="19"/>
  <c r="Z34" i="19"/>
  <c r="Z33" i="19"/>
  <c r="Z32" i="19"/>
  <c r="Z31" i="19"/>
  <c r="Z30" i="19"/>
  <c r="Z29" i="19"/>
  <c r="Z28" i="19"/>
  <c r="Z24" i="19"/>
  <c r="Z23" i="19"/>
  <c r="S23" i="19" s="1"/>
  <c r="W23" i="19" s="1"/>
  <c r="Z22" i="19"/>
  <c r="S22" i="19" s="1"/>
  <c r="W22" i="19" s="1"/>
  <c r="Z21" i="19"/>
  <c r="S21" i="19" s="1"/>
  <c r="W21" i="19" s="1"/>
  <c r="Z20" i="19"/>
  <c r="S20" i="19" s="1"/>
  <c r="Z16" i="19"/>
  <c r="Z15" i="19"/>
  <c r="S15" i="19" s="1"/>
  <c r="W15" i="19" s="1"/>
  <c r="Z14" i="19"/>
  <c r="S14" i="19" s="1"/>
  <c r="W14" i="19" s="1"/>
  <c r="Z13" i="19"/>
  <c r="S13" i="19" s="1"/>
  <c r="N214" i="18"/>
  <c r="N211" i="18"/>
  <c r="N208" i="18"/>
  <c r="N205" i="18"/>
  <c r="N202" i="18"/>
  <c r="N199" i="18"/>
  <c r="N191" i="18"/>
  <c r="N188" i="18"/>
  <c r="N185" i="18"/>
  <c r="N182" i="18"/>
  <c r="N179" i="18"/>
  <c r="N176" i="18"/>
  <c r="N169" i="18"/>
  <c r="K169" i="18"/>
  <c r="N168" i="18"/>
  <c r="N165" i="18"/>
  <c r="K165" i="18"/>
  <c r="N163" i="18"/>
  <c r="N160" i="18"/>
  <c r="K160" i="18"/>
  <c r="N158" i="18"/>
  <c r="N155" i="18"/>
  <c r="K155" i="18"/>
  <c r="N151" i="18"/>
  <c r="K151" i="18"/>
  <c r="N148" i="18"/>
  <c r="K148" i="18"/>
  <c r="N144" i="18"/>
  <c r="K144" i="18"/>
  <c r="N143" i="18"/>
  <c r="N140" i="18"/>
  <c r="K140" i="18"/>
  <c r="N139" i="18"/>
  <c r="N136" i="18"/>
  <c r="K136" i="18"/>
  <c r="N132" i="18"/>
  <c r="K132" i="18"/>
  <c r="N131" i="18"/>
  <c r="N128" i="18"/>
  <c r="K128" i="18"/>
  <c r="N127" i="18"/>
  <c r="K127" i="18"/>
  <c r="N126" i="18"/>
  <c r="K126" i="18"/>
  <c r="N125" i="18"/>
  <c r="N122" i="18"/>
  <c r="K122" i="18"/>
  <c r="N121" i="18"/>
  <c r="K121" i="18"/>
  <c r="N120" i="18"/>
  <c r="K120" i="18"/>
  <c r="N119" i="18"/>
  <c r="N116" i="18"/>
  <c r="K116" i="18"/>
  <c r="N115" i="18"/>
  <c r="K115" i="18"/>
  <c r="N114" i="18"/>
  <c r="K114" i="18"/>
  <c r="N113" i="18"/>
  <c r="K113" i="18"/>
  <c r="N112" i="18"/>
  <c r="K112" i="18"/>
  <c r="N111" i="18"/>
  <c r="N108" i="18"/>
  <c r="K108" i="18"/>
  <c r="N107" i="18"/>
  <c r="K107" i="18"/>
  <c r="N106" i="18"/>
  <c r="K106" i="18"/>
  <c r="N105" i="18"/>
  <c r="K105" i="18"/>
  <c r="N104" i="18"/>
  <c r="N101" i="18"/>
  <c r="K101" i="18"/>
  <c r="N100" i="18"/>
  <c r="K100" i="18"/>
  <c r="N99" i="18"/>
  <c r="K99" i="18"/>
  <c r="N98" i="18"/>
  <c r="K98" i="18"/>
  <c r="N97" i="18"/>
  <c r="K97" i="18"/>
  <c r="N96" i="18"/>
  <c r="N93" i="18"/>
  <c r="K93" i="18"/>
  <c r="N92" i="18"/>
  <c r="K92" i="18"/>
  <c r="N91" i="18"/>
  <c r="K91" i="18"/>
  <c r="N90" i="18"/>
  <c r="K90" i="18"/>
  <c r="N89" i="18"/>
  <c r="N86" i="18"/>
  <c r="K86" i="18"/>
  <c r="N85" i="18"/>
  <c r="K85" i="18"/>
  <c r="N84" i="18"/>
  <c r="K84" i="18"/>
  <c r="N83" i="18"/>
  <c r="K83" i="18"/>
  <c r="N82" i="18"/>
  <c r="K82" i="18"/>
  <c r="N81" i="18"/>
  <c r="N75" i="18"/>
  <c r="N70" i="18"/>
  <c r="N67" i="18"/>
  <c r="N64" i="18"/>
  <c r="N58" i="18"/>
  <c r="K58" i="18"/>
  <c r="N51" i="18"/>
  <c r="N48" i="18"/>
  <c r="N193" i="18" s="1"/>
  <c r="L41" i="18"/>
  <c r="L40" i="18"/>
  <c r="L39" i="18"/>
  <c r="L38" i="18"/>
  <c r="L36" i="18"/>
  <c r="L35" i="18"/>
  <c r="L34" i="18"/>
  <c r="L33" i="18"/>
  <c r="L32" i="18"/>
  <c r="L31" i="18"/>
  <c r="L30" i="18"/>
  <c r="L29" i="18"/>
  <c r="L28" i="18"/>
  <c r="L24" i="18"/>
  <c r="L23" i="18"/>
  <c r="L22" i="18"/>
  <c r="L21" i="18"/>
  <c r="L20" i="18"/>
  <c r="L16" i="18"/>
  <c r="L15" i="18"/>
  <c r="L14" i="18"/>
  <c r="L13" i="18"/>
  <c r="S27" i="19" l="1"/>
  <c r="W20" i="19"/>
  <c r="S17" i="19"/>
  <c r="W13" i="19"/>
  <c r="N168" i="19"/>
  <c r="N193" i="3"/>
  <c r="K129" i="3"/>
  <c r="U17" i="19" l="1"/>
  <c r="W17" i="19"/>
  <c r="W27" i="19"/>
  <c r="U27" i="19"/>
  <c r="K123" i="3"/>
  <c r="K117" i="3"/>
  <c r="K109" i="3"/>
  <c r="K102" i="3"/>
  <c r="N89" i="3" l="1"/>
  <c r="I87" i="3"/>
  <c r="K87" i="3"/>
  <c r="N185" i="3"/>
  <c r="N58" i="3" l="1"/>
  <c r="N51" i="3"/>
  <c r="N75" i="3"/>
  <c r="N131" i="3"/>
  <c r="AB45" i="3"/>
  <c r="AC45" i="3" s="1"/>
  <c r="AC42" i="3"/>
  <c r="AC41" i="3"/>
  <c r="AC40" i="3"/>
  <c r="AC39" i="3"/>
  <c r="AC37" i="3"/>
  <c r="AC36" i="3"/>
  <c r="AC35" i="3"/>
  <c r="AC34" i="3"/>
  <c r="AC33" i="3"/>
  <c r="AC32" i="3"/>
  <c r="AC31" i="3"/>
  <c r="AC30" i="3"/>
  <c r="AC29" i="3"/>
  <c r="AB43" i="3"/>
  <c r="AB42" i="3"/>
  <c r="AB41" i="3"/>
  <c r="AB40" i="3"/>
  <c r="AB39" i="3"/>
  <c r="AB37" i="3"/>
  <c r="AB36" i="3"/>
  <c r="AB35" i="3"/>
  <c r="AB34" i="3"/>
  <c r="AB33" i="3"/>
  <c r="AB32" i="3"/>
  <c r="AB31" i="3"/>
  <c r="AB30" i="3"/>
  <c r="AB29" i="3"/>
  <c r="Z45" i="3"/>
  <c r="Y45" i="3"/>
  <c r="AA35" i="3"/>
  <c r="AA42" i="3"/>
  <c r="AA36" i="3"/>
  <c r="L13" i="3"/>
  <c r="Y13" i="3"/>
  <c r="Y17" i="3" s="1"/>
  <c r="AA17" i="3" s="1"/>
  <c r="AA27" i="3"/>
  <c r="Z27" i="3"/>
  <c r="AA15" i="3"/>
  <c r="AA14" i="3"/>
  <c r="AA13" i="3"/>
  <c r="Z17" i="3"/>
  <c r="AB16" i="3"/>
  <c r="AB15" i="3"/>
  <c r="Y15" i="3"/>
  <c r="AB14" i="3"/>
  <c r="Y14" i="3"/>
  <c r="AB13" i="3"/>
  <c r="Y20" i="3"/>
  <c r="AA20" i="3"/>
  <c r="AB20" i="3"/>
  <c r="AC20" i="3"/>
  <c r="Y21" i="3"/>
  <c r="AB21" i="3"/>
  <c r="AC21" i="3"/>
  <c r="AA22" i="3"/>
  <c r="AB22" i="3" s="1"/>
  <c r="AC22" i="3" s="1"/>
  <c r="AA23" i="3"/>
  <c r="Y24" i="3"/>
  <c r="Y23" i="3"/>
  <c r="Y22" i="3"/>
  <c r="L41" i="3"/>
  <c r="L40" i="3"/>
  <c r="L39" i="3"/>
  <c r="L38" i="3"/>
  <c r="L36" i="3"/>
  <c r="L35" i="3"/>
  <c r="L34" i="3"/>
  <c r="L33" i="3"/>
  <c r="L32" i="3"/>
  <c r="L31" i="3"/>
  <c r="L30" i="3"/>
  <c r="L29" i="3"/>
  <c r="L28" i="3"/>
  <c r="L24" i="3"/>
  <c r="L23" i="3"/>
  <c r="L22" i="3"/>
  <c r="L21" i="3"/>
  <c r="L20" i="3"/>
  <c r="L16" i="3"/>
  <c r="L15" i="3"/>
  <c r="L14" i="3"/>
  <c r="AB25" i="3"/>
  <c r="AC25" i="3" s="1"/>
  <c r="AB23" i="3"/>
  <c r="AC23" i="3" s="1"/>
  <c r="AC13" i="3" l="1"/>
  <c r="AB17" i="3"/>
  <c r="AC17" i="3" s="1"/>
  <c r="AC15" i="3"/>
  <c r="AC14" i="3"/>
  <c r="AB27" i="3"/>
  <c r="Y27" i="3" l="1"/>
  <c r="AC27" i="3" s="1"/>
  <c r="N168" i="3" l="1"/>
  <c r="N163" i="3"/>
  <c r="N158" i="3"/>
  <c r="N143" i="3"/>
  <c r="N139" i="3"/>
  <c r="N101" i="3"/>
  <c r="K101" i="3"/>
  <c r="N48" i="3"/>
  <c r="N191" i="3" l="1"/>
  <c r="K58" i="3"/>
  <c r="N176" i="3"/>
  <c r="N169" i="3"/>
  <c r="K169" i="3"/>
  <c r="N165" i="3"/>
  <c r="K165" i="3"/>
  <c r="N116" i="3"/>
  <c r="K116" i="3"/>
  <c r="N108" i="3"/>
  <c r="K108" i="3"/>
  <c r="N160" i="3"/>
  <c r="K160" i="3"/>
  <c r="N155" i="3"/>
  <c r="K155" i="3"/>
  <c r="N151" i="3"/>
  <c r="K151" i="3"/>
  <c r="N148" i="3"/>
  <c r="K148" i="3"/>
  <c r="N144" i="3"/>
  <c r="K144" i="3"/>
  <c r="N140" i="3"/>
  <c r="K140" i="3"/>
  <c r="N136" i="3"/>
  <c r="K136" i="3"/>
  <c r="N132" i="3"/>
  <c r="K132" i="3"/>
  <c r="N70" i="3" l="1"/>
  <c r="N67" i="3"/>
  <c r="N64" i="3" l="1"/>
  <c r="N208" i="3"/>
  <c r="N205" i="3"/>
  <c r="N202" i="3"/>
  <c r="N211" i="3"/>
  <c r="N214" i="3"/>
  <c r="N199" i="3"/>
  <c r="N188" i="3"/>
  <c r="N182" i="3"/>
  <c r="N179" i="3"/>
  <c r="N104" i="3"/>
  <c r="N107" i="3"/>
  <c r="N106" i="3"/>
  <c r="N105" i="3"/>
  <c r="N128" i="3"/>
  <c r="N127" i="3"/>
  <c r="N126" i="3"/>
  <c r="N125" i="3"/>
  <c r="N86" i="3"/>
  <c r="N85" i="3"/>
  <c r="N84" i="3"/>
  <c r="N83" i="3"/>
  <c r="N82" i="3"/>
  <c r="N81" i="3"/>
  <c r="N122" i="3"/>
  <c r="N121" i="3"/>
  <c r="N120" i="3"/>
  <c r="N119" i="3"/>
  <c r="N115" i="3"/>
  <c r="N114" i="3"/>
  <c r="N113" i="3"/>
  <c r="N112" i="3"/>
  <c r="N111" i="3"/>
  <c r="N100" i="3"/>
  <c r="N99" i="3"/>
  <c r="N98" i="3"/>
  <c r="N97" i="3"/>
  <c r="N96" i="3"/>
  <c r="N93" i="3"/>
  <c r="N92" i="3"/>
  <c r="N91" i="3"/>
  <c r="N90" i="3"/>
  <c r="K99" i="3" l="1"/>
  <c r="K100" i="3"/>
  <c r="K107" i="3"/>
  <c r="K106" i="3"/>
  <c r="K127" i="3"/>
  <c r="K128" i="3"/>
  <c r="K126" i="3"/>
  <c r="K85" i="3"/>
  <c r="K86" i="3"/>
  <c r="K114" i="3"/>
  <c r="K84" i="3"/>
  <c r="K83" i="3"/>
  <c r="K82" i="3"/>
  <c r="K121" i="3"/>
  <c r="K120" i="3"/>
  <c r="K113" i="3"/>
  <c r="K112" i="3"/>
  <c r="K98" i="3"/>
  <c r="K97" i="3"/>
  <c r="K122" i="3"/>
  <c r="K105" i="3"/>
  <c r="K115" i="3"/>
  <c r="K92" i="3"/>
  <c r="K91" i="3"/>
  <c r="K93" i="3"/>
  <c r="K90" i="3"/>
  <c r="B9" i="16"/>
  <c r="D9" i="16"/>
  <c r="D8" i="16"/>
  <c r="D7" i="16"/>
  <c r="D6" i="16"/>
  <c r="D11" i="16" l="1"/>
</calcChain>
</file>

<file path=xl/comments1.xml><?xml version="1.0" encoding="utf-8"?>
<comments xmlns="http://schemas.openxmlformats.org/spreadsheetml/2006/main">
  <authors>
    <author>Gilbert, John - Division of District Support</author>
  </authors>
  <commentList>
    <comment ref="Z11" authorId="0" shapeId="0">
      <text>
        <r>
          <rPr>
            <sz val="9"/>
            <color indexed="81"/>
            <rFont val="Tahoma"/>
            <family val="2"/>
          </rPr>
          <t>Pursuant to 103.4.1.5, A review of the district's enrollment and interpolation from the U of L - Kentucky Data Center projection for Hardin County indicates a 6-year enrollment increase of 7% through 2028 beginning with the 2019 SAAR enrollment numbers (2019/20 used due to COVID with projections starting at 2022 to create the 6-year projection). This Column outlines the 6-year projected enrollment for reference only. This information will not show on the final DFP posting on the KDE website.</t>
        </r>
      </text>
    </comment>
    <comment ref="AA11" authorId="0" shapeId="0">
      <text>
        <r>
          <rPr>
            <sz val="9"/>
            <color indexed="81"/>
            <rFont val="Tahoma"/>
            <family val="2"/>
          </rPr>
          <t xml:space="preserve">Enrollment </t>
        </r>
        <r>
          <rPr>
            <i/>
            <u/>
            <sz val="9"/>
            <color indexed="81"/>
            <rFont val="Tahoma"/>
            <family val="2"/>
          </rPr>
          <t>and</t>
        </r>
        <r>
          <rPr>
            <sz val="9"/>
            <color indexed="81"/>
            <rFont val="Tahoma"/>
            <family val="2"/>
          </rPr>
          <t xml:space="preserve"> capacity checks were performed with your Part 2 Orientation packet (see Cost of Delivery of Services). SAAR 2019 enrollment numbers and capacity is calculated based on KFICS reporting. If enrollment is within 25 students, I deferred to the reported number in your draft plan. If more than a 25 student discrepancy, I utilized the SAAR 2019 numbers and projected accordingly. Capacity numbers are utilized from KFICS (no rounding). Your final DFP will utilize the updated enrollment and capacity check numbers.</t>
        </r>
      </text>
    </comment>
    <comment ref="AB11" authorId="0" shapeId="0">
      <text>
        <r>
          <rPr>
            <b/>
            <sz val="9"/>
            <color indexed="81"/>
            <rFont val="Tahoma"/>
            <family val="2"/>
          </rPr>
          <t>Gilbert, John - Division of District Support:</t>
        </r>
        <r>
          <rPr>
            <sz val="9"/>
            <color indexed="81"/>
            <rFont val="Tahoma"/>
            <family val="2"/>
          </rPr>
          <t xml:space="preserve">
</t>
        </r>
      </text>
    </comment>
  </commentList>
</comments>
</file>

<file path=xl/comments2.xml><?xml version="1.0" encoding="utf-8"?>
<comments xmlns="http://schemas.openxmlformats.org/spreadsheetml/2006/main">
  <authors>
    <author>Gilbert, John - Division of District Support</author>
  </authors>
  <commentList>
    <comment ref="Z11" authorId="0" shapeId="0">
      <text>
        <r>
          <rPr>
            <sz val="9"/>
            <color indexed="81"/>
            <rFont val="Tahoma"/>
            <family val="2"/>
          </rPr>
          <t>Pursuant to 103.4.1.5, A review of the district's enrollment and interpolation from the U of L - Kentucky Data Center projection for Hardin County indicates a 6-year enrollment increase of 7% through 2028 beginning with the 2019 SAAR enrollment numbers (2019/20 used due to COVID with projections starting at 2022 to create the 6-year projection). This Column outlines the 6-year projected enrollment for reference only. This information will not show on the final DFP posting on the KDE website.</t>
        </r>
      </text>
    </comment>
    <comment ref="AA11" authorId="0" shapeId="0">
      <text>
        <r>
          <rPr>
            <sz val="9"/>
            <color indexed="81"/>
            <rFont val="Tahoma"/>
            <family val="2"/>
          </rPr>
          <t xml:space="preserve">Enrollment </t>
        </r>
        <r>
          <rPr>
            <i/>
            <u/>
            <sz val="9"/>
            <color indexed="81"/>
            <rFont val="Tahoma"/>
            <family val="2"/>
          </rPr>
          <t>and</t>
        </r>
        <r>
          <rPr>
            <sz val="9"/>
            <color indexed="81"/>
            <rFont val="Tahoma"/>
            <family val="2"/>
          </rPr>
          <t xml:space="preserve"> capacity checks were performed with your Part 2 Orientation packet (see Cost of Delivery of Services). SAAR 2019 enrollment numbers and capacity is calculated based on KFICS reporting. If enrollment is within 25 students, I deferred to the reported number in your draft plan. If more than a 25 student discrepancy, I utilized the SAAR 2019 numbers and projected accordingly. Capacity numbers are utilized from KFICS (no rounding). Your final DFP will utilize the updated enrollment and capacity check numbers.</t>
        </r>
      </text>
    </comment>
    <comment ref="AB11" authorId="0" shapeId="0">
      <text>
        <r>
          <rPr>
            <b/>
            <sz val="9"/>
            <color indexed="81"/>
            <rFont val="Tahoma"/>
            <family val="2"/>
          </rPr>
          <t>Gilbert, John - Division of District Support:</t>
        </r>
        <r>
          <rPr>
            <sz val="9"/>
            <color indexed="81"/>
            <rFont val="Tahoma"/>
            <family val="2"/>
          </rPr>
          <t xml:space="preserve">
</t>
        </r>
      </text>
    </comment>
  </commentList>
</comments>
</file>

<file path=xl/comments3.xml><?xml version="1.0" encoding="utf-8"?>
<comments xmlns="http://schemas.openxmlformats.org/spreadsheetml/2006/main">
  <authors>
    <author>Gilbert, John - Division of District Support</author>
  </authors>
  <commentList>
    <comment ref="Z11" authorId="0" shapeId="0">
      <text>
        <r>
          <rPr>
            <sz val="9"/>
            <color indexed="81"/>
            <rFont val="Tahoma"/>
            <family val="2"/>
          </rPr>
          <t>Pursuant to 103.4.1.5, A review of the district's enrollment and interpolation from the U of L - Kentucky Data Center projection for Hardin County indicates a 6-year enrollment increase of 7% through 2028 beginning with the 2019 SAAR enrollment numbers (2019/20 used due to COVID with projections starting at 2022 to create the 6-year projection). This Column outlines the 6-year projected enrollment for reference only. This information will not show on the final DFP posting on the KDE website.</t>
        </r>
      </text>
    </comment>
    <comment ref="AA11" authorId="0" shapeId="0">
      <text>
        <r>
          <rPr>
            <sz val="9"/>
            <color indexed="81"/>
            <rFont val="Tahoma"/>
            <family val="2"/>
          </rPr>
          <t xml:space="preserve">Enrollment </t>
        </r>
        <r>
          <rPr>
            <i/>
            <u/>
            <sz val="9"/>
            <color indexed="81"/>
            <rFont val="Tahoma"/>
            <family val="2"/>
          </rPr>
          <t>and</t>
        </r>
        <r>
          <rPr>
            <sz val="9"/>
            <color indexed="81"/>
            <rFont val="Tahoma"/>
            <family val="2"/>
          </rPr>
          <t xml:space="preserve"> capacity checks were performed with your Part 2 Orientation packet (see Cost of Delivery of Services). SAAR 2019 enrollment numbers and capacity is calculated based on KFICS reporting. If enrollment is within 25 students, I deferred to the reported number in your draft plan. If more than a 25 student discrepancy, I utilized the SAAR 2019 numbers and projected accordingly. Capacity numbers are utilized from KFICS (no rounding). Your final DFP will utilize the updated enrollment and capacity check numbers.</t>
        </r>
      </text>
    </comment>
    <comment ref="AB11" authorId="0" shapeId="0">
      <text>
        <r>
          <rPr>
            <b/>
            <sz val="9"/>
            <color indexed="81"/>
            <rFont val="Tahoma"/>
            <family val="2"/>
          </rPr>
          <t>Gilbert, John - Division of District Support:</t>
        </r>
        <r>
          <rPr>
            <sz val="9"/>
            <color indexed="81"/>
            <rFont val="Tahoma"/>
            <family val="2"/>
          </rPr>
          <t xml:space="preserve">
</t>
        </r>
      </text>
    </comment>
  </commentList>
</comments>
</file>

<file path=xl/comments4.xml><?xml version="1.0" encoding="utf-8"?>
<comments xmlns="http://schemas.openxmlformats.org/spreadsheetml/2006/main">
  <authors>
    <author>Gilbert, John - Division of District Support</author>
  </authors>
  <commentList>
    <comment ref="F10" authorId="0" shapeId="0">
      <text>
        <r>
          <rPr>
            <sz val="9"/>
            <color indexed="81"/>
            <rFont val="Tahoma"/>
            <family val="2"/>
          </rPr>
          <t>We included the College View Plan of Organization.</t>
        </r>
      </text>
    </comment>
    <comment ref="L11" authorId="0" shapeId="0">
      <text>
        <r>
          <rPr>
            <sz val="9"/>
            <color indexed="81"/>
            <rFont val="Tahoma"/>
            <family val="2"/>
          </rPr>
          <t>Pursuant to 103.4.1.5, A review of the district's enrollment and interpolation from the U of L - Kentucky Data Center projection for Hardin County indicates a 6-year enrollment increase of 7% through 2028 beginning with the 2019 SAAR enrollment numbers (2019/20 used due to COVID with projections starting at 2022 to create the 6-year projection). This Column outlines the 6-year projected enrollment for reference only. This information will not show on the final DFP posting on the KDE website.</t>
        </r>
      </text>
    </comment>
    <comment ref="M11" authorId="0" shapeId="0">
      <text>
        <r>
          <rPr>
            <sz val="9"/>
            <color indexed="81"/>
            <rFont val="Tahoma"/>
            <family val="2"/>
          </rPr>
          <t xml:space="preserve">Enrollment </t>
        </r>
        <r>
          <rPr>
            <i/>
            <u/>
            <sz val="9"/>
            <color indexed="81"/>
            <rFont val="Tahoma"/>
            <family val="2"/>
          </rPr>
          <t>and</t>
        </r>
        <r>
          <rPr>
            <sz val="9"/>
            <color indexed="81"/>
            <rFont val="Tahoma"/>
            <family val="2"/>
          </rPr>
          <t xml:space="preserve"> capacity checks were performed with your Part 2 Orientation packet (see Cost of Delivery of Services). SAAR 2019 enrollment numbers and capacity is calculated based on KFICS reporting. If enrollment is within 25 students, I deferred to the reported number in your draft plan. If more than a 25 student discrepancy, I utilized the SAAR 2019 numbers and projected accordingly. Capacity numbers are utilized from KFICS (no rounding). Your final DFP will utilize the updated enrollment and capacity check numbers.</t>
        </r>
      </text>
    </comment>
    <comment ref="O11" authorId="0" shapeId="0">
      <text>
        <r>
          <rPr>
            <b/>
            <sz val="9"/>
            <color indexed="81"/>
            <rFont val="Tahoma"/>
            <family val="2"/>
          </rPr>
          <t>Gilbert, John - Division of District Support:</t>
        </r>
        <r>
          <rPr>
            <sz val="9"/>
            <color indexed="81"/>
            <rFont val="Tahoma"/>
            <family val="2"/>
          </rPr>
          <t xml:space="preserve">
</t>
        </r>
      </text>
    </comment>
    <comment ref="G12" authorId="0" shapeId="0">
      <text>
        <r>
          <rPr>
            <sz val="9"/>
            <color indexed="81"/>
            <rFont val="Tahoma"/>
            <family val="2"/>
          </rPr>
          <t>KDE now lists the School Classification of each school center. Review your Part 2 Orientation packet (Cost of Delivery of Services) where this original information was presented.</t>
        </r>
      </text>
    </comment>
    <comment ref="R16" authorId="0" shapeId="0">
      <text>
        <r>
          <rPr>
            <b/>
            <sz val="9"/>
            <color indexed="81"/>
            <rFont val="Tahoma"/>
            <family val="2"/>
          </rPr>
          <t>GENERAL COMMENTS REGARDING THE AGE OF AREAS BEING PROPOSED FOR RENOVATIONS:</t>
        </r>
        <r>
          <rPr>
            <sz val="9"/>
            <color indexed="81"/>
            <rFont val="Tahoma"/>
            <family val="2"/>
          </rPr>
          <t xml:space="preserve"> 
Some Hardin County School Facilities are comprised of initial buildings that are more than 30 years old with various additions and renovations made to them over time.   
Consequently, due to age-requirements for renovations,  renovations to older areas of a facility may qualify as Priority 1 through Priority 4 projects while renovations to newer areas of the same facility may not.
The KDE Planning Requirements are:
Renovations of Facilities that are less than 30 years old do not qualify as Priority 1 through Priority 4 projects, with the following two (2) exceptions:
Exception 1: HVAC and Roofing renovations that are more the 15 years old.
Exception 2: Any Life Safety / Security and ADA upgrade.
For all renovation descriptions, indicate the date of construction for each renovated area in the description and include all dates for sections of a building between the school name and the reported gross area (see highlights for Creekside Elementary). Match your KFICS information as previously provided by the district.
For those renovation items that do not comply with the age-requirements, either delete them or move them to Priority 5.
Also, keep in mind that BG-1 Project Applications will be reviewed for compliance to the age-requirements for renovation work.</t>
        </r>
      </text>
    </comment>
    <comment ref="D48" authorId="0" shapeId="0">
      <text>
        <r>
          <rPr>
            <sz val="9"/>
            <color indexed="81"/>
            <rFont val="Tahoma"/>
            <family val="2"/>
          </rPr>
          <t>Clarify this language to identify this facility is for 450 kindergarten students and 300 preschool students for the district. Preschool is not considered in enrollment numbers per regulation. Adjust numbers if needed in your clarification.</t>
        </r>
      </text>
    </comment>
    <comment ref="D51" authorId="0" shapeId="0">
      <text>
        <r>
          <rPr>
            <sz val="9"/>
            <color indexed="81"/>
            <rFont val="Tahoma"/>
            <family val="2"/>
          </rPr>
          <t>In review of all middle school spaces compared to enrollment projections, if all new spaces are considered (additions and new schools) in the 6-year cycle (including this school), the District would have a total enrollment to capacity projection of 75%. The proposed school with the current population projection would have this facility at 80%. Pursuant to Section 304.2.1.1, "The resulting movement from the existing facility to the new facility shall not reduce the enrollment of the existing facility to less than 85% of its projected capacity." Make sure all middle schools are at or above 85% before moving the plan forward. Projections show you will need to reduce overall capacity considerations by at least 550 students which may impact more than one facility on the DFP. Additional note: You may want to identify some additional classrooms as LIPSA to maintain numbers provided any particular school does not exceed 125% when adding the space.</t>
        </r>
      </text>
    </comment>
    <comment ref="G58" authorId="0" shapeId="0">
      <text>
        <r>
          <rPr>
            <sz val="9"/>
            <color indexed="81"/>
            <rFont val="Tahoma"/>
            <family val="2"/>
          </rPr>
          <t>Any Locally Identified Career and Technical Education (LICTE) programs shall be identified on the final DFP and approved by the Office of Career and Techincal Education (OCTE). If programs are not defined and approved, you shall remove them from your DFP. You shall refer to Section 304.9 of the Planning Manual concerning this requirement. Contact Dr. Beth Hargis to gain approval prior to sending to your Board or move to Priority 5.</t>
        </r>
      </text>
    </comment>
    <comment ref="N59" authorId="0" shapeId="0">
      <text>
        <r>
          <rPr>
            <sz val="9"/>
            <color indexed="81"/>
            <rFont val="Tahoma"/>
            <family val="2"/>
          </rPr>
          <t>Cost per square foot adjusted to CTE/vocational facilities at $242.09 to match KDE Insurance Replacement Cost Values as utilized for planning purposes.</t>
        </r>
      </text>
    </comment>
    <comment ref="F63" authorId="0" shapeId="0">
      <text>
        <r>
          <rPr>
            <sz val="9"/>
            <color indexed="81"/>
            <rFont val="Tahoma"/>
            <family val="2"/>
          </rPr>
          <t>In review of all elementary school spaces compared to enrollment projections, if all new spaces are considered (additions and new schools) in the 6-year cycle (including this new school), the District would have a total enrollment to capacity projection of 77%. The target enrollment to capacity number is 85%. Pursuant to Section 304.2.1.1 previously quoted, revise this plan and illustrate how all elementary schools are at or above 85% capacity before moving the plan forward. Projections show you will need to reduce capacity considerations by at least 800 students which may impact more than one facility on the DFP. Additional note: You may want to identify some additional classrooms as LIPSA to maintain numbers provided any particular school does not exceed 125% when adding the space.</t>
        </r>
      </text>
    </comment>
    <comment ref="K63" authorId="0" shapeId="0">
      <text>
        <r>
          <rPr>
            <sz val="9"/>
            <color indexed="81"/>
            <rFont val="Tahoma"/>
            <family val="2"/>
          </rPr>
          <t>If maintained upon revision of the plan, confirm if this is a PS-5 school (65,736) or a 1-5 school (63,507).</t>
        </r>
      </text>
    </comment>
    <comment ref="E66" authorId="0" shapeId="0">
      <text>
        <r>
          <rPr>
            <sz val="9"/>
            <color indexed="81"/>
            <rFont val="Tahoma"/>
            <family val="2"/>
          </rPr>
          <t>See the note under Priority 1b.2. Same information applies.</t>
        </r>
      </text>
    </comment>
    <comment ref="E69" authorId="0" shapeId="0">
      <text>
        <r>
          <rPr>
            <sz val="9"/>
            <color indexed="81"/>
            <rFont val="Tahoma"/>
            <family val="2"/>
          </rPr>
          <t>In review of all high school spaces compared to enrollment projections, if all new spaces are considered (additions and new schools) in the 6-year cycle (including this new school), the District would have a total enrollment to capacity projection of 71%. The target enrollment to capacity number is 85%. Pursuant to Section 304.2.1.1 previously quoted, make sure all high schools are at or above 85% before moving the plan forward. Projections show you will need to reduce capacity considerations by at least 1,100 students which may impact more than one facility on the DFP. Additional note: You may want to identify some additional classrooms as LIPSA to maintain numbers provided any particular school does not exceed 125% when adding the space.</t>
        </r>
      </text>
    </comment>
    <comment ref="K74" authorId="0" shapeId="0">
      <text>
        <r>
          <rPr>
            <sz val="9"/>
            <color indexed="81"/>
            <rFont val="Tahoma"/>
            <family val="2"/>
          </rPr>
          <t>Per KDE Model Program (Table 304.7.5), interpolating numbers for a new alternative school shall result in a maximum area of 50,000gsf. Costs for a new alternative school would not exceed $13,734,500 for planning purposes as defined with current published numbers.</t>
        </r>
      </text>
    </comment>
    <comment ref="N75" authorId="0" shapeId="0">
      <text>
        <r>
          <rPr>
            <b/>
            <sz val="9"/>
            <color indexed="81"/>
            <rFont val="Tahoma"/>
            <family val="2"/>
          </rPr>
          <t>Gilbert, John - Division of District Support:</t>
        </r>
        <r>
          <rPr>
            <sz val="9"/>
            <color indexed="81"/>
            <rFont val="Tahoma"/>
            <family val="2"/>
          </rPr>
          <t xml:space="preserve">
</t>
        </r>
      </text>
    </comment>
    <comment ref="N82" authorId="0" shapeId="0">
      <text>
        <r>
          <rPr>
            <sz val="9"/>
            <color indexed="81"/>
            <rFont val="Tahoma"/>
            <family val="2"/>
          </rPr>
          <t xml:space="preserve">RENOVATION: Renovation as described and valued are acceptable.
ADDITIONS: The maximum gross area per the KDE Model Program interpolated as a 475-student elementary school is 55,162 gsf; at 54,410 gsf the school is under model program requirements by 752 sf (or 1.4%).The school is eligible for addition considerations. The proposed additions however, are over the allowable area for number of students served {54,410+17,838 = 72,248. 72,248/55,162 = 131%}. Pursuant to Section 305.5 the maximum allowable size the school can report additions for is up to 125%. The maximum addition considerations the district may report in terms of gross square feet shall be (55,162*1.25)-54,410= 14,543gsf (rounded). Remove (17,838-14,543)= 3,295gsf of addition considerations or move the equivalent to Priority 5 considerations.  
</t>
        </r>
      </text>
    </comment>
    <comment ref="N90" authorId="0" shapeId="0">
      <text>
        <r>
          <rPr>
            <sz val="9"/>
            <color indexed="81"/>
            <rFont val="Tahoma"/>
            <family val="2"/>
          </rPr>
          <t xml:space="preserve">Description provided does not align with the intent of the previous DFP with Phase 2 work demolishing the 1966 and 1969 portions of the building. Furthermore, provide evidence that a completed phase 2 as presented in the DFP will not exceed 273,778 gsf facility for a 1,800 student school in accordance with Section 305.5. Update the </t>
        </r>
        <r>
          <rPr>
            <i/>
            <u/>
            <sz val="9"/>
            <color indexed="81"/>
            <rFont val="Tahoma"/>
            <family val="2"/>
          </rPr>
          <t>existing</t>
        </r>
        <r>
          <rPr>
            <sz val="9"/>
            <color indexed="81"/>
            <rFont val="Tahoma"/>
            <family val="2"/>
          </rPr>
          <t xml:space="preserve"> square footage to match the active project work. Update the renovation number to remove the 1966 and 1969 sections of the building.</t>
        </r>
      </text>
    </comment>
    <comment ref="N97" authorId="0" shapeId="0">
      <text>
        <r>
          <rPr>
            <sz val="9"/>
            <color indexed="81"/>
            <rFont val="Tahoma"/>
            <family val="2"/>
          </rPr>
          <t xml:space="preserve">RENOVATION: Renovation as described and valued are acceptable. More clearly define, "internal program reconfiguration to meet KDE model program for a middle school" in your renovation description.
ADDITIONS: The proposed additions are allowable for number of students served {70,406+12,394 = 82,800. 82,800/88,739 = 93%}. No adjustments needed.  
</t>
        </r>
      </text>
    </comment>
    <comment ref="N105" authorId="0" shapeId="0">
      <text>
        <r>
          <rPr>
            <sz val="9"/>
            <color indexed="81"/>
            <rFont val="Tahoma"/>
            <family val="2"/>
          </rPr>
          <t xml:space="preserve">RENOVATION: Renovation as described and valued are acceptable.
ADDITIONS: The proposed additions are over the allowable area for number of students served {63,141+8,041 = 71,182. 71,182/65,736 = 108%}. The area requested is acceptable in accordance with Section 305.5 for the school building.  
</t>
        </r>
      </text>
    </comment>
    <comment ref="N112" authorId="0" shapeId="0">
      <text>
        <r>
          <rPr>
            <sz val="9"/>
            <color indexed="81"/>
            <rFont val="Tahoma"/>
            <family val="2"/>
          </rPr>
          <t xml:space="preserve">RENOVATION: Pursuant to Section 305.3.2,renovation costs 
currently listed total $2,204,210and are allowable </t>
        </r>
        <r>
          <rPr>
            <i/>
            <sz val="9"/>
            <color indexed="81"/>
            <rFont val="Tahoma"/>
            <family val="2"/>
          </rPr>
          <t>provided the renovated areas meet the age and definition requirements of a major renovation</t>
        </r>
        <r>
          <rPr>
            <sz val="9"/>
            <color indexed="81"/>
            <rFont val="Tahoma"/>
            <family val="2"/>
          </rPr>
          <t xml:space="preserve">.
ADDITIONS: The proposed additions are allowable for number of students served {86,607+12,254 = 98,861. 98,861/100254 = 99%}. No adjustments needed.  
</t>
        </r>
      </text>
    </comment>
    <comment ref="N120" authorId="0" shapeId="0">
      <text>
        <r>
          <rPr>
            <sz val="9"/>
            <color indexed="81"/>
            <rFont val="Tahoma"/>
            <family val="2"/>
          </rPr>
          <t xml:space="preserve">RENOVATION: Renovation as described and valued are acceptable provided the renovated areas meet the age and definition requirements of a major renovation.
ADDITIONS: The proposed additions are allowable area for number of students served {51,254+8,514 = 59,768. 59,768/61,101 = 98%}.   </t>
        </r>
      </text>
    </comment>
    <comment ref="N126" authorId="0" shapeId="0">
      <text>
        <r>
          <rPr>
            <sz val="9"/>
            <color indexed="81"/>
            <rFont val="Tahoma"/>
            <family val="2"/>
          </rPr>
          <t xml:space="preserve">RENOVATION:  Renovation as described and valued are acceptable provided the renovated areas meet the age and definition requirements of a major renovation.
ADDITIONS: The proposed additions are reasonably allowable for number of students served {198,553+28,860 = 227,413. 227,413/219,022 = 104%}.   </t>
        </r>
      </text>
    </comment>
    <comment ref="L130" authorId="0" shapeId="0">
      <text>
        <r>
          <rPr>
            <b/>
            <sz val="9"/>
            <color indexed="81"/>
            <rFont val="Tahoma"/>
            <family val="2"/>
          </rPr>
          <t>Gilbert, John - Division of District Support:</t>
        </r>
        <r>
          <rPr>
            <sz val="9"/>
            <color indexed="81"/>
            <rFont val="Tahoma"/>
            <family val="2"/>
          </rPr>
          <t xml:space="preserve">
</t>
        </r>
      </text>
    </comment>
    <comment ref="N131" authorId="0" shapeId="0">
      <text>
        <r>
          <rPr>
            <b/>
            <sz val="12"/>
            <color indexed="81"/>
            <rFont val="Tahoma"/>
            <family val="2"/>
          </rPr>
          <t>In regards to Priorities 2c.8 through 2c.17.</t>
        </r>
        <r>
          <rPr>
            <sz val="9"/>
            <color indexed="81"/>
            <rFont val="Tahoma"/>
            <family val="2"/>
          </rPr>
          <t xml:space="preserve">
1) Avoid redundant language and separate addition language from renovation language. Recommended edits are illustrated with strikethroughs and italics.
2) Renovation dollars shall be specific to the school and systems noted and not a lump sum cost per square foot of $100/sf. Provide KFICS numbers for qualifying sections of a building or have your architect provide a more detailed cost opinion of the areas and programs mentioned fro renovation costs.
3) Refer to notes listed under Priorities 1a.2, 2a.1 and 2a.3 for addition concerns. The LPC needs to decide which facilities to reduce addition work to as it relates to needs to define on the plan over the projected population over the next 6 years.
4) </t>
        </r>
        <r>
          <rPr>
            <i/>
            <u/>
            <sz val="9"/>
            <color indexed="81"/>
            <rFont val="Tahoma"/>
            <family val="2"/>
          </rPr>
          <t>Provide the section dates and existing area for all buildings</t>
        </r>
        <r>
          <rPr>
            <sz val="9"/>
            <color indexed="81"/>
            <rFont val="Tahoma"/>
            <family val="2"/>
          </rPr>
          <t xml:space="preserve"> as defined in KFICS information. Creekside Elementary is completed as an example.
5) </t>
        </r>
        <r>
          <rPr>
            <b/>
            <sz val="9"/>
            <color indexed="81"/>
            <rFont val="Tahoma"/>
            <family val="2"/>
          </rPr>
          <t>The following schools exceed 125% in size for number of students it is projected to serve and shall no longer list any additions in accordance with 305.5 in Priorities 1-4:</t>
        </r>
        <r>
          <rPr>
            <sz val="9"/>
            <color indexed="81"/>
            <rFont val="Tahoma"/>
            <family val="2"/>
          </rPr>
          <t xml:space="preserve"> Creekside ES, Lincoln Trail ES, Radcliffe ES, Rineyville ES and North Hardin High School.
6) </t>
        </r>
        <r>
          <rPr>
            <b/>
            <sz val="9"/>
            <color indexed="81"/>
            <rFont val="Tahoma"/>
            <family val="2"/>
          </rPr>
          <t>The following exceed 100% but under 125% in size for model program and shall list classrooms in Priority 5 or as LIPSA:</t>
        </r>
        <r>
          <rPr>
            <sz val="9"/>
            <color indexed="81"/>
            <rFont val="Tahoma"/>
            <family val="2"/>
          </rPr>
          <t xml:space="preserve"> GC Burkhead ES and Lakewood ES. </t>
        </r>
      </text>
    </comment>
    <comment ref="N182" authorId="0" shapeId="0">
      <text>
        <r>
          <rPr>
            <sz val="9"/>
            <color indexed="81"/>
            <rFont val="Tahoma"/>
            <family val="2"/>
          </rPr>
          <t>Central Office information needs additional information. Do you have 3 separate buildings or are these three projects at the same site for central office and support spaces? How many personnel work as district wide employess serving a central office facility? I need the number to claculate and confirm sizing is accpetable for listing as Priority 4 projects.</t>
        </r>
      </text>
    </comment>
    <comment ref="N185" authorId="0" shapeId="0">
      <text>
        <r>
          <rPr>
            <b/>
            <sz val="9"/>
            <color indexed="81"/>
            <rFont val="Tahoma"/>
            <family val="2"/>
          </rPr>
          <t>Gilbert, John - Division of District Support:</t>
        </r>
        <r>
          <rPr>
            <sz val="9"/>
            <color indexed="81"/>
            <rFont val="Tahoma"/>
            <family val="2"/>
          </rPr>
          <t xml:space="preserve">
</t>
        </r>
      </text>
    </comment>
    <comment ref="N191" authorId="0" shapeId="0">
      <text>
        <r>
          <rPr>
            <b/>
            <sz val="9"/>
            <color indexed="81"/>
            <rFont val="Tahoma"/>
            <family val="2"/>
          </rPr>
          <t>Gilbert, John - Division of District Support:</t>
        </r>
        <r>
          <rPr>
            <sz val="9"/>
            <color indexed="81"/>
            <rFont val="Tahoma"/>
            <family val="2"/>
          </rPr>
          <t xml:space="preserve">
</t>
        </r>
      </text>
    </comment>
  </commentList>
</comments>
</file>

<file path=xl/comments5.xml><?xml version="1.0" encoding="utf-8"?>
<comments xmlns="http://schemas.openxmlformats.org/spreadsheetml/2006/main">
  <authors>
    <author>Gilbert, John - Division of District Support</author>
  </authors>
  <commentList>
    <comment ref="F10" authorId="0" shapeId="0">
      <text>
        <r>
          <rPr>
            <sz val="9"/>
            <color indexed="81"/>
            <rFont val="Tahoma"/>
            <family val="2"/>
          </rPr>
          <t>We included the College View Plan of Organization.</t>
        </r>
      </text>
    </comment>
    <comment ref="L11" authorId="0" shapeId="0">
      <text>
        <r>
          <rPr>
            <sz val="9"/>
            <color indexed="81"/>
            <rFont val="Tahoma"/>
            <family val="2"/>
          </rPr>
          <t>Pursuant to 103.4.1.5, A review of the district's enrollment and interpolation from the U of L - Kentucky Data Center projection for Hardin County indicates a 6-year enrollment increase of 7% through 2028 beginning with the 2019 SAAR enrollment numbers (2019/20 used due to COVID with projections starting at 2022 to create the 6-year projection). This Column outlines the 6-year projected enrollment for reference only. This information will not show on the final DFP posting on the KDE website.</t>
        </r>
      </text>
    </comment>
    <comment ref="M11" authorId="0" shapeId="0">
      <text>
        <r>
          <rPr>
            <sz val="9"/>
            <color indexed="81"/>
            <rFont val="Tahoma"/>
            <family val="2"/>
          </rPr>
          <t xml:space="preserve">Enrollment </t>
        </r>
        <r>
          <rPr>
            <i/>
            <u/>
            <sz val="9"/>
            <color indexed="81"/>
            <rFont val="Tahoma"/>
            <family val="2"/>
          </rPr>
          <t>and</t>
        </r>
        <r>
          <rPr>
            <sz val="9"/>
            <color indexed="81"/>
            <rFont val="Tahoma"/>
            <family val="2"/>
          </rPr>
          <t xml:space="preserve"> capacity checks were performed with your Part 2 Orientation packet (see Cost of Delivery of Services). SAAR 2019 enrollment numbers and capacity is calculated based on KFICS reporting. If enrollment is within 25 students, I deferred to the reported number in your draft plan. If more than a 25 student discrepancy, I utilized the SAAR 2019 numbers and projected accordingly. Capacity numbers are utilized from KFICS (no rounding). Your final DFP will utilize the updated enrollment and capacity check numbers.</t>
        </r>
      </text>
    </comment>
    <comment ref="O11" authorId="0" shapeId="0">
      <text>
        <r>
          <rPr>
            <b/>
            <sz val="9"/>
            <color indexed="81"/>
            <rFont val="Tahoma"/>
            <family val="2"/>
          </rPr>
          <t>Gilbert, John - Division of District Support:</t>
        </r>
        <r>
          <rPr>
            <sz val="9"/>
            <color indexed="81"/>
            <rFont val="Tahoma"/>
            <family val="2"/>
          </rPr>
          <t xml:space="preserve">
</t>
        </r>
      </text>
    </comment>
    <comment ref="G12" authorId="0" shapeId="0">
      <text>
        <r>
          <rPr>
            <sz val="9"/>
            <color indexed="81"/>
            <rFont val="Tahoma"/>
            <family val="2"/>
          </rPr>
          <t>KDE now lists the School Classification of each school center. Review your Part 2 Orientation packet (Cost of Delivery of Services) where this original information was presented.</t>
        </r>
      </text>
    </comment>
    <comment ref="R16" authorId="0" shapeId="0">
      <text>
        <r>
          <rPr>
            <b/>
            <sz val="9"/>
            <color indexed="81"/>
            <rFont val="Tahoma"/>
            <family val="2"/>
          </rPr>
          <t>GENERAL COMMENTS REGARDING THE AGE OF AREAS BEING PROPOSED FOR RENOVATIONS:</t>
        </r>
        <r>
          <rPr>
            <sz val="9"/>
            <color indexed="81"/>
            <rFont val="Tahoma"/>
            <family val="2"/>
          </rPr>
          <t xml:space="preserve"> 
Some Hardin County School Facilities are comprised of initial buildings that are more than 30 years old with various additions and renovations made to them over time.   
Consequently, due to age-requirements for renovations,  renovations to older areas of a facility may qualify as Priority 1 through Priority 4 projects while renovations to newer areas of the same facility may not.
The KDE Planning Requirements are:
Renovations of Facilities that are less than 30 years old do not qualify as Priority 1 through Priority 4 projects, with the following two (2) exceptions:
Exception 1: HVAC and Roofing renovations that are more the 15 years old.
Exception 2: Any Life Safety / Security and ADA upgrade.
For all renovation descriptions, indicate the date of construction for each renovated area in the description and include all dates for sections of a building between the school name and the reported gross area (see highlights for Creekside Elementary). Match your KFICS information as previously provided by the district.
For those renovation items that do not comply with the age-requirements, either delete them or move them to Priority 5.
Also, keep in mind that BG-1 Project Applications will be reviewed for compliance to the age-requirements for renovation work.</t>
        </r>
      </text>
    </comment>
    <comment ref="D48" authorId="0" shapeId="0">
      <text>
        <r>
          <rPr>
            <sz val="9"/>
            <color indexed="81"/>
            <rFont val="Tahoma"/>
            <family val="2"/>
          </rPr>
          <t>Clarify this language to identify this facility is for 450 kindergarten students and 300 preschool students for the district. Preschool is not considered in enrollment numbers per regulation. Adjust numbers if needed in your clarification.</t>
        </r>
      </text>
    </comment>
    <comment ref="D51" authorId="0" shapeId="0">
      <text>
        <r>
          <rPr>
            <sz val="9"/>
            <color indexed="81"/>
            <rFont val="Tahoma"/>
            <family val="2"/>
          </rPr>
          <t>In review of all middle school spaces compared to enrollment projections, if all new spaces are considered (additions and new schools) in the 6-year cycle (including this school), the District would have a total enrollment to capacity projection of 75%. The proposed school with the current population projection would have this facility at 80%. Pursuant to Section 304.2.1.1, "The resulting movement from the existing facility to the new facility shall not reduce the enrollment of the existing facility to less than 85% of its projected capacity." Make sure all middle schools are at or above 85% before moving the plan forward. Projections show you will need to reduce overall capacity considerations by at least 550 students which may impact more than one facility on the DFP. Additional note: You may want to identify some additional classrooms as LIPSA to maintain numbers provided any particular school does not exceed 125% when adding the space.</t>
        </r>
      </text>
    </comment>
    <comment ref="G58" authorId="0" shapeId="0">
      <text>
        <r>
          <rPr>
            <sz val="9"/>
            <color indexed="81"/>
            <rFont val="Tahoma"/>
            <family val="2"/>
          </rPr>
          <t>Any Locally Identified Career and Technical Education (LICTE) programs shall be identified on the final DFP and approved by the Office of Career and Techincal Education (OCTE). If programs are not defined and approved, you shall remove them from your DFP. You shall refer to Section 304.9 of the Planning Manual concerning this requirement. Contact Dr. Beth Hargis to gain approval.</t>
        </r>
      </text>
    </comment>
    <comment ref="N59" authorId="0" shapeId="0">
      <text>
        <r>
          <rPr>
            <sz val="9"/>
            <color indexed="81"/>
            <rFont val="Tahoma"/>
            <family val="2"/>
          </rPr>
          <t>Cost per square foot adjusted to CTE/vocational facilities at $242.09 to match KDE Insurance Replacement Cost Values as utilized for planning purposes.</t>
        </r>
      </text>
    </comment>
    <comment ref="F63" authorId="0" shapeId="0">
      <text>
        <r>
          <rPr>
            <sz val="9"/>
            <color indexed="81"/>
            <rFont val="Tahoma"/>
            <family val="2"/>
          </rPr>
          <t>In review of all elementary school spaces compared to enrollment projections, if all new spaces are considered (additions and new schools) in the 6-year cycle (including this new school), the District would have a total enrollment to capacity projection of 77%. The target enrollment to capacity number is 85%. Pursuant to Section 304.2.1.1 previously quoted, revise this plan and illustrate how all elementary schools are at or above 85% capacity before moving the plan forward. Projections show you will need to reduce capacity considerations by at least 800 students which may impact more than one facility on the DFP. Additional note: You may want to identify some additional classrooms as LIPSA to maintain numbers provided any particular school does not exceed 125% when adding the space.</t>
        </r>
      </text>
    </comment>
    <comment ref="K63" authorId="0" shapeId="0">
      <text>
        <r>
          <rPr>
            <sz val="9"/>
            <color indexed="81"/>
            <rFont val="Tahoma"/>
            <family val="2"/>
          </rPr>
          <t>If maintained upon revision of the plan, confirm if this is a PS-5 school (65,736) or a 1-5 school (63,507).</t>
        </r>
      </text>
    </comment>
    <comment ref="E66" authorId="0" shapeId="0">
      <text>
        <r>
          <rPr>
            <sz val="9"/>
            <color indexed="81"/>
            <rFont val="Tahoma"/>
            <family val="2"/>
          </rPr>
          <t>See the note under Priority 1b.2. Same information applies.</t>
        </r>
      </text>
    </comment>
    <comment ref="E69" authorId="0" shapeId="0">
      <text>
        <r>
          <rPr>
            <sz val="9"/>
            <color indexed="81"/>
            <rFont val="Tahoma"/>
            <family val="2"/>
          </rPr>
          <t>In review of all high school spaces compared to enrollment projections, if all new spaces are considered (additions and new schools) in the 6-year cycle (including this new school), the District would have a total enrollment to capacity projection of 71%. The target enrollment to capacity number is 85%. Pursuant to Section 304.2.1.1 previously quoted, make sure all high schools are at or above 85% before moving the plan forward. Projections show you will need to reduce capacity considerations by at least 1,100 students which may impact more than one facility on the DFP. Additional note: You may want to identify some additional classrooms as LIPSA to maintain numbers provided any particular school does not exceed 125% when adding the space.</t>
        </r>
      </text>
    </comment>
    <comment ref="K74" authorId="0" shapeId="0">
      <text>
        <r>
          <rPr>
            <sz val="9"/>
            <color indexed="81"/>
            <rFont val="Tahoma"/>
            <family val="2"/>
          </rPr>
          <t>Per KDE Model Program (Table 304.7.5), interpolating numbers for a new alternative school shall result in a maximum area of 50,000gsf. Costs for a new alternative school would not exceed $13,734,500 for planning purposes as defined with current published numbers.</t>
        </r>
      </text>
    </comment>
    <comment ref="N75" authorId="0" shapeId="0">
      <text>
        <r>
          <rPr>
            <b/>
            <sz val="9"/>
            <color indexed="81"/>
            <rFont val="Tahoma"/>
            <family val="2"/>
          </rPr>
          <t>Gilbert, John - Division of District Support:</t>
        </r>
        <r>
          <rPr>
            <sz val="9"/>
            <color indexed="81"/>
            <rFont val="Tahoma"/>
            <family val="2"/>
          </rPr>
          <t xml:space="preserve">
</t>
        </r>
      </text>
    </comment>
    <comment ref="N82" authorId="0" shapeId="0">
      <text>
        <r>
          <rPr>
            <sz val="9"/>
            <color indexed="81"/>
            <rFont val="Tahoma"/>
            <family val="2"/>
          </rPr>
          <t xml:space="preserve">RENOVATION: Pursuant to Section 305.3.2,renovation costs currently listed total $7,607,561. Allowable costs = $262.70*55,162(model)(80%) = $11,592,846 for renovation. Renovation as described and valued are acceptable.
ADDITIONS: The maximum gross area per the KDE Model Program interpolated as a 475-student elementary school is 55,162 gsf; at 54,410 gsf the school is under model program requirements by 752 sf (or 1.4%).The school is eligible for addition considerations. The proposed additions however, are over the allowable area for number of students served {54,410+17,838 = 72,248. 72,248/55,162 = 131%}. Pursuant to Section 305.5 the maximum allowable size the school can report additions for is up to 125%. The maximum addition considerations the district may report in terms of gross square feet shall be (55,162*1.25)-54,410= 14,543gsf (rounded). Remove (17,838-14,543)= 3,295gsf of addition considerations or move the equivalent to Priority 5 considerations.  
</t>
        </r>
      </text>
    </comment>
    <comment ref="N90" authorId="0" shapeId="0">
      <text>
        <r>
          <rPr>
            <sz val="9"/>
            <color indexed="81"/>
            <rFont val="Tahoma"/>
            <family val="2"/>
          </rPr>
          <t xml:space="preserve">Description provided does not align with the intent of the previous DFP with Phase 2 work demolishing the 1966 and 1969 portions of the building. Furthermore, provide evidence that a completed phase 2 as presented in the DFP will not exceed 273,778 gsf facility for a 1,800 student school in accordance with Section 305.5. Update the </t>
        </r>
        <r>
          <rPr>
            <i/>
            <u/>
            <sz val="9"/>
            <color indexed="81"/>
            <rFont val="Tahoma"/>
            <family val="2"/>
          </rPr>
          <t>existing</t>
        </r>
        <r>
          <rPr>
            <sz val="9"/>
            <color indexed="81"/>
            <rFont val="Tahoma"/>
            <family val="2"/>
          </rPr>
          <t xml:space="preserve"> square footage to match the active project work. Update the renovation number to remove the 1966 and 1969 sections of the building.</t>
        </r>
      </text>
    </comment>
    <comment ref="N97" authorId="0" shapeId="0">
      <text>
        <r>
          <rPr>
            <sz val="9"/>
            <color indexed="81"/>
            <rFont val="Tahoma"/>
            <family val="2"/>
          </rPr>
          <t xml:space="preserve">RENOVATION: Pursuant to Section 305.3.2,renovation costs 
currently listed total $2,940,928. Allowable costs = $265.78*88,739(model)(80%) = $18,868,041 for renovation. Renovation as described and valued are acceptable. More clearly define, "internal program reconfiguration to meet KDE model program for a middle school" in your renovation description.
ADDITIONS: The maximum gross area per the KDE Model Program interpolated as a 650-student elementary school is 88,739 gsf; at 70,406 gsf the school is under model program requirements by 18,333 sf (or 21%).The school is eligible for addition considerations. The proposed additions are allowable for number of students served {70,406+12,394 = 82,800. 82,800/88,739 = 93%}. No adjustments needed.  
</t>
        </r>
      </text>
    </comment>
    <comment ref="N105" authorId="0" shapeId="0">
      <text>
        <r>
          <rPr>
            <sz val="9"/>
            <color indexed="81"/>
            <rFont val="Tahoma"/>
            <family val="2"/>
          </rPr>
          <t xml:space="preserve">RENOVATION: Pursuant to Section 305.3.2, renovation costs currently listed total 
$6,630,819. Allowable costs = $262.70*55,162(model)(80%) = $11,592,846 for renovation. Renovation as described and valued are acceptable.
ADDITIONS: The maximum gross area per the KDE Model Program interpolated as a 600-student elementary school is 65,736gsf; at 63,141gsf the school is under model program requirements by 2,595 sf (or 4%).The school is eligible for addition considerations. The proposed additions however, are over the allowable area for number of students served {63,141+8,041 = 71,182. 71,182/65,736 = 108%}. The area requested is acceptable in accordance with Section 305.5 for the school building.  
</t>
        </r>
      </text>
    </comment>
    <comment ref="N112" authorId="0" shapeId="0">
      <text>
        <r>
          <rPr>
            <sz val="9"/>
            <color indexed="81"/>
            <rFont val="Tahoma"/>
            <family val="2"/>
          </rPr>
          <t xml:space="preserve">RENOVATION: Pursuant to Section 305.3.2,renovation costs 
currently listed total $2,204,210and are allowable provided the renovated areas meet the age and definition requirements of a major renovation.
ADDITIONS: The maximum gross area per the KDE Model Program interpolated as an 800-student middle school is 100,254 gsf; at 86,607 gsf the school is under model program requirements by 13,647 sf (or 14%).The school is eligible for addition considerations. The proposed additions are allowable for number of students served {86,607+12,254 = 98,861. 98,861/100254 = 99%}. No adjustments needed.  
</t>
        </r>
      </text>
    </comment>
    <comment ref="N120" authorId="0" shapeId="0">
      <text>
        <r>
          <rPr>
            <sz val="9"/>
            <color indexed="81"/>
            <rFont val="Tahoma"/>
            <family val="2"/>
          </rPr>
          <t xml:space="preserve">RENOVATION: Pursuant to Section 305.3.2, renovation costs currently listed total 
$4,358,222. Allowable costs = $262.70*61,101(model)(80%) = $12,840,986 for renovation. Renovation as described and valued are acceptable provided the renovated areas meet the age and definition requirements of a major renovation.
ADDITIONS: The maximum gross area per the KDE Model Program interpolated as a 550-student elementary school is 61,101gsf; at 51,254gsf the school is under model program requirements by 9,847gsf (or 16%).The school is eligible for addition considerations. The proposed additions are allowable area for number of students served {51,254+8,514 = 59,768. 59,768/61,101 = 98%}.   </t>
        </r>
      </text>
    </comment>
    <comment ref="N126" authorId="0" shapeId="0">
      <text>
        <r>
          <rPr>
            <sz val="9"/>
            <color indexed="81"/>
            <rFont val="Tahoma"/>
            <family val="2"/>
          </rPr>
          <t xml:space="preserve">RENOVATION: Pursuant to Section 305.3.2, renovation costs currently listed total 
$4,358,222. Allowable costs = $274.69*219,022(model)(80%) = $48,130,523 for renovation. Renovation as described and valued are acceptable provided the renovated areas meet the age and definition requirements of a major renovation.
ADDITIONS: The maximum gross area per the KDE Model Program interpolated as a 1,800-student high school is 219,022gsf; at 198,553gsf the school is under model program requirements by 20,469gsf (or 7%).The school is eligible for addition considerations. The proposed additions are reasonably allowable for number of students served {198,553+28,860 = 227,413. 227,413/219,022 = 104%}.   </t>
        </r>
      </text>
    </comment>
    <comment ref="D130" authorId="0" shapeId="0">
      <text>
        <r>
          <rPr>
            <sz val="9"/>
            <color indexed="81"/>
            <rFont val="Tahoma"/>
            <charset val="1"/>
          </rPr>
          <t>450 students = 67,036/52,622 is at 127%. No additions are allowed in Priorities 1-4.</t>
        </r>
      </text>
    </comment>
    <comment ref="L130" authorId="0" shapeId="0">
      <text>
        <r>
          <rPr>
            <b/>
            <sz val="9"/>
            <color indexed="81"/>
            <rFont val="Tahoma"/>
            <family val="2"/>
          </rPr>
          <t>Gilbert, John - Division of District Support:</t>
        </r>
        <r>
          <rPr>
            <sz val="9"/>
            <color indexed="81"/>
            <rFont val="Tahoma"/>
            <family val="2"/>
          </rPr>
          <t xml:space="preserve">
</t>
        </r>
      </text>
    </comment>
    <comment ref="N131" authorId="0" shapeId="0">
      <text>
        <r>
          <rPr>
            <b/>
            <sz val="12"/>
            <color indexed="81"/>
            <rFont val="Tahoma"/>
            <family val="2"/>
          </rPr>
          <t>In regards to Priorities 2c.8 through 2c.17.</t>
        </r>
        <r>
          <rPr>
            <sz val="9"/>
            <color indexed="81"/>
            <rFont val="Tahoma"/>
            <family val="2"/>
          </rPr>
          <t xml:space="preserve">
1) Avoid redundant language and separate addition language from renovation language. Recommended edits are illustrated with strikethroughs and italics.
2) Renovation dollars shall be specific to the school and systems noted and not a lump sum cost per square foot of $100/sf. Provide KFICS numbers for qualifying sections of a building or have your architect provide a more detailed cost opinion of the areas and programs mentioned fro renovation costs.
3) Refer to notes listed under Priorities 1a.2, 2a.1 and 2a.3 for addition concerns. The LPC needs to decide which facilities to reduce addition work to as it relates to needs to define on the plan over the projected population over the next 6 years.
4) </t>
        </r>
        <r>
          <rPr>
            <i/>
            <u/>
            <sz val="9"/>
            <color indexed="81"/>
            <rFont val="Tahoma"/>
            <family val="2"/>
          </rPr>
          <t>Provide the section dates and existing area for all buildings</t>
        </r>
        <r>
          <rPr>
            <sz val="9"/>
            <color indexed="81"/>
            <rFont val="Tahoma"/>
            <family val="2"/>
          </rPr>
          <t xml:space="preserve"> as defined in KFICS information. Creekside Elementary is completed as an example.
5) </t>
        </r>
        <r>
          <rPr>
            <b/>
            <sz val="9"/>
            <color indexed="81"/>
            <rFont val="Tahoma"/>
            <family val="2"/>
          </rPr>
          <t>The following schools exceed 125% in size and shall no longer list any additions in accordance with 305.5 in Priorities 1-4</t>
        </r>
        <r>
          <rPr>
            <sz val="9"/>
            <color indexed="81"/>
            <rFont val="Tahoma"/>
            <family val="2"/>
          </rPr>
          <t xml:space="preserve">: Creekside ES, Lincoln Trail ES, Radcliffe ES, Rineyville ES and North Hardin High School.
6) The following exceed 100% but under 125% in size for model program and shall list classrooms in Priority 5 or as LIPSA: GC Burkhead ES and Lakewood ES. </t>
        </r>
      </text>
    </comment>
    <comment ref="D134" authorId="0" shapeId="0">
      <text>
        <r>
          <rPr>
            <sz val="9"/>
            <color indexed="81"/>
            <rFont val="Tahoma"/>
            <charset val="1"/>
          </rPr>
          <t xml:space="preserve">800 students = 91,300/85,041 is at 108%.  </t>
        </r>
      </text>
    </comment>
    <comment ref="E138" authorId="0" shapeId="0">
      <text>
        <r>
          <rPr>
            <sz val="9"/>
            <color indexed="81"/>
            <rFont val="Tahoma"/>
            <charset val="1"/>
          </rPr>
          <t>625 students = 67,036/67,912 is at 99%</t>
        </r>
      </text>
    </comment>
    <comment ref="D142" authorId="0" shapeId="0">
      <text>
        <r>
          <rPr>
            <sz val="9"/>
            <color indexed="81"/>
            <rFont val="Tahoma"/>
            <charset val="1"/>
          </rPr>
          <t>525 students = 67,036/58,831 is at 114%</t>
        </r>
      </text>
    </comment>
    <comment ref="E146" authorId="0" shapeId="0">
      <text>
        <r>
          <rPr>
            <sz val="9"/>
            <color indexed="81"/>
            <rFont val="Tahoma"/>
            <charset val="1"/>
          </rPr>
          <t>550 students = 77,597/61,101 is at 127%</t>
        </r>
      </text>
    </comment>
    <comment ref="D150" authorId="0" shapeId="0">
      <text>
        <r>
          <rPr>
            <sz val="9"/>
            <color indexed="81"/>
            <rFont val="Tahoma"/>
            <charset val="1"/>
          </rPr>
          <t>525 student (1-5) = 78,947/56,601 is at 140%</t>
        </r>
      </text>
    </comment>
    <comment ref="D153" authorId="0" shapeId="0">
      <text>
        <r>
          <rPr>
            <sz val="9"/>
            <color indexed="81"/>
            <rFont val="Tahoma"/>
            <charset val="1"/>
          </rPr>
          <t>625 students = 85,978/67,912 is at 127%</t>
        </r>
      </text>
    </comment>
    <comment ref="D157" authorId="0" shapeId="0">
      <text>
        <r>
          <rPr>
            <sz val="9"/>
            <color indexed="81"/>
            <rFont val="Tahoma"/>
            <family val="2"/>
          </rPr>
          <t>550 students = 55,386/58,872 is at 94%</t>
        </r>
      </text>
    </comment>
    <comment ref="D162" authorId="0" shapeId="0">
      <text>
        <r>
          <rPr>
            <sz val="9"/>
            <color indexed="81"/>
            <rFont val="Tahoma"/>
            <family val="2"/>
          </rPr>
          <t>750 students = 73,400/96,401 is at 76%</t>
        </r>
      </text>
    </comment>
    <comment ref="D167" authorId="0" shapeId="0">
      <text>
        <r>
          <rPr>
            <sz val="9"/>
            <color indexed="81"/>
            <rFont val="Tahoma"/>
            <family val="2"/>
          </rPr>
          <t>950 students = 201,357/140,382 is at 143%</t>
        </r>
      </text>
    </comment>
    <comment ref="N191" authorId="0" shapeId="0">
      <text>
        <r>
          <rPr>
            <b/>
            <sz val="9"/>
            <color indexed="81"/>
            <rFont val="Tahoma"/>
            <family val="2"/>
          </rPr>
          <t>Gilbert, John - Division of District Support:</t>
        </r>
        <r>
          <rPr>
            <sz val="9"/>
            <color indexed="81"/>
            <rFont val="Tahoma"/>
            <family val="2"/>
          </rPr>
          <t xml:space="preserve">
</t>
        </r>
      </text>
    </comment>
  </commentList>
</comments>
</file>

<file path=xl/sharedStrings.xml><?xml version="1.0" encoding="utf-8"?>
<sst xmlns="http://schemas.openxmlformats.org/spreadsheetml/2006/main" count="2608" uniqueCount="278">
  <si>
    <t>1.</t>
  </si>
  <si>
    <t>2.</t>
  </si>
  <si>
    <t>3.</t>
  </si>
  <si>
    <t>4.</t>
  </si>
  <si>
    <t>5.</t>
  </si>
  <si>
    <t>a.</t>
  </si>
  <si>
    <t>b.</t>
  </si>
  <si>
    <t>c.</t>
  </si>
  <si>
    <t>d.</t>
  </si>
  <si>
    <t>e.</t>
  </si>
  <si>
    <t>f.</t>
  </si>
  <si>
    <t>g.</t>
  </si>
  <si>
    <t>PLAN OF SCHOOL ORGANIZATION</t>
  </si>
  <si>
    <t>Current Plan</t>
  </si>
  <si>
    <t>Long Range Plan</t>
  </si>
  <si>
    <t>SCHOOL CENTERS</t>
  </si>
  <si>
    <t>Status</t>
  </si>
  <si>
    <t>Organization</t>
  </si>
  <si>
    <t>Secondary</t>
  </si>
  <si>
    <t xml:space="preserve">Permanent </t>
  </si>
  <si>
    <t>9-12 Center</t>
  </si>
  <si>
    <t>Middle</t>
  </si>
  <si>
    <t>Elementary</t>
  </si>
  <si>
    <t>sf.</t>
  </si>
  <si>
    <t>Construct:</t>
  </si>
  <si>
    <t>administrative areas, auditoriums, and gymnasiums.</t>
  </si>
  <si>
    <t>2c.</t>
  </si>
  <si>
    <t>CAPITAL CONSTRUCTION PRIORITIES (Regardless of Schedule)</t>
  </si>
  <si>
    <t>Estimated Costs of these projects will not be included in the FACILITY NEEDS ASSESSMENT TOTAL.</t>
  </si>
  <si>
    <r>
      <t>Major renovation/additions of educational facilities;</t>
    </r>
    <r>
      <rPr>
        <sz val="8"/>
        <rFont val="Times New Roman"/>
        <family val="1"/>
      </rPr>
      <t xml:space="preserve"> including expansions, kitchens, cafeterias, libraries, </t>
    </r>
  </si>
  <si>
    <r>
      <t>Management support areas;</t>
    </r>
    <r>
      <rPr>
        <sz val="8"/>
        <rFont val="Times New Roman"/>
        <family val="1"/>
      </rPr>
      <t xml:space="preserve"> Construct, acquisition, or renovation of central offices, bus garages, or central stores</t>
    </r>
  </si>
  <si>
    <r>
      <t>Discretionary Construction Projects;</t>
    </r>
    <r>
      <rPr>
        <sz val="8"/>
        <rFont val="Times New Roman"/>
        <family val="1"/>
      </rPr>
      <t xml:space="preserve"> Functional Centers; Improvements by new construction or renovation. </t>
    </r>
  </si>
  <si>
    <t>Media Center Addition</t>
  </si>
  <si>
    <t>DISTRICT NEED</t>
  </si>
  <si>
    <t>PS-5 Center</t>
  </si>
  <si>
    <t>1c.</t>
  </si>
  <si>
    <r>
      <t>1.</t>
    </r>
    <r>
      <rPr>
        <sz val="7"/>
        <color rgb="FF0F243E"/>
        <rFont val="Times New Roman"/>
        <family val="1"/>
      </rPr>
      <t xml:space="preserve">     </t>
    </r>
    <r>
      <rPr>
        <sz val="10"/>
        <color rgb="FF0F243E"/>
        <rFont val="Arial"/>
        <family val="2"/>
      </rPr>
      <t>Addition of HVAC to the High School Gymnasium – 20,000 SF @ $40 / SF = $800,000</t>
    </r>
  </si>
  <si>
    <r>
      <t>2.</t>
    </r>
    <r>
      <rPr>
        <sz val="7"/>
        <color rgb="FF0F243E"/>
        <rFont val="Times New Roman"/>
        <family val="1"/>
      </rPr>
      <t xml:space="preserve">     </t>
    </r>
    <r>
      <rPr>
        <sz val="10"/>
        <color rgb="FF0F243E"/>
        <rFont val="Arial"/>
        <family val="2"/>
      </rPr>
      <t>Replacement of one (1) of the HVAC Chillers at the High School – 135 Tons @ $1,000 / Ton = $135,000</t>
    </r>
  </si>
  <si>
    <r>
      <t>3.</t>
    </r>
    <r>
      <rPr>
        <sz val="7"/>
        <color rgb="FF0F243E"/>
        <rFont val="Times New Roman"/>
        <family val="1"/>
      </rPr>
      <t xml:space="preserve">     </t>
    </r>
    <r>
      <rPr>
        <sz val="10"/>
        <color rgb="FF0F243E"/>
        <rFont val="Arial"/>
        <family val="2"/>
      </rPr>
      <t>Installation of DDC Controls at the High School – 160,000 SF @ $2 / SF = $320,000</t>
    </r>
  </si>
  <si>
    <t>PS-5, 6-8, 9-12</t>
  </si>
  <si>
    <t>Central Hardin High School</t>
  </si>
  <si>
    <t>North Hardin High School</t>
  </si>
  <si>
    <t>John Hardin High School</t>
  </si>
  <si>
    <t>7-12 Center</t>
  </si>
  <si>
    <t>Bluegrass Middle School</t>
  </si>
  <si>
    <t>East Hardin Middle School</t>
  </si>
  <si>
    <t>James T. Alton Middle School</t>
  </si>
  <si>
    <t>North Middle School</t>
  </si>
  <si>
    <t>West Hardin Middle School</t>
  </si>
  <si>
    <t>6-8 Center</t>
  </si>
  <si>
    <t>h.</t>
  </si>
  <si>
    <t>i.</t>
  </si>
  <si>
    <t>j.</t>
  </si>
  <si>
    <t>k.</t>
  </si>
  <si>
    <t>l.</t>
  </si>
  <si>
    <t>m.</t>
  </si>
  <si>
    <t>n.</t>
  </si>
  <si>
    <t>Creekside Elementary School</t>
  </si>
  <si>
    <t>Lakewood Elementary School</t>
  </si>
  <si>
    <t>Lincoln Trail Elementary School</t>
  </si>
  <si>
    <t>Meadow View Elementary School</t>
  </si>
  <si>
    <t>New Highland Elementary School</t>
  </si>
  <si>
    <t>North Park Elementary School</t>
  </si>
  <si>
    <t>Radcliff Elementary School</t>
  </si>
  <si>
    <t>Rineyville Elementary School</t>
  </si>
  <si>
    <t>Vine Grove Elementary School</t>
  </si>
  <si>
    <t>Woodland Elementary School</t>
  </si>
  <si>
    <t>Heartland Elementary School</t>
  </si>
  <si>
    <t>Band Room Addition</t>
  </si>
  <si>
    <t>Family Resource</t>
  </si>
  <si>
    <t>Resource Rooms</t>
  </si>
  <si>
    <t>Kitchen Addition</t>
  </si>
  <si>
    <t>Aquatic Center</t>
  </si>
  <si>
    <t>New pool facility for the entire district for use by all of the district's swim teams.</t>
  </si>
  <si>
    <t>Athletic Upgrades</t>
  </si>
  <si>
    <t>Central Bus Garage</t>
  </si>
  <si>
    <t>Central Office Annex Facility (Unrenovated portion)</t>
  </si>
  <si>
    <t>Major Renovation to include;  roof replacement, ADA access and code compliance, site improvements, asphalt paving, additional warehouse space.</t>
  </si>
  <si>
    <t>Central Office</t>
  </si>
  <si>
    <t>Major Renovation to include:  HVAC replacement, roof, electric, plumbing, technology upgrades, security upgrades</t>
  </si>
  <si>
    <t>7.</t>
  </si>
  <si>
    <t>James. T. Alton Middle School</t>
  </si>
  <si>
    <t xml:space="preserve">Meadow View Elementary School    </t>
  </si>
  <si>
    <t>Cafeteria Addition</t>
  </si>
  <si>
    <t xml:space="preserve">New Highland Elementary School    </t>
  </si>
  <si>
    <t>Freshman Wing Only - Major Renovation to include; windows, doors, frames and hardware, interior finishes and accessories, electric, plumbing, ADA, fire alarm, suppression and annunciation.</t>
  </si>
  <si>
    <t>6.</t>
  </si>
  <si>
    <t>College View (Alt Ed)</t>
  </si>
  <si>
    <t>Standard Classrooms</t>
  </si>
  <si>
    <t>Spec. Educ. Res.</t>
  </si>
  <si>
    <t>Spec. Educ. Self-Contained</t>
  </si>
  <si>
    <t>Science Classrooms</t>
  </si>
  <si>
    <t>Computer Classroom</t>
  </si>
  <si>
    <t>Spec. Educ. Resource</t>
  </si>
  <si>
    <t>Science Classroom</t>
  </si>
  <si>
    <t>Youth Services Area</t>
  </si>
  <si>
    <t>P. E. Gym</t>
  </si>
  <si>
    <t>Music Classroom</t>
  </si>
  <si>
    <t>G.C. Burkhead Elementary School</t>
  </si>
  <si>
    <t>PS-K Center</t>
  </si>
  <si>
    <t>1-5 Center</t>
  </si>
  <si>
    <t>Major renovation to include: ADA compliance, Life Safety, Lighting and Mechanical.</t>
  </si>
  <si>
    <r>
      <t>6</t>
    </r>
    <r>
      <rPr>
        <b/>
        <sz val="10"/>
        <color theme="1"/>
        <rFont val="Times New Roman"/>
        <family val="1"/>
      </rPr>
      <t>-</t>
    </r>
    <r>
      <rPr>
        <sz val="10"/>
        <color theme="1"/>
        <rFont val="Times New Roman"/>
        <family val="1"/>
      </rPr>
      <t>8 Center</t>
    </r>
  </si>
  <si>
    <t>DFP REVISIONS</t>
  </si>
  <si>
    <t>785/967</t>
  </si>
  <si>
    <t>754/804</t>
  </si>
  <si>
    <t>591/600</t>
  </si>
  <si>
    <t>361/600</t>
  </si>
  <si>
    <t>747/750</t>
  </si>
  <si>
    <t>545/600</t>
  </si>
  <si>
    <t>396/600</t>
  </si>
  <si>
    <r>
      <t>486/</t>
    </r>
    <r>
      <rPr>
        <sz val="10"/>
        <rFont val="Times New Roman"/>
        <family val="1"/>
      </rPr>
      <t>500</t>
    </r>
  </si>
  <si>
    <t>437/551</t>
  </si>
  <si>
    <t>409/730</t>
  </si>
  <si>
    <t>382/500</t>
  </si>
  <si>
    <t>502/475</t>
  </si>
  <si>
    <t>531/525</t>
  </si>
  <si>
    <t>513/600</t>
  </si>
  <si>
    <t>595/604</t>
  </si>
  <si>
    <t>679/586</t>
  </si>
  <si>
    <t>559/550</t>
  </si>
  <si>
    <t>1648/1380</t>
  </si>
  <si>
    <t>1897/1800</t>
  </si>
  <si>
    <t>294/400</t>
  </si>
  <si>
    <t>New Elementary School</t>
  </si>
  <si>
    <t>New 600 student elementary school to accommodate district growth.</t>
  </si>
  <si>
    <t>8.</t>
  </si>
  <si>
    <t>New Middle School</t>
  </si>
  <si>
    <t>New High School</t>
  </si>
  <si>
    <t>9.</t>
  </si>
  <si>
    <t>11.</t>
  </si>
  <si>
    <t>12.</t>
  </si>
  <si>
    <t>Creekside Elementary</t>
  </si>
  <si>
    <t>Construct new classroom addition to accommodate district growth.</t>
  </si>
  <si>
    <t>GC Burkhead Elementary</t>
  </si>
  <si>
    <t>Heartland Elementary</t>
  </si>
  <si>
    <t>Lakewood Elementary</t>
  </si>
  <si>
    <t>Lincoln Trail Elementary</t>
  </si>
  <si>
    <t>13.</t>
  </si>
  <si>
    <t>14.</t>
  </si>
  <si>
    <t>15.</t>
  </si>
  <si>
    <t>16.</t>
  </si>
  <si>
    <t>17.</t>
  </si>
  <si>
    <t>New North Park Elementary School</t>
  </si>
  <si>
    <t>Radcliff Elementary</t>
  </si>
  <si>
    <t>Rineyville Elementary</t>
  </si>
  <si>
    <t>Vine Grove Elementary</t>
  </si>
  <si>
    <t>2b.</t>
  </si>
  <si>
    <t>New construction justified by building replacement;</t>
  </si>
  <si>
    <t>Construct new classroom addition to accommodate new pathways</t>
  </si>
  <si>
    <t>New Alternative School to Replace College View</t>
  </si>
  <si>
    <t>2a.</t>
  </si>
  <si>
    <t>New construction justified by district growth;</t>
  </si>
  <si>
    <t>10.</t>
  </si>
  <si>
    <t>Pathway Classrooms / Labs</t>
  </si>
  <si>
    <t>Food Service Building Replacement</t>
  </si>
  <si>
    <t>Replacement building</t>
  </si>
  <si>
    <t>New 800 student middle school to accommodate district growth.</t>
  </si>
  <si>
    <t>New 1200 student high school to accommodate district growth.</t>
  </si>
  <si>
    <t>Central Hardin High School - Phase 2</t>
  </si>
  <si>
    <r>
      <t xml:space="preserve">Major Renovation to the 1966, 1969, and 1985 portions of the building to include; Windows, doors, frames and hardware, roof replacement, interior finishes and accessories, electric, plumbing, ADA access, fire alarm, suppression and annunciation, site improvements, security upgrades, &amp; freshman wing HVAC, cafeteria and kitchen renovation, with internal program reconfiguration to meet KDE model program for a 2000 student high school </t>
    </r>
    <r>
      <rPr>
        <i/>
        <sz val="10"/>
        <rFont val="Times New Roman"/>
        <family val="1"/>
      </rPr>
      <t xml:space="preserve">The 1995 portion of the building to include; life safety and security upgrades, HVAC replacement, ADA upgrade and roof replacement. </t>
    </r>
  </si>
  <si>
    <t>Building Grounds Support Services</t>
  </si>
  <si>
    <t>Central Office Annex</t>
  </si>
  <si>
    <t>New Building to support operations &amp; storage</t>
  </si>
  <si>
    <t>New multi-purpose athletics building / synthetic turf / misc athltetic upgrades</t>
  </si>
  <si>
    <t>Cecilia Valley Elem.</t>
  </si>
  <si>
    <t>323/600</t>
  </si>
  <si>
    <t>516/600</t>
  </si>
  <si>
    <t>Early College Career Center</t>
  </si>
  <si>
    <t>CAPITAL CONSTRUCTION PRIORITIES (Schedule within the 2022-2024 Biennium)</t>
  </si>
  <si>
    <t xml:space="preserve">NEXT DFP DUE: </t>
  </si>
  <si>
    <t xml:space="preserve">KBE APPROVAL DATE: </t>
  </si>
  <si>
    <t>CAPITAL CONSTRUCTION PRIORITIES (Schedule after the 2024 Biennium)</t>
  </si>
  <si>
    <t>1b.</t>
  </si>
  <si>
    <t>New 750 student elementary school to replace current school, on the same site.</t>
  </si>
  <si>
    <t>New 800 student middle to replace current facility school to accommodate district growth, on a site in the vicinty of the exsiting school.</t>
  </si>
  <si>
    <t>New Middle School to Replace West Middle School</t>
  </si>
  <si>
    <t>New 400 student alternative school to replace current school, on the same site</t>
  </si>
  <si>
    <t>Tennis Court Surfacing</t>
  </si>
  <si>
    <t>Major Renovation to include; fire alarm, suppression and annunciation ADA accessibility, security upgrades and securiy vestibule, special education calssroom reconfigration, with internal program reconfiguration to meet KDE model program for a middle school.</t>
  </si>
  <si>
    <t>Major Renovation to include; roof replacement, fire protection and annunciation systems, ADA accessibility, security upgrades and security vestibule, with internal program reconfiguration to meet KDE model program for a middle school.</t>
  </si>
  <si>
    <t>Major Renovation to include;  interior finishes &amp; accessories, windows, doors, frames and hardware, restroom renvboations and expansion, ADA access, fire alarm, and annunciation, site improvements, asphalt paving, security upgrades, with internal program reconfiguration to meet KDE model program for a elementary school.</t>
  </si>
  <si>
    <t>Major Renovation to include; HVAC Replacement, ADA access, interior finishes and accessories, electric, plumbing, ADA access, fire alarm, suppression and annunciation, site improvements, security upgrades, with internal program reconfiguration to meet KDE model program for a elementary school.</t>
  </si>
  <si>
    <t>___/500</t>
  </si>
  <si>
    <t>HARDIN SCHOOLS DISTRICT FACILITIES PLAN</t>
  </si>
  <si>
    <t>A1</t>
  </si>
  <si>
    <t>School Classification</t>
  </si>
  <si>
    <t>A5</t>
  </si>
  <si>
    <t>A2</t>
  </si>
  <si>
    <r>
      <t xml:space="preserve">PS-5, 1-5, 6-8, </t>
    </r>
    <r>
      <rPr>
        <sz val="10"/>
        <color rgb="FFFF0000"/>
        <rFont val="Times New Roman"/>
        <family val="1"/>
      </rPr>
      <t>7-12,</t>
    </r>
    <r>
      <rPr>
        <sz val="10"/>
        <rFont val="Times New Roman"/>
        <family val="1"/>
      </rPr>
      <t xml:space="preserve"> 9-12</t>
    </r>
  </si>
  <si>
    <r>
      <rPr>
        <b/>
        <sz val="10"/>
        <color rgb="FFFF0000"/>
        <rFont val="Times New Roman"/>
        <family val="1"/>
      </rPr>
      <t>SAAR 2019</t>
    </r>
    <r>
      <rPr>
        <b/>
        <sz val="10"/>
        <rFont val="Times New Roman"/>
        <family val="1"/>
      </rPr>
      <t xml:space="preserve"> 2021 Student </t>
    </r>
    <r>
      <rPr>
        <b/>
        <u/>
        <sz val="10"/>
        <rFont val="TIMES NEW ROMAN"/>
        <family val="1"/>
      </rPr>
      <t xml:space="preserve">Enrollment </t>
    </r>
    <r>
      <rPr>
        <b/>
        <sz val="10"/>
        <rFont val="Times New Roman"/>
        <family val="1"/>
      </rPr>
      <t>Capacity</t>
    </r>
  </si>
  <si>
    <t>Capacity Check</t>
  </si>
  <si>
    <t>Enrollment Check</t>
  </si>
  <si>
    <t>New West Hardin MS</t>
  </si>
  <si>
    <t>1b.2</t>
  </si>
  <si>
    <t>2a.2</t>
  </si>
  <si>
    <t>2c.3.5</t>
  </si>
  <si>
    <t>2c.5.3&amp;5</t>
  </si>
  <si>
    <t>2c.16.1</t>
  </si>
  <si>
    <t>Totals</t>
  </si>
  <si>
    <t>2a.3</t>
  </si>
  <si>
    <t>2c.2</t>
  </si>
  <si>
    <t>2c.17.1</t>
  </si>
  <si>
    <t>2c.7.1</t>
  </si>
  <si>
    <t>Add standard comment here</t>
  </si>
  <si>
    <t>N/A</t>
  </si>
  <si>
    <t>New Elementary</t>
  </si>
  <si>
    <t>(New)</t>
  </si>
  <si>
    <t>1a.1</t>
  </si>
  <si>
    <t>2a.1</t>
  </si>
  <si>
    <t>Elem</t>
  </si>
  <si>
    <t>MS</t>
  </si>
  <si>
    <t>HS</t>
  </si>
  <si>
    <t>2c.1.4</t>
  </si>
  <si>
    <t>2c.4.4</t>
  </si>
  <si>
    <t>2c.6.3</t>
  </si>
  <si>
    <t>2c.8.1</t>
  </si>
  <si>
    <t>2c.9.1</t>
  </si>
  <si>
    <t>2c.10.1</t>
  </si>
  <si>
    <t>2c.11.1</t>
  </si>
  <si>
    <t>2c.12.1</t>
  </si>
  <si>
    <t>2c.13.1</t>
  </si>
  <si>
    <t>2c.14.1</t>
  </si>
  <si>
    <t>2c.15.1</t>
  </si>
  <si>
    <t>Projected Enrollment</t>
  </si>
  <si>
    <t>Existing Cap</t>
  </si>
  <si>
    <t>Proposed Added Cap</t>
  </si>
  <si>
    <t>Proposed Adjusted Cap</t>
  </si>
  <si>
    <t>Proposed Percentage</t>
  </si>
  <si>
    <t>DFP Priority</t>
  </si>
  <si>
    <r>
      <t>Major Renovation to include</t>
    </r>
    <r>
      <rPr>
        <strike/>
        <sz val="10"/>
        <rFont val="Times New Roman"/>
        <family val="1"/>
      </rPr>
      <t>;</t>
    </r>
    <r>
      <rPr>
        <sz val="10"/>
        <rFont val="Times New Roman"/>
        <family val="1"/>
      </rPr>
      <t xml:space="preserve"> new roofing and HVAC system</t>
    </r>
    <r>
      <rPr>
        <strike/>
        <sz val="10"/>
        <rFont val="Times New Roman"/>
        <family val="1"/>
      </rPr>
      <t>; construct new classroom addition to accommodate district growth</t>
    </r>
    <r>
      <rPr>
        <sz val="10"/>
        <rFont val="Times New Roman"/>
        <family val="1"/>
      </rPr>
      <t xml:space="preserve"> in sections of the building older than 15 years of age..</t>
    </r>
  </si>
  <si>
    <r>
      <t xml:space="preserve">Major Renovation to the 1981 portion of the building to include; windows, doors, frames and hardware, retroom renovation and expansion, roof replacement, interior finishes and accessories, electric, plumbing, ADA access, fire alarm, suppression and annunciation, site improvement, security upgrades and security vestibule, with internal program reconfiguration to meet KDE model program for a elementary school. The 1991 portion of the building to include; life safety and security upgrades, HVAC replacement, ADA upgrade and roof replacement. </t>
    </r>
    <r>
      <rPr>
        <strike/>
        <sz val="10"/>
        <rFont val="Times New Roman"/>
        <family val="1"/>
      </rPr>
      <t>Construct new classroom addition to accommodate district growth.</t>
    </r>
  </si>
  <si>
    <t>* Enrollment/Capacity numbers do not reflect preschool programs.</t>
  </si>
  <si>
    <t>PS-5, 1-5, 6-8, 7-12, 9-12</t>
  </si>
  <si>
    <r>
      <t xml:space="preserve">SAAR 2019 2021 Student </t>
    </r>
    <r>
      <rPr>
        <b/>
        <u/>
        <sz val="10"/>
        <rFont val="TIMES NEW ROMAN"/>
        <family val="1"/>
      </rPr>
      <t xml:space="preserve">Enrollment </t>
    </r>
    <r>
      <rPr>
        <b/>
        <sz val="10"/>
        <rFont val="Times New Roman"/>
        <family val="1"/>
      </rPr>
      <t>Capacity</t>
    </r>
  </si>
  <si>
    <t>1950/1800</t>
  </si>
  <si>
    <t>1648/1785</t>
  </si>
  <si>
    <t>872/970</t>
  </si>
  <si>
    <t>203/1085</t>
  </si>
  <si>
    <t>___/400</t>
  </si>
  <si>
    <t>595/745</t>
  </si>
  <si>
    <t>791/800</t>
  </si>
  <si>
    <t>755/625</t>
  </si>
  <si>
    <t>687/570</t>
  </si>
  <si>
    <t>599/640</t>
  </si>
  <si>
    <t>419/600</t>
  </si>
  <si>
    <t>323/525</t>
  </si>
  <si>
    <t>578/650</t>
  </si>
  <si>
    <t>492/600</t>
  </si>
  <si>
    <r>
      <t>522/</t>
    </r>
    <r>
      <rPr>
        <sz val="10"/>
        <rFont val="Times New Roman"/>
        <family val="1"/>
      </rPr>
      <t>500</t>
    </r>
  </si>
  <si>
    <t>437/425</t>
  </si>
  <si>
    <t>409/475</t>
  </si>
  <si>
    <t>479/500</t>
  </si>
  <si>
    <t>578/600</t>
  </si>
  <si>
    <t>502/525</t>
  </si>
  <si>
    <t>566/550</t>
  </si>
  <si>
    <t>New 450 kindegarten student and 300 preschool student elementary school to replace current school, on the same site.</t>
  </si>
  <si>
    <t>New 750 student middle to replace current facility school to accommodate district growth, on a site in the vicinty of the exsiting school.</t>
  </si>
  <si>
    <r>
      <t>Major Renovation to include</t>
    </r>
    <r>
      <rPr>
        <strike/>
        <sz val="10"/>
        <rFont val="Times New Roman"/>
        <family val="1"/>
      </rPr>
      <t>;</t>
    </r>
    <r>
      <rPr>
        <sz val="10"/>
        <rFont val="Times New Roman"/>
        <family val="1"/>
      </rPr>
      <t xml:space="preserve"> new roofing and HVAC system in sections of the building older than 15 years of age.</t>
    </r>
  </si>
  <si>
    <t>Major Renovation to include; new roofing and HVAC system in sections of the building older than 15 years of age.</t>
  </si>
  <si>
    <t>Central Office Annex Facility #1 (Unrenovated portion, separate from Central Office)</t>
  </si>
  <si>
    <t>Central Office Annex Facility #2 (Separate from Central Office)</t>
  </si>
  <si>
    <t>Central Office (for 83 employees)</t>
  </si>
  <si>
    <t>New PS-5 600 student elementary school to accommodate district growth.</t>
  </si>
  <si>
    <t>Major Renovation to include; roof replacement, fire protection and annunciation systems, ADA accessibility, security upgrades and security vestibule.  The building was originally constructed before KERA; project to include renovations to bring building into compliance with KDE model program for a middle school.</t>
  </si>
  <si>
    <t>Major renovation to the 1995 portion of the building to include internal program 
reconfiguration to meet KDE model program for a 1,800 student high school</t>
  </si>
  <si>
    <t>Central Hardin High School - Phase 2 - (1,800-students - gross area shall be 
capped at 273,778 gsf pursuant to 702 KAR 4:180 Section 305.5)</t>
  </si>
  <si>
    <t>Concessions</t>
  </si>
  <si>
    <t>LIPSA</t>
  </si>
  <si>
    <t>1962, 1963, 1985, 1992</t>
  </si>
  <si>
    <t>18.</t>
  </si>
  <si>
    <t>19.</t>
  </si>
  <si>
    <t>Criminology</t>
  </si>
  <si>
    <t>Industrial Maintenance</t>
  </si>
  <si>
    <t>Automotive Technology</t>
  </si>
  <si>
    <t>Construction Technology</t>
  </si>
  <si>
    <t>New 1000 student high school to accommodate district growth.</t>
  </si>
  <si>
    <t>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</si>
</sst>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quot;$&quot;#,##0"/>
    <numFmt numFmtId="165" formatCode="_(* #,##0_);_(* \(#,##0\);_(* &quot;-&quot;??_);_(@_)"/>
  </numFmts>
  <fonts count="58" x14ac:knownFonts="1">
    <font>
      <sz val="10"/>
      <name val="Arial"/>
    </font>
    <font>
      <b/>
      <sz val="14"/>
      <name val="Times New Roman"/>
      <family val="1"/>
    </font>
    <font>
      <b/>
      <sz val="11"/>
      <name val="Times New Roman"/>
      <family val="1"/>
    </font>
    <font>
      <sz val="11"/>
      <name val="Times New Roman"/>
      <family val="1"/>
    </font>
    <font>
      <sz val="10"/>
      <name val="Times New Roman"/>
      <family val="1"/>
    </font>
    <font>
      <b/>
      <sz val="10"/>
      <name val="Times New Roman"/>
      <family val="1"/>
    </font>
    <font>
      <b/>
      <u/>
      <sz val="10"/>
      <name val="TIMES NEW ROMAN"/>
      <family val="1"/>
    </font>
    <font>
      <sz val="8"/>
      <name val="Times New Roman"/>
      <family val="1"/>
    </font>
    <font>
      <b/>
      <sz val="10"/>
      <color indexed="10"/>
      <name val="Arial"/>
      <family val="2"/>
    </font>
    <font>
      <sz val="10"/>
      <name val="Arial"/>
      <family val="2"/>
    </font>
    <font>
      <b/>
      <sz val="10"/>
      <name val="Arial"/>
      <family val="2"/>
    </font>
    <font>
      <b/>
      <sz val="9"/>
      <name val="Times New Roman"/>
      <family val="1"/>
    </font>
    <font>
      <sz val="10"/>
      <color rgb="FF00B050"/>
      <name val="Arial"/>
      <family val="2"/>
    </font>
    <font>
      <sz val="10"/>
      <name val="Arial"/>
      <family val="2"/>
    </font>
    <font>
      <sz val="10"/>
      <color rgb="FF0F243E"/>
      <name val="Arial"/>
      <family val="2"/>
    </font>
    <font>
      <sz val="7"/>
      <color rgb="FF0F243E"/>
      <name val="Times New Roman"/>
      <family val="1"/>
    </font>
    <font>
      <sz val="11"/>
      <name val="Calibri"/>
      <family val="2"/>
      <scheme val="minor"/>
    </font>
    <font>
      <sz val="10"/>
      <color indexed="12"/>
      <name val="Times New Roman"/>
      <family val="1"/>
    </font>
    <font>
      <sz val="9"/>
      <color indexed="12"/>
      <name val="Times New Roman"/>
      <family val="1"/>
    </font>
    <font>
      <sz val="12"/>
      <name val="Times New Roman"/>
      <family val="1"/>
    </font>
    <font>
      <sz val="9"/>
      <name val="Times New Roman"/>
      <family val="1"/>
    </font>
    <font>
      <i/>
      <sz val="10"/>
      <name val="Times New Roman"/>
      <family val="1"/>
    </font>
    <font>
      <sz val="12"/>
      <color rgb="FFFF0000"/>
      <name val="Times New Roman"/>
      <family val="1"/>
    </font>
    <font>
      <sz val="10"/>
      <color rgb="FFFF0000"/>
      <name val="Times New Roman"/>
      <family val="1"/>
    </font>
    <font>
      <sz val="10"/>
      <color rgb="FFFF0000"/>
      <name val="Arial"/>
      <family val="2"/>
    </font>
    <font>
      <sz val="12"/>
      <color rgb="FF0070C0"/>
      <name val="Times New Roman"/>
      <family val="1"/>
    </font>
    <font>
      <sz val="12"/>
      <color theme="0"/>
      <name val="Times New Roman"/>
      <family val="1"/>
    </font>
    <font>
      <sz val="10"/>
      <color theme="0"/>
      <name val="Arial"/>
      <family val="2"/>
    </font>
    <font>
      <sz val="10"/>
      <color theme="1"/>
      <name val="Arial"/>
      <family val="2"/>
    </font>
    <font>
      <sz val="10"/>
      <color theme="1"/>
      <name val="Times New Roman"/>
      <family val="1"/>
    </font>
    <font>
      <sz val="8"/>
      <color theme="1"/>
      <name val="Times New Roman"/>
      <family val="1"/>
    </font>
    <font>
      <sz val="8"/>
      <color theme="1"/>
      <name val="Arial"/>
      <family val="2"/>
    </font>
    <font>
      <b/>
      <sz val="10"/>
      <color theme="1"/>
      <name val="Times New Roman"/>
      <family val="1"/>
    </font>
    <font>
      <strike/>
      <sz val="10"/>
      <color theme="1"/>
      <name val="Times New Roman"/>
      <family val="1"/>
    </font>
    <font>
      <sz val="8"/>
      <color rgb="FFFF0000"/>
      <name val="Arial"/>
      <family val="2"/>
    </font>
    <font>
      <sz val="8"/>
      <color rgb="FFFF0000"/>
      <name val="Times New Roman"/>
      <family val="1"/>
    </font>
    <font>
      <b/>
      <sz val="8"/>
      <color rgb="FFFF0000"/>
      <name val="Times New Roman"/>
      <family val="1"/>
    </font>
    <font>
      <sz val="8"/>
      <color theme="0"/>
      <name val="Times New Roman"/>
      <family val="1"/>
    </font>
    <font>
      <b/>
      <u/>
      <sz val="9"/>
      <name val="Times New Roman"/>
      <family val="1"/>
    </font>
    <font>
      <sz val="10"/>
      <color rgb="FF00B050"/>
      <name val="Times New Roman"/>
      <family val="1"/>
    </font>
    <font>
      <b/>
      <u/>
      <sz val="9"/>
      <color rgb="FFFF0000"/>
      <name val="Times New Roman"/>
      <family val="1"/>
    </font>
    <font>
      <sz val="10"/>
      <name val="Arial"/>
    </font>
    <font>
      <b/>
      <sz val="11"/>
      <color rgb="FFFF0000"/>
      <name val="Times New Roman"/>
      <family val="1"/>
    </font>
    <font>
      <b/>
      <sz val="10"/>
      <color rgb="FFFF0000"/>
      <name val="Times New Roman"/>
      <family val="1"/>
    </font>
    <font>
      <sz val="9"/>
      <color indexed="81"/>
      <name val="Tahoma"/>
      <family val="2"/>
    </font>
    <font>
      <b/>
      <sz val="8"/>
      <color rgb="FFFF0000"/>
      <name val="Arial"/>
      <family val="2"/>
    </font>
    <font>
      <b/>
      <sz val="10"/>
      <color rgb="FFFF0000"/>
      <name val="Arial"/>
      <family val="2"/>
    </font>
    <font>
      <b/>
      <sz val="9"/>
      <color indexed="81"/>
      <name val="Tahoma"/>
      <family val="2"/>
    </font>
    <font>
      <i/>
      <u/>
      <sz val="9"/>
      <color indexed="81"/>
      <name val="Tahoma"/>
      <family val="2"/>
    </font>
    <font>
      <b/>
      <sz val="10"/>
      <color rgb="FF00B050"/>
      <name val="Times New Roman"/>
      <family val="1"/>
    </font>
    <font>
      <b/>
      <sz val="8"/>
      <color rgb="FF00B050"/>
      <name val="Times New Roman"/>
      <family val="1"/>
    </font>
    <font>
      <strike/>
      <sz val="10"/>
      <color rgb="FFFF0000"/>
      <name val="Times New Roman"/>
      <family val="1"/>
    </font>
    <font>
      <b/>
      <strike/>
      <sz val="8"/>
      <color rgb="FFFF0000"/>
      <name val="Times New Roman"/>
      <family val="1"/>
    </font>
    <font>
      <strike/>
      <sz val="10"/>
      <name val="Times New Roman"/>
      <family val="1"/>
    </font>
    <font>
      <b/>
      <sz val="12"/>
      <color indexed="81"/>
      <name val="Tahoma"/>
      <family val="2"/>
    </font>
    <font>
      <sz val="9"/>
      <color indexed="81"/>
      <name val="Tahoma"/>
      <charset val="1"/>
    </font>
    <font>
      <i/>
      <sz val="9"/>
      <color indexed="81"/>
      <name val="Tahoma"/>
      <family val="2"/>
    </font>
    <font>
      <sz val="10"/>
      <color rgb="FF92D05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rgb="FFFFFF00"/>
        <bgColor indexed="64"/>
      </patternFill>
    </fill>
    <fill>
      <patternFill patternType="solid">
        <fgColor theme="7"/>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6">
    <xf numFmtId="0" fontId="0" fillId="0" borderId="0"/>
    <xf numFmtId="9" fontId="13" fillId="0" borderId="0" applyFont="0" applyFill="0" applyBorder="0" applyAlignment="0" applyProtection="0"/>
    <xf numFmtId="44" fontId="13" fillId="0" borderId="0" applyFont="0" applyFill="0" applyBorder="0" applyAlignment="0" applyProtection="0"/>
    <xf numFmtId="0" fontId="9" fillId="0" borderId="0"/>
    <xf numFmtId="0" fontId="9" fillId="0" borderId="0"/>
    <xf numFmtId="43" fontId="41" fillId="0" borderId="0" applyFont="0" applyFill="0" applyBorder="0" applyAlignment="0" applyProtection="0"/>
  </cellStyleXfs>
  <cellXfs count="354">
    <xf numFmtId="0" fontId="0" fillId="0" borderId="0" xfId="0"/>
    <xf numFmtId="49" fontId="2" fillId="0" borderId="0" xfId="0" applyNumberFormat="1" applyFont="1" applyAlignment="1">
      <alignment horizontal="left"/>
    </xf>
    <xf numFmtId="49" fontId="3" fillId="0" borderId="0" xfId="0" applyNumberFormat="1" applyFont="1" applyAlignment="1">
      <alignment horizontal="center"/>
    </xf>
    <xf numFmtId="0" fontId="3" fillId="0" borderId="0" xfId="0" applyFont="1"/>
    <xf numFmtId="49" fontId="4" fillId="0" borderId="0" xfId="0" applyNumberFormat="1" applyFont="1" applyAlignment="1">
      <alignment horizontal="left"/>
    </xf>
    <xf numFmtId="0" fontId="4" fillId="0" borderId="0" xfId="0" applyFont="1"/>
    <xf numFmtId="0" fontId="2" fillId="0" borderId="0" xfId="0" applyFont="1"/>
    <xf numFmtId="49" fontId="4" fillId="0" borderId="0" xfId="0" applyNumberFormat="1" applyFont="1" applyAlignment="1">
      <alignment horizontal="center"/>
    </xf>
    <xf numFmtId="0" fontId="2" fillId="0" borderId="1" xfId="0" applyFont="1" applyBorder="1"/>
    <xf numFmtId="49" fontId="2" fillId="0" borderId="2" xfId="0" applyNumberFormat="1" applyFont="1" applyBorder="1" applyAlignment="1">
      <alignment horizontal="center"/>
    </xf>
    <xf numFmtId="0" fontId="2" fillId="0" borderId="2" xfId="0" applyFont="1" applyBorder="1"/>
    <xf numFmtId="49" fontId="5" fillId="0" borderId="0" xfId="0" applyNumberFormat="1" applyFont="1" applyBorder="1" applyAlignment="1">
      <alignment horizontal="center"/>
    </xf>
    <xf numFmtId="0" fontId="5" fillId="0" borderId="0" xfId="0" applyFont="1" applyBorder="1"/>
    <xf numFmtId="0" fontId="4" fillId="0" borderId="0" xfId="0" applyFont="1" applyBorder="1"/>
    <xf numFmtId="49" fontId="4" fillId="0" borderId="0" xfId="0" applyNumberFormat="1" applyFont="1" applyBorder="1" applyAlignment="1">
      <alignment horizontal="center"/>
    </xf>
    <xf numFmtId="49" fontId="7" fillId="0" borderId="0" xfId="0" applyNumberFormat="1" applyFont="1" applyBorder="1" applyAlignment="1">
      <alignment horizontal="left"/>
    </xf>
    <xf numFmtId="0" fontId="4" fillId="0" borderId="0" xfId="0" applyFont="1" applyBorder="1" applyAlignment="1">
      <alignment horizontal="center"/>
    </xf>
    <xf numFmtId="0" fontId="5" fillId="0" borderId="0" xfId="0" applyFont="1" applyBorder="1" applyAlignment="1">
      <alignment horizontal="left"/>
    </xf>
    <xf numFmtId="49" fontId="5" fillId="0" borderId="4" xfId="0" applyNumberFormat="1" applyFont="1" applyBorder="1" applyAlignment="1">
      <alignment horizontal="left"/>
    </xf>
    <xf numFmtId="49" fontId="5" fillId="0" borderId="5" xfId="0" applyNumberFormat="1" applyFont="1" applyBorder="1" applyAlignment="1">
      <alignment horizontal="center"/>
    </xf>
    <xf numFmtId="0" fontId="5" fillId="0" borderId="5" xfId="0" applyFont="1" applyBorder="1"/>
    <xf numFmtId="0" fontId="8" fillId="0" borderId="0" xfId="0" applyFont="1"/>
    <xf numFmtId="0" fontId="9" fillId="0" borderId="0" xfId="0" applyFont="1"/>
    <xf numFmtId="0" fontId="10" fillId="0" borderId="0" xfId="0" applyFont="1"/>
    <xf numFmtId="0" fontId="12" fillId="0" borderId="0" xfId="0" applyFont="1"/>
    <xf numFmtId="0" fontId="4" fillId="0" borderId="0" xfId="0" applyFont="1" applyFill="1" applyBorder="1"/>
    <xf numFmtId="0" fontId="3" fillId="0" borderId="0" xfId="0" applyFont="1" applyFill="1"/>
    <xf numFmtId="0" fontId="4" fillId="0" borderId="0" xfId="0" applyFont="1" applyFill="1"/>
    <xf numFmtId="0" fontId="5" fillId="0" borderId="0" xfId="0" applyFont="1" applyFill="1"/>
    <xf numFmtId="0" fontId="5" fillId="0" borderId="0" xfId="0" applyFont="1" applyFill="1" applyAlignment="1">
      <alignment horizontal="center" wrapText="1"/>
    </xf>
    <xf numFmtId="0" fontId="9" fillId="0" borderId="0" xfId="0" applyFont="1" applyFill="1"/>
    <xf numFmtId="0" fontId="2" fillId="0" borderId="2" xfId="0" applyFont="1" applyFill="1" applyBorder="1"/>
    <xf numFmtId="0" fontId="2" fillId="0" borderId="3" xfId="0" applyFont="1" applyFill="1" applyBorder="1"/>
    <xf numFmtId="164" fontId="4" fillId="0" borderId="0" xfId="0" applyNumberFormat="1" applyFont="1" applyFill="1"/>
    <xf numFmtId="164" fontId="4" fillId="0" borderId="0" xfId="0" applyNumberFormat="1" applyFont="1" applyFill="1" applyBorder="1"/>
    <xf numFmtId="0" fontId="9" fillId="0" borderId="0" xfId="0" applyFont="1" applyFill="1" applyAlignment="1">
      <alignment wrapText="1"/>
    </xf>
    <xf numFmtId="9" fontId="4" fillId="0" borderId="0" xfId="0" applyNumberFormat="1" applyFont="1" applyFill="1" applyBorder="1"/>
    <xf numFmtId="3" fontId="4" fillId="0" borderId="0" xfId="0" applyNumberFormat="1" applyFont="1" applyFill="1" applyBorder="1"/>
    <xf numFmtId="0" fontId="5" fillId="0" borderId="5" xfId="0" applyFont="1" applyFill="1" applyBorder="1"/>
    <xf numFmtId="0" fontId="14" fillId="0" borderId="0" xfId="0" applyFont="1" applyAlignment="1">
      <alignment horizontal="left" vertical="center" indent="4"/>
    </xf>
    <xf numFmtId="44" fontId="0" fillId="0" borderId="0" xfId="2" applyFont="1"/>
    <xf numFmtId="49" fontId="5" fillId="0" borderId="0" xfId="0" applyNumberFormat="1" applyFont="1" applyAlignment="1">
      <alignment horizontal="center"/>
    </xf>
    <xf numFmtId="0" fontId="4" fillId="0" borderId="0" xfId="3" applyFont="1" applyFill="1" applyBorder="1"/>
    <xf numFmtId="3" fontId="4" fillId="0" borderId="0" xfId="3" applyNumberFormat="1" applyFont="1" applyFill="1" applyBorder="1"/>
    <xf numFmtId="164" fontId="4" fillId="0" borderId="0" xfId="3" applyNumberFormat="1" applyFont="1" applyFill="1" applyBorder="1"/>
    <xf numFmtId="3" fontId="4" fillId="0" borderId="0" xfId="3" applyNumberFormat="1" applyFont="1" applyFill="1" applyAlignment="1">
      <alignment horizontal="right"/>
    </xf>
    <xf numFmtId="0" fontId="4" fillId="0" borderId="0" xfId="3" applyFont="1" applyFill="1"/>
    <xf numFmtId="164" fontId="4" fillId="0" borderId="0" xfId="3" applyNumberFormat="1" applyFont="1" applyFill="1" applyAlignment="1">
      <alignment horizontal="right"/>
    </xf>
    <xf numFmtId="0" fontId="4" fillId="0" borderId="0" xfId="3" applyFont="1" applyFill="1" applyBorder="1" applyAlignment="1">
      <alignment horizontal="center"/>
    </xf>
    <xf numFmtId="0" fontId="4" fillId="0" borderId="0" xfId="3" applyFont="1" applyFill="1" applyAlignment="1">
      <alignment horizontal="center"/>
    </xf>
    <xf numFmtId="0" fontId="4" fillId="0" borderId="0" xfId="4" applyFont="1" applyFill="1" applyBorder="1"/>
    <xf numFmtId="3" fontId="4" fillId="0" borderId="0" xfId="4" applyNumberFormat="1" applyFont="1" applyFill="1" applyBorder="1"/>
    <xf numFmtId="49" fontId="4" fillId="0" borderId="0" xfId="4" applyNumberFormat="1" applyFont="1" applyFill="1" applyBorder="1" applyAlignment="1">
      <alignment horizontal="center"/>
    </xf>
    <xf numFmtId="0" fontId="4" fillId="0" borderId="0" xfId="4" applyFont="1" applyFill="1"/>
    <xf numFmtId="164" fontId="4" fillId="0" borderId="0" xfId="4" applyNumberFormat="1" applyFont="1" applyFill="1" applyBorder="1" applyAlignment="1">
      <alignment horizontal="right"/>
    </xf>
    <xf numFmtId="0" fontId="4" fillId="0" borderId="0" xfId="4" applyFont="1" applyFill="1" applyBorder="1" applyAlignment="1"/>
    <xf numFmtId="49" fontId="4" fillId="0" borderId="0" xfId="3" applyNumberFormat="1" applyFont="1" applyFill="1" applyAlignment="1">
      <alignment horizontal="center"/>
    </xf>
    <xf numFmtId="3" fontId="4" fillId="0" borderId="0" xfId="3" applyNumberFormat="1" applyFont="1" applyFill="1"/>
    <xf numFmtId="49" fontId="4" fillId="0" borderId="0" xfId="3" applyNumberFormat="1" applyFont="1" applyFill="1" applyBorder="1" applyAlignment="1">
      <alignment horizontal="center"/>
    </xf>
    <xf numFmtId="9" fontId="4" fillId="0" borderId="0" xfId="3" applyNumberFormat="1" applyFont="1" applyFill="1" applyBorder="1"/>
    <xf numFmtId="0" fontId="16" fillId="0" borderId="0" xfId="0" applyFont="1" applyFill="1"/>
    <xf numFmtId="9" fontId="4" fillId="0" borderId="0" xfId="3" applyNumberFormat="1" applyFont="1" applyFill="1"/>
    <xf numFmtId="0" fontId="5" fillId="0" borderId="0" xfId="3" applyFont="1" applyFill="1"/>
    <xf numFmtId="0" fontId="18" fillId="0" borderId="0" xfId="0" applyFont="1"/>
    <xf numFmtId="3" fontId="19" fillId="0" borderId="8" xfId="0" applyNumberFormat="1" applyFont="1" applyBorder="1"/>
    <xf numFmtId="0" fontId="11" fillId="0" borderId="8" xfId="0" applyFont="1" applyBorder="1" applyAlignment="1"/>
    <xf numFmtId="0" fontId="11" fillId="0" borderId="9" xfId="0" applyFont="1" applyBorder="1" applyAlignment="1"/>
    <xf numFmtId="0" fontId="19" fillId="0" borderId="0" xfId="0" applyFont="1"/>
    <xf numFmtId="3" fontId="19" fillId="0" borderId="0" xfId="0" applyNumberFormat="1" applyFont="1" applyBorder="1"/>
    <xf numFmtId="49" fontId="1" fillId="0" borderId="11" xfId="0" applyNumberFormat="1" applyFont="1" applyBorder="1" applyAlignment="1"/>
    <xf numFmtId="0" fontId="17" fillId="0" borderId="0" xfId="0" applyFont="1" applyBorder="1"/>
    <xf numFmtId="0" fontId="1" fillId="0" borderId="11" xfId="0" applyFont="1" applyBorder="1" applyAlignment="1"/>
    <xf numFmtId="0" fontId="1" fillId="0" borderId="0" xfId="0" applyFont="1" applyAlignment="1"/>
    <xf numFmtId="49" fontId="4" fillId="0" borderId="0" xfId="0" applyNumberFormat="1" applyFont="1" applyFill="1" applyAlignment="1">
      <alignment horizontal="left"/>
    </xf>
    <xf numFmtId="49" fontId="4" fillId="0" borderId="0" xfId="0" applyNumberFormat="1" applyFont="1" applyFill="1" applyAlignment="1">
      <alignment horizontal="center"/>
    </xf>
    <xf numFmtId="0" fontId="4" fillId="0" borderId="0" xfId="3" applyFont="1" applyFill="1" applyAlignment="1">
      <alignment wrapText="1"/>
    </xf>
    <xf numFmtId="0" fontId="4" fillId="0" borderId="0" xfId="4" applyFont="1" applyFill="1" applyAlignment="1">
      <alignment wrapText="1"/>
    </xf>
    <xf numFmtId="0" fontId="4" fillId="0" borderId="0" xfId="0" applyFont="1" applyBorder="1" applyAlignment="1">
      <alignment wrapText="1"/>
    </xf>
    <xf numFmtId="0" fontId="9" fillId="0" borderId="0" xfId="0" applyFont="1" applyAlignment="1">
      <alignment wrapText="1"/>
    </xf>
    <xf numFmtId="49" fontId="20" fillId="0" borderId="0" xfId="0" applyNumberFormat="1" applyFont="1" applyAlignment="1">
      <alignment horizontal="left"/>
    </xf>
    <xf numFmtId="49" fontId="20" fillId="0" borderId="0" xfId="0" applyNumberFormat="1" applyFont="1" applyAlignment="1">
      <alignment horizontal="center"/>
    </xf>
    <xf numFmtId="0" fontId="20" fillId="0" borderId="0" xfId="0" applyFont="1"/>
    <xf numFmtId="3" fontId="20" fillId="0" borderId="0" xfId="0" applyNumberFormat="1" applyFont="1"/>
    <xf numFmtId="164" fontId="4" fillId="0" borderId="0" xfId="0" applyNumberFormat="1" applyFont="1" applyBorder="1"/>
    <xf numFmtId="164" fontId="4" fillId="0" borderId="0" xfId="3" applyNumberFormat="1" applyFont="1" applyFill="1" applyAlignment="1">
      <alignment horizontal="right" wrapText="1"/>
    </xf>
    <xf numFmtId="3" fontId="4" fillId="0" borderId="0" xfId="0" applyNumberFormat="1" applyFont="1" applyBorder="1"/>
    <xf numFmtId="9" fontId="4" fillId="0" borderId="0" xfId="0" applyNumberFormat="1" applyFont="1" applyBorder="1"/>
    <xf numFmtId="3" fontId="20" fillId="0" borderId="0" xfId="0" applyNumberFormat="1" applyFont="1" applyFill="1" applyBorder="1"/>
    <xf numFmtId="0" fontId="20" fillId="0" borderId="0" xfId="0" applyFont="1" applyBorder="1"/>
    <xf numFmtId="0" fontId="20" fillId="0" borderId="0" xfId="0" applyFont="1" applyFill="1" applyBorder="1" applyAlignment="1">
      <alignment horizontal="center"/>
    </xf>
    <xf numFmtId="0" fontId="20" fillId="0" borderId="0" xfId="0" applyFont="1" applyFill="1" applyBorder="1"/>
    <xf numFmtId="9" fontId="20" fillId="0" borderId="0" xfId="0" applyNumberFormat="1" applyFont="1" applyFill="1" applyBorder="1"/>
    <xf numFmtId="0" fontId="4" fillId="0" borderId="0" xfId="0" applyFont="1" applyFill="1" applyBorder="1" applyAlignment="1">
      <alignment wrapText="1"/>
    </xf>
    <xf numFmtId="0" fontId="4" fillId="0" borderId="0" xfId="0" applyFont="1" applyFill="1" applyAlignment="1">
      <alignment horizontal="left"/>
    </xf>
    <xf numFmtId="49" fontId="23" fillId="0" borderId="0" xfId="0" applyNumberFormat="1" applyFont="1" applyBorder="1" applyAlignment="1">
      <alignment horizontal="center"/>
    </xf>
    <xf numFmtId="0" fontId="24" fillId="0" borderId="0" xfId="0" applyFont="1"/>
    <xf numFmtId="0" fontId="22" fillId="0" borderId="0" xfId="0" applyFont="1" applyBorder="1" applyAlignment="1">
      <alignment wrapText="1"/>
    </xf>
    <xf numFmtId="0" fontId="25" fillId="0" borderId="0" xfId="0" applyFont="1" applyBorder="1" applyAlignment="1">
      <alignment wrapText="1"/>
    </xf>
    <xf numFmtId="0" fontId="25" fillId="0" borderId="11" xfId="0" applyFont="1" applyBorder="1" applyAlignment="1">
      <alignment wrapText="1"/>
    </xf>
    <xf numFmtId="0" fontId="25" fillId="0" borderId="12" xfId="0" applyFont="1" applyBorder="1" applyAlignment="1">
      <alignment wrapText="1"/>
    </xf>
    <xf numFmtId="0" fontId="23" fillId="0" borderId="0" xfId="0" applyFont="1" applyFill="1"/>
    <xf numFmtId="0" fontId="27" fillId="0" borderId="0" xfId="0" applyFont="1" applyFill="1" applyBorder="1" applyAlignment="1"/>
    <xf numFmtId="0" fontId="26" fillId="0" borderId="14" xfId="0" applyFont="1" applyFill="1" applyBorder="1" applyAlignment="1">
      <alignment wrapText="1"/>
    </xf>
    <xf numFmtId="0" fontId="29" fillId="0" borderId="0" xfId="0" applyFont="1" applyFill="1"/>
    <xf numFmtId="9" fontId="30" fillId="0" borderId="0" xfId="1" applyNumberFormat="1" applyFont="1" applyFill="1"/>
    <xf numFmtId="1" fontId="30" fillId="0" borderId="0" xfId="0" applyNumberFormat="1" applyFont="1" applyFill="1" applyAlignment="1">
      <alignment horizontal="center"/>
    </xf>
    <xf numFmtId="49" fontId="29" fillId="0" borderId="0" xfId="0" applyNumberFormat="1" applyFont="1" applyFill="1" applyAlignment="1">
      <alignment horizontal="center"/>
    </xf>
    <xf numFmtId="0" fontId="28" fillId="0" borderId="0" xfId="0" applyFont="1" applyFill="1"/>
    <xf numFmtId="0" fontId="29" fillId="0" borderId="0" xfId="0" applyFont="1" applyFill="1" applyAlignment="1">
      <alignment horizontal="center"/>
    </xf>
    <xf numFmtId="0" fontId="29" fillId="0" borderId="0" xfId="0" applyFont="1" applyFill="1" applyAlignment="1">
      <alignment horizontal="right"/>
    </xf>
    <xf numFmtId="164" fontId="29" fillId="0" borderId="0" xfId="0" applyNumberFormat="1" applyFont="1" applyFill="1"/>
    <xf numFmtId="49" fontId="29" fillId="0" borderId="0" xfId="0" applyNumberFormat="1" applyFont="1" applyFill="1" applyAlignment="1">
      <alignment horizontal="left"/>
    </xf>
    <xf numFmtId="164" fontId="29" fillId="0" borderId="0" xfId="0" applyNumberFormat="1" applyFont="1" applyFill="1" applyBorder="1"/>
    <xf numFmtId="0" fontId="29" fillId="0" borderId="0" xfId="0" applyFont="1" applyFill="1" applyBorder="1"/>
    <xf numFmtId="49" fontId="29" fillId="0" borderId="0" xfId="4" applyNumberFormat="1" applyFont="1" applyFill="1" applyBorder="1" applyAlignment="1">
      <alignment horizontal="center"/>
    </xf>
    <xf numFmtId="0" fontId="29" fillId="0" borderId="0" xfId="4" applyFont="1" applyFill="1" applyBorder="1"/>
    <xf numFmtId="3" fontId="29" fillId="0" borderId="0" xfId="4" applyNumberFormat="1" applyFont="1" applyFill="1" applyBorder="1"/>
    <xf numFmtId="9" fontId="29" fillId="0" borderId="0" xfId="4" applyNumberFormat="1" applyFont="1" applyFill="1" applyBorder="1"/>
    <xf numFmtId="164" fontId="33" fillId="0" borderId="0" xfId="4" applyNumberFormat="1" applyFont="1" applyFill="1" applyBorder="1" applyAlignment="1">
      <alignment horizontal="right"/>
    </xf>
    <xf numFmtId="0" fontId="29" fillId="0" borderId="0" xfId="4" applyFont="1" applyFill="1" applyBorder="1" applyAlignment="1">
      <alignment wrapText="1"/>
    </xf>
    <xf numFmtId="164" fontId="29" fillId="0" borderId="0" xfId="4" applyNumberFormat="1" applyFont="1" applyFill="1" applyBorder="1"/>
    <xf numFmtId="49" fontId="29" fillId="0" borderId="0" xfId="0" applyNumberFormat="1" applyFont="1" applyAlignment="1">
      <alignment horizontal="left"/>
    </xf>
    <xf numFmtId="0" fontId="29" fillId="0" borderId="0" xfId="0" applyFont="1"/>
    <xf numFmtId="164" fontId="29" fillId="0" borderId="0" xfId="4" applyNumberFormat="1" applyFont="1" applyFill="1" applyBorder="1" applyAlignment="1">
      <alignment horizontal="right"/>
    </xf>
    <xf numFmtId="164" fontId="29" fillId="0" borderId="0" xfId="4" applyNumberFormat="1" applyFont="1" applyFill="1" applyAlignment="1">
      <alignment horizontal="right"/>
    </xf>
    <xf numFmtId="49" fontId="29" fillId="0" borderId="0" xfId="0" applyNumberFormat="1" applyFont="1" applyBorder="1" applyAlignment="1">
      <alignment horizontal="center"/>
    </xf>
    <xf numFmtId="0" fontId="29" fillId="0" borderId="0" xfId="0" applyFont="1" applyBorder="1"/>
    <xf numFmtId="9" fontId="29" fillId="0" borderId="0" xfId="4" applyNumberFormat="1" applyFont="1" applyFill="1"/>
    <xf numFmtId="164" fontId="29" fillId="0" borderId="0" xfId="4" applyNumberFormat="1" applyFont="1" applyFill="1" applyBorder="1" applyAlignment="1">
      <alignment horizontal="right" wrapText="1"/>
    </xf>
    <xf numFmtId="49" fontId="29" fillId="0" borderId="0" xfId="4" applyNumberFormat="1" applyFont="1" applyFill="1" applyAlignment="1">
      <alignment horizontal="center"/>
    </xf>
    <xf numFmtId="0" fontId="29" fillId="0" borderId="0" xfId="4" applyFont="1" applyFill="1"/>
    <xf numFmtId="0" fontId="35" fillId="0" borderId="0" xfId="0" applyNumberFormat="1" applyFont="1" applyFill="1" applyAlignment="1" applyProtection="1">
      <alignment horizontal="center"/>
      <protection locked="0"/>
    </xf>
    <xf numFmtId="1" fontId="35" fillId="0" borderId="0" xfId="0" applyNumberFormat="1" applyFont="1" applyFill="1" applyAlignment="1" applyProtection="1">
      <alignment horizontal="center"/>
      <protection locked="0"/>
    </xf>
    <xf numFmtId="0" fontId="35" fillId="0" borderId="0" xfId="0" applyFont="1" applyFill="1" applyProtection="1">
      <protection locked="0"/>
    </xf>
    <xf numFmtId="0" fontId="37" fillId="0" borderId="0" xfId="0" applyFont="1" applyFill="1" applyProtection="1">
      <protection locked="0"/>
    </xf>
    <xf numFmtId="0" fontId="35" fillId="0" borderId="0" xfId="0" applyFont="1" applyFill="1" applyAlignment="1" applyProtection="1">
      <alignment horizontal="center"/>
      <protection locked="0"/>
    </xf>
    <xf numFmtId="0" fontId="7" fillId="0" borderId="0" xfId="0" applyFont="1" applyFill="1" applyProtection="1">
      <protection locked="0"/>
    </xf>
    <xf numFmtId="9" fontId="35" fillId="0" borderId="0" xfId="1" applyFont="1" applyFill="1" applyProtection="1">
      <protection locked="0"/>
    </xf>
    <xf numFmtId="0" fontId="34" fillId="0" borderId="0" xfId="0" applyFont="1" applyFill="1" applyAlignment="1">
      <alignment horizontal="center" wrapText="1"/>
    </xf>
    <xf numFmtId="0" fontId="34" fillId="0" borderId="0" xfId="0" applyFont="1" applyFill="1"/>
    <xf numFmtId="0" fontId="11" fillId="0" borderId="0" xfId="0" applyFont="1" applyBorder="1" applyAlignment="1"/>
    <xf numFmtId="164" fontId="5" fillId="0" borderId="6" xfId="0" applyNumberFormat="1" applyFont="1" applyFill="1" applyBorder="1"/>
    <xf numFmtId="3" fontId="22" fillId="0" borderId="0" xfId="0" applyNumberFormat="1" applyFont="1" applyBorder="1"/>
    <xf numFmtId="49" fontId="35" fillId="0" borderId="0" xfId="0" applyNumberFormat="1" applyFont="1" applyFill="1" applyAlignment="1" applyProtection="1">
      <alignment horizontal="center"/>
      <protection locked="0"/>
    </xf>
    <xf numFmtId="14" fontId="23" fillId="0" borderId="0" xfId="0" applyNumberFormat="1" applyFont="1" applyBorder="1" applyAlignment="1">
      <alignment wrapText="1"/>
    </xf>
    <xf numFmtId="0" fontId="4" fillId="0" borderId="0" xfId="3" applyFont="1" applyFill="1" applyAlignment="1">
      <alignment wrapText="1"/>
    </xf>
    <xf numFmtId="0" fontId="2" fillId="0" borderId="0" xfId="0" applyFont="1" applyBorder="1"/>
    <xf numFmtId="49" fontId="2" fillId="0" borderId="0" xfId="0" applyNumberFormat="1" applyFont="1" applyBorder="1" applyAlignment="1">
      <alignment horizontal="center"/>
    </xf>
    <xf numFmtId="0" fontId="2" fillId="0" borderId="0" xfId="0" applyFont="1" applyFill="1" applyBorder="1"/>
    <xf numFmtId="0" fontId="4" fillId="0" borderId="0" xfId="3" applyFont="1" applyFill="1" applyAlignment="1">
      <alignment wrapText="1"/>
    </xf>
    <xf numFmtId="49" fontId="4" fillId="0" borderId="0" xfId="0" applyNumberFormat="1" applyFont="1" applyBorder="1" applyAlignment="1">
      <alignment horizontal="left"/>
    </xf>
    <xf numFmtId="0" fontId="7" fillId="0" borderId="0" xfId="0" applyNumberFormat="1" applyFont="1" applyFill="1" applyBorder="1" applyAlignment="1" applyProtection="1">
      <alignment horizontal="center"/>
      <protection locked="0"/>
    </xf>
    <xf numFmtId="0" fontId="7" fillId="0" borderId="0" xfId="0" applyFont="1" applyFill="1" applyBorder="1" applyProtection="1">
      <protection locked="0"/>
    </xf>
    <xf numFmtId="0" fontId="9" fillId="0" borderId="0" xfId="0" applyFont="1" applyBorder="1"/>
    <xf numFmtId="49" fontId="4" fillId="0" borderId="0" xfId="0" applyNumberFormat="1" applyFont="1" applyFill="1" applyBorder="1" applyAlignment="1">
      <alignment horizontal="center"/>
    </xf>
    <xf numFmtId="0" fontId="0" fillId="0" borderId="0" xfId="0" applyFill="1"/>
    <xf numFmtId="0" fontId="29" fillId="0" borderId="0" xfId="4" applyFont="1" applyFill="1" applyAlignment="1">
      <alignment wrapText="1"/>
    </xf>
    <xf numFmtId="49" fontId="5" fillId="0" borderId="0" xfId="0" applyNumberFormat="1" applyFont="1" applyFill="1" applyAlignment="1">
      <alignment horizontal="center"/>
    </xf>
    <xf numFmtId="0" fontId="9" fillId="0" borderId="0" xfId="0" applyFont="1" applyFill="1" applyBorder="1"/>
    <xf numFmtId="0" fontId="4" fillId="0" borderId="0" xfId="0" applyFont="1" applyFill="1" applyBorder="1" applyAlignment="1">
      <alignment horizontal="right"/>
    </xf>
    <xf numFmtId="0" fontId="4" fillId="0" borderId="0" xfId="3" applyFont="1" applyFill="1" applyAlignment="1">
      <alignment wrapText="1"/>
    </xf>
    <xf numFmtId="0" fontId="40" fillId="0" borderId="0" xfId="0" applyFont="1" applyBorder="1" applyAlignment="1">
      <alignment horizontal="left" wrapText="1"/>
    </xf>
    <xf numFmtId="0" fontId="40" fillId="0" borderId="14" xfId="0" applyFont="1" applyBorder="1" applyAlignment="1">
      <alignment horizontal="left" wrapText="1"/>
    </xf>
    <xf numFmtId="0" fontId="10" fillId="0" borderId="0" xfId="0" applyFont="1" applyFill="1"/>
    <xf numFmtId="49" fontId="5" fillId="0" borderId="0" xfId="0" applyNumberFormat="1" applyFont="1" applyFill="1" applyBorder="1" applyAlignment="1">
      <alignment horizontal="center"/>
    </xf>
    <xf numFmtId="0" fontId="5" fillId="0" borderId="0" xfId="0" applyFont="1" applyFill="1" applyBorder="1"/>
    <xf numFmtId="0" fontId="4" fillId="0" borderId="0" xfId="3" applyFont="1" applyFill="1" applyAlignment="1">
      <alignment wrapText="1"/>
    </xf>
    <xf numFmtId="0" fontId="29" fillId="0" borderId="0" xfId="4" applyFont="1" applyFill="1" applyAlignment="1">
      <alignment wrapText="1"/>
    </xf>
    <xf numFmtId="0" fontId="11" fillId="0" borderId="0" xfId="0" applyFont="1" applyFill="1" applyBorder="1" applyAlignment="1"/>
    <xf numFmtId="0" fontId="40" fillId="0" borderId="0" xfId="0" applyFont="1" applyFill="1" applyBorder="1" applyAlignment="1"/>
    <xf numFmtId="0" fontId="3" fillId="0" borderId="0" xfId="0" applyFont="1" applyFill="1" applyAlignment="1">
      <alignment wrapText="1"/>
    </xf>
    <xf numFmtId="0" fontId="42" fillId="0" borderId="0" xfId="0" applyFont="1" applyAlignment="1">
      <alignment horizontal="center" wrapText="1"/>
    </xf>
    <xf numFmtId="0" fontId="24" fillId="0" borderId="0" xfId="0" applyFont="1" applyFill="1" applyAlignment="1">
      <alignment horizontal="center"/>
    </xf>
    <xf numFmtId="0" fontId="23" fillId="0" borderId="0" xfId="0" applyFont="1" applyFill="1" applyAlignment="1">
      <alignment horizontal="center"/>
    </xf>
    <xf numFmtId="0" fontId="24" fillId="0" borderId="0" xfId="0" applyFont="1" applyFill="1" applyBorder="1" applyAlignment="1">
      <alignment horizontal="center"/>
    </xf>
    <xf numFmtId="1" fontId="36" fillId="0" borderId="0" xfId="0" applyNumberFormat="1" applyFont="1" applyFill="1" applyBorder="1" applyAlignment="1" applyProtection="1">
      <alignment horizontal="center"/>
      <protection locked="0"/>
    </xf>
    <xf numFmtId="9" fontId="43" fillId="2" borderId="0" xfId="1" applyFont="1" applyFill="1" applyAlignment="1">
      <alignment horizontal="center" wrapText="1"/>
    </xf>
    <xf numFmtId="3" fontId="23" fillId="2" borderId="0" xfId="0" applyNumberFormat="1" applyFont="1" applyFill="1" applyAlignment="1">
      <alignment horizontal="center"/>
    </xf>
    <xf numFmtId="1" fontId="36" fillId="2" borderId="0" xfId="0" applyNumberFormat="1" applyFont="1" applyFill="1" applyAlignment="1">
      <alignment horizontal="center"/>
    </xf>
    <xf numFmtId="1" fontId="50" fillId="2" borderId="0" xfId="0" applyNumberFormat="1" applyFont="1" applyFill="1" applyAlignment="1">
      <alignment horizontal="center"/>
    </xf>
    <xf numFmtId="9" fontId="31" fillId="2" borderId="0" xfId="0" applyNumberFormat="1" applyFont="1" applyFill="1"/>
    <xf numFmtId="0" fontId="45" fillId="2" borderId="0" xfId="0" applyFont="1" applyFill="1"/>
    <xf numFmtId="9" fontId="30" fillId="2" borderId="0" xfId="0" applyNumberFormat="1" applyFont="1" applyFill="1"/>
    <xf numFmtId="0" fontId="36" fillId="2" borderId="0" xfId="0" applyFont="1" applyFill="1"/>
    <xf numFmtId="9" fontId="30" fillId="2" borderId="0" xfId="1" applyNumberFormat="1" applyFont="1" applyFill="1"/>
    <xf numFmtId="3" fontId="43" fillId="2" borderId="0" xfId="0" applyNumberFormat="1" applyFont="1" applyFill="1" applyBorder="1" applyAlignment="1" applyProtection="1">
      <alignment horizontal="center"/>
      <protection locked="0"/>
    </xf>
    <xf numFmtId="3" fontId="49" fillId="2" borderId="0" xfId="0" applyNumberFormat="1" applyFont="1" applyFill="1" applyBorder="1" applyAlignment="1" applyProtection="1">
      <alignment horizontal="center"/>
      <protection locked="0"/>
    </xf>
    <xf numFmtId="0" fontId="46" fillId="2" borderId="0" xfId="0" applyFont="1" applyFill="1"/>
    <xf numFmtId="0" fontId="43" fillId="2" borderId="0" xfId="0" applyFont="1" applyFill="1" applyAlignment="1">
      <alignment horizontal="center" wrapText="1"/>
    </xf>
    <xf numFmtId="1" fontId="50" fillId="2" borderId="0" xfId="0" applyNumberFormat="1" applyFont="1" applyFill="1" applyAlignment="1" applyProtection="1">
      <alignment horizontal="center"/>
      <protection locked="0"/>
    </xf>
    <xf numFmtId="1" fontId="36" fillId="2" borderId="0" xfId="0" applyNumberFormat="1" applyFont="1" applyFill="1" applyAlignment="1" applyProtection="1">
      <alignment horizontal="center"/>
      <protection locked="0"/>
    </xf>
    <xf numFmtId="0" fontId="36" fillId="2" borderId="0" xfId="0" applyFont="1" applyFill="1" applyAlignment="1" applyProtection="1">
      <alignment horizontal="center"/>
      <protection locked="0"/>
    </xf>
    <xf numFmtId="1" fontId="36" fillId="2" borderId="0" xfId="0" applyNumberFormat="1" applyFont="1" applyFill="1" applyBorder="1" applyAlignment="1" applyProtection="1">
      <alignment horizontal="center"/>
      <protection locked="0"/>
    </xf>
    <xf numFmtId="49" fontId="4" fillId="0" borderId="0" xfId="0" applyNumberFormat="1" applyFont="1" applyAlignment="1">
      <alignment horizontal="left" vertical="center"/>
    </xf>
    <xf numFmtId="0" fontId="4" fillId="0" borderId="0" xfId="0" applyFont="1" applyAlignment="1">
      <alignment vertical="center"/>
    </xf>
    <xf numFmtId="0" fontId="23" fillId="0" borderId="0" xfId="0" applyFont="1" applyAlignment="1">
      <alignment vertical="center"/>
    </xf>
    <xf numFmtId="0" fontId="4" fillId="0" borderId="0" xfId="0" applyFont="1" applyFill="1" applyAlignment="1">
      <alignment vertical="center"/>
    </xf>
    <xf numFmtId="9" fontId="7" fillId="2" borderId="0" xfId="0" applyNumberFormat="1" applyFont="1" applyFill="1" applyAlignment="1">
      <alignment horizontal="center" vertical="center"/>
    </xf>
    <xf numFmtId="0" fontId="4" fillId="2" borderId="0" xfId="0" applyFont="1" applyFill="1" applyAlignment="1">
      <alignment vertical="center"/>
    </xf>
    <xf numFmtId="0" fontId="45" fillId="2" borderId="0" xfId="0" applyFont="1" applyFill="1" applyAlignment="1">
      <alignment horizontal="center" vertical="center"/>
    </xf>
    <xf numFmtId="0" fontId="34" fillId="0" borderId="0" xfId="0" applyFont="1" applyFill="1" applyAlignment="1">
      <alignment horizontal="center" vertical="center"/>
    </xf>
    <xf numFmtId="0" fontId="34" fillId="0" borderId="0" xfId="0" applyFont="1" applyFill="1" applyAlignment="1">
      <alignment vertical="center"/>
    </xf>
    <xf numFmtId="0" fontId="9" fillId="0" borderId="0" xfId="0" applyFont="1" applyAlignment="1">
      <alignment vertical="center"/>
    </xf>
    <xf numFmtId="0" fontId="4" fillId="6" borderId="0" xfId="0" applyFont="1" applyFill="1" applyBorder="1"/>
    <xf numFmtId="0" fontId="4" fillId="0" borderId="0" xfId="0" applyFont="1"/>
    <xf numFmtId="0" fontId="9" fillId="7" borderId="0" xfId="0" applyFont="1" applyFill="1"/>
    <xf numFmtId="0" fontId="4" fillId="0" borderId="8" xfId="0" applyFont="1" applyBorder="1"/>
    <xf numFmtId="0" fontId="9" fillId="0" borderId="8" xfId="0" applyFont="1" applyBorder="1"/>
    <xf numFmtId="9" fontId="9" fillId="0" borderId="8" xfId="1" applyFont="1" applyBorder="1"/>
    <xf numFmtId="0" fontId="9" fillId="0" borderId="9" xfId="0" applyFont="1" applyBorder="1"/>
    <xf numFmtId="49" fontId="29" fillId="0" borderId="13" xfId="0" applyNumberFormat="1" applyFont="1" applyFill="1" applyBorder="1" applyAlignment="1">
      <alignment horizontal="center"/>
    </xf>
    <xf numFmtId="9" fontId="9" fillId="3" borderId="0" xfId="1" applyFont="1" applyFill="1" applyBorder="1"/>
    <xf numFmtId="0" fontId="9" fillId="0" borderId="14" xfId="0" applyFont="1" applyBorder="1"/>
    <xf numFmtId="49" fontId="4" fillId="0" borderId="13" xfId="0" applyNumberFormat="1" applyFont="1" applyFill="1" applyBorder="1" applyAlignment="1">
      <alignment horizontal="center"/>
    </xf>
    <xf numFmtId="9" fontId="9" fillId="0" borderId="0" xfId="1" applyFont="1" applyBorder="1"/>
    <xf numFmtId="0" fontId="9" fillId="0" borderId="14" xfId="0" applyFont="1" applyFill="1" applyBorder="1"/>
    <xf numFmtId="49" fontId="39" fillId="0" borderId="13" xfId="0" applyNumberFormat="1" applyFont="1" applyFill="1" applyBorder="1" applyAlignment="1">
      <alignment horizontal="center"/>
    </xf>
    <xf numFmtId="49" fontId="32" fillId="0" borderId="13" xfId="0" applyNumberFormat="1" applyFont="1" applyFill="1" applyBorder="1" applyAlignment="1">
      <alignment horizontal="center"/>
    </xf>
    <xf numFmtId="3" fontId="0" fillId="0" borderId="13" xfId="0" applyNumberFormat="1" applyBorder="1"/>
    <xf numFmtId="0" fontId="0" fillId="0" borderId="0" xfId="0" applyBorder="1"/>
    <xf numFmtId="0" fontId="9" fillId="0" borderId="13" xfId="0" applyFont="1" applyBorder="1"/>
    <xf numFmtId="9" fontId="9" fillId="0" borderId="0" xfId="1" applyFont="1" applyBorder="1" applyAlignment="1">
      <alignment horizontal="right"/>
    </xf>
    <xf numFmtId="0" fontId="0" fillId="0" borderId="13" xfId="0" applyBorder="1"/>
    <xf numFmtId="0" fontId="0" fillId="0" borderId="14" xfId="0" applyBorder="1"/>
    <xf numFmtId="0" fontId="0" fillId="0" borderId="10" xfId="0" applyBorder="1"/>
    <xf numFmtId="0" fontId="4" fillId="6" borderId="11" xfId="0" applyFont="1" applyFill="1" applyBorder="1"/>
    <xf numFmtId="0" fontId="0" fillId="0" borderId="11" xfId="0" applyBorder="1"/>
    <xf numFmtId="9" fontId="9" fillId="3" borderId="11" xfId="1" applyFont="1" applyFill="1" applyBorder="1"/>
    <xf numFmtId="0" fontId="0" fillId="0" borderId="12" xfId="0" applyBorder="1"/>
    <xf numFmtId="0" fontId="9" fillId="0" borderId="7" xfId="0" applyFont="1" applyBorder="1"/>
    <xf numFmtId="0" fontId="9" fillId="0" borderId="8" xfId="0" applyFont="1" applyFill="1" applyBorder="1"/>
    <xf numFmtId="0" fontId="4" fillId="4" borderId="0" xfId="0" applyFont="1" applyFill="1" applyBorder="1"/>
    <xf numFmtId="3" fontId="23" fillId="0" borderId="0" xfId="0" applyNumberFormat="1" applyFont="1" applyFill="1" applyBorder="1" applyAlignment="1">
      <alignment horizontal="center"/>
    </xf>
    <xf numFmtId="1" fontId="9" fillId="0" borderId="0" xfId="0" applyNumberFormat="1" applyFont="1" applyBorder="1"/>
    <xf numFmtId="3" fontId="51" fillId="0" borderId="0" xfId="0" applyNumberFormat="1" applyFont="1" applyFill="1" applyBorder="1" applyAlignment="1">
      <alignment horizontal="center"/>
    </xf>
    <xf numFmtId="1" fontId="52" fillId="0" borderId="0" xfId="0" applyNumberFormat="1" applyFont="1" applyFill="1" applyBorder="1" applyAlignment="1" applyProtection="1">
      <alignment horizontal="center"/>
      <protection locked="0"/>
    </xf>
    <xf numFmtId="0" fontId="9" fillId="0" borderId="10" xfId="0" applyFont="1" applyBorder="1"/>
    <xf numFmtId="0" fontId="4" fillId="4" borderId="11" xfId="0" applyFont="1" applyFill="1" applyBorder="1"/>
    <xf numFmtId="3" fontId="9" fillId="0" borderId="11" xfId="0" applyNumberFormat="1" applyFont="1" applyBorder="1"/>
    <xf numFmtId="1" fontId="9" fillId="0" borderId="11" xfId="0" applyNumberFormat="1" applyFont="1" applyBorder="1"/>
    <xf numFmtId="9" fontId="9" fillId="0" borderId="11" xfId="1" applyFont="1" applyBorder="1"/>
    <xf numFmtId="0" fontId="9" fillId="0" borderId="12" xfId="0" applyFont="1" applyBorder="1"/>
    <xf numFmtId="0" fontId="9" fillId="0" borderId="7"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4" fillId="5" borderId="0" xfId="0" applyFont="1" applyFill="1" applyBorder="1"/>
    <xf numFmtId="3" fontId="9" fillId="0" borderId="0" xfId="0" applyNumberFormat="1" applyFont="1" applyBorder="1"/>
    <xf numFmtId="0" fontId="4" fillId="0" borderId="11" xfId="0" applyFont="1" applyFill="1" applyBorder="1"/>
    <xf numFmtId="0" fontId="9" fillId="0" borderId="11" xfId="0" applyFont="1" applyBorder="1"/>
    <xf numFmtId="49" fontId="29" fillId="0" borderId="7" xfId="0" applyNumberFormat="1" applyFont="1" applyFill="1" applyBorder="1" applyAlignment="1">
      <alignment horizontal="left"/>
    </xf>
    <xf numFmtId="0" fontId="4" fillId="7" borderId="0" xfId="3" applyFont="1" applyFill="1"/>
    <xf numFmtId="3" fontId="4" fillId="7" borderId="0" xfId="3" applyNumberFormat="1" applyFont="1" applyFill="1" applyAlignment="1">
      <alignment horizontal="right"/>
    </xf>
    <xf numFmtId="0" fontId="4" fillId="7" borderId="0" xfId="3" applyFont="1" applyFill="1" applyBorder="1"/>
    <xf numFmtId="0" fontId="4" fillId="0" borderId="0" xfId="0" applyFont="1" applyFill="1" applyBorder="1" applyAlignment="1">
      <alignment horizontal="center"/>
    </xf>
    <xf numFmtId="1" fontId="4" fillId="7" borderId="0" xfId="0" applyNumberFormat="1" applyFont="1" applyFill="1"/>
    <xf numFmtId="165" fontId="4" fillId="7" borderId="0" xfId="5" applyNumberFormat="1" applyFont="1" applyFill="1"/>
    <xf numFmtId="0" fontId="4" fillId="7" borderId="0" xfId="0" applyFont="1" applyFill="1"/>
    <xf numFmtId="3" fontId="4" fillId="7" borderId="0" xfId="0" applyNumberFormat="1" applyFont="1" applyFill="1"/>
    <xf numFmtId="0" fontId="4" fillId="0" borderId="0" xfId="3" applyFont="1" applyFill="1" applyAlignment="1">
      <alignment wrapText="1"/>
    </xf>
    <xf numFmtId="0" fontId="29" fillId="0" borderId="0" xfId="4" applyFont="1" applyFill="1" applyAlignment="1">
      <alignment wrapText="1"/>
    </xf>
    <xf numFmtId="0" fontId="4" fillId="0" borderId="0" xfId="0" applyFont="1"/>
    <xf numFmtId="49" fontId="29" fillId="0" borderId="0" xfId="0" applyNumberFormat="1" applyFont="1" applyFill="1" applyBorder="1" applyAlignment="1">
      <alignment horizontal="left"/>
    </xf>
    <xf numFmtId="49" fontId="29" fillId="0" borderId="0" xfId="0" applyNumberFormat="1" applyFont="1" applyFill="1" applyBorder="1" applyAlignment="1">
      <alignment horizontal="center"/>
    </xf>
    <xf numFmtId="49" fontId="39" fillId="0" borderId="0" xfId="0" applyNumberFormat="1" applyFont="1" applyFill="1" applyBorder="1" applyAlignment="1">
      <alignment horizontal="center"/>
    </xf>
    <xf numFmtId="49" fontId="32" fillId="0" borderId="0" xfId="0" applyNumberFormat="1" applyFont="1" applyFill="1" applyBorder="1" applyAlignment="1">
      <alignment horizontal="center"/>
    </xf>
    <xf numFmtId="0" fontId="0" fillId="0" borderId="0" xfId="0" applyFill="1" applyBorder="1"/>
    <xf numFmtId="0" fontId="9" fillId="0" borderId="0" xfId="0" applyFont="1" applyFill="1" applyBorder="1" applyAlignment="1">
      <alignment wrapText="1"/>
    </xf>
    <xf numFmtId="0" fontId="9" fillId="0" borderId="0" xfId="0" applyFont="1" applyFill="1" applyBorder="1" applyAlignment="1">
      <alignment vertical="center"/>
    </xf>
    <xf numFmtId="1" fontId="9" fillId="0" borderId="0" xfId="0" applyNumberFormat="1" applyFont="1" applyFill="1" applyBorder="1"/>
    <xf numFmtId="9" fontId="9" fillId="0" borderId="0" xfId="1" applyFont="1" applyFill="1" applyBorder="1"/>
    <xf numFmtId="9" fontId="9" fillId="0" borderId="0" xfId="1" applyFont="1" applyFill="1" applyBorder="1" applyAlignment="1">
      <alignment horizontal="right"/>
    </xf>
    <xf numFmtId="3" fontId="9" fillId="0" borderId="0" xfId="0" applyNumberFormat="1" applyFont="1" applyFill="1" applyBorder="1"/>
    <xf numFmtId="3" fontId="0" fillId="0" borderId="0" xfId="0" applyNumberFormat="1" applyFill="1" applyBorder="1"/>
    <xf numFmtId="165" fontId="4" fillId="0" borderId="0" xfId="5" applyNumberFormat="1" applyFont="1" applyFill="1"/>
    <xf numFmtId="3" fontId="4" fillId="0" borderId="0" xfId="0" applyNumberFormat="1" applyFont="1" applyFill="1"/>
    <xf numFmtId="1" fontId="4" fillId="0" borderId="0" xfId="0" applyNumberFormat="1" applyFont="1" applyFill="1"/>
    <xf numFmtId="0" fontId="9" fillId="0" borderId="0" xfId="0" applyFont="1" applyFill="1" applyAlignment="1">
      <alignment horizontal="center"/>
    </xf>
    <xf numFmtId="0" fontId="4" fillId="0" borderId="0" xfId="0" applyFont="1" applyFill="1" applyAlignment="1">
      <alignment horizontal="right"/>
    </xf>
    <xf numFmtId="0" fontId="4" fillId="0" borderId="0" xfId="0" applyFont="1" applyFill="1" applyAlignment="1">
      <alignment horizontal="center"/>
    </xf>
    <xf numFmtId="0" fontId="9" fillId="0" borderId="0" xfId="0" applyFont="1" applyFill="1" applyBorder="1" applyAlignment="1">
      <alignment horizontal="center"/>
    </xf>
    <xf numFmtId="0" fontId="12" fillId="0" borderId="0" xfId="0" applyFont="1" applyFill="1"/>
    <xf numFmtId="0" fontId="9" fillId="0" borderId="0" xfId="0" applyFont="1" applyBorder="1" applyAlignment="1">
      <alignment vertical="center"/>
    </xf>
    <xf numFmtId="0" fontId="57" fillId="8" borderId="13" xfId="0" applyFont="1" applyFill="1" applyBorder="1"/>
    <xf numFmtId="0" fontId="9" fillId="8" borderId="13" xfId="0" applyFont="1" applyFill="1" applyBorder="1"/>
    <xf numFmtId="3" fontId="0" fillId="0" borderId="11" xfId="0" applyNumberFormat="1" applyBorder="1"/>
    <xf numFmtId="0" fontId="18" fillId="0" borderId="0" xfId="0" applyFont="1" applyFill="1"/>
    <xf numFmtId="49" fontId="20" fillId="0" borderId="0" xfId="0" applyNumberFormat="1" applyFont="1" applyFill="1" applyAlignment="1">
      <alignment horizontal="left"/>
    </xf>
    <xf numFmtId="49" fontId="20" fillId="0" borderId="0" xfId="0" applyNumberFormat="1" applyFont="1" applyFill="1" applyAlignment="1">
      <alignment horizontal="center"/>
    </xf>
    <xf numFmtId="0" fontId="20" fillId="0" borderId="0" xfId="0" applyFont="1" applyFill="1"/>
    <xf numFmtId="3" fontId="20" fillId="0" borderId="0" xfId="0" applyNumberFormat="1" applyFont="1" applyFill="1"/>
    <xf numFmtId="0" fontId="19" fillId="0" borderId="0" xfId="0" applyFont="1" applyFill="1"/>
    <xf numFmtId="3" fontId="19" fillId="0" borderId="8" xfId="0" applyNumberFormat="1" applyFont="1" applyFill="1" applyBorder="1"/>
    <xf numFmtId="0" fontId="11" fillId="0" borderId="8" xfId="0" applyFont="1" applyFill="1" applyBorder="1" applyAlignment="1"/>
    <xf numFmtId="0" fontId="11" fillId="0" borderId="9" xfId="0" applyFont="1" applyFill="1" applyBorder="1" applyAlignment="1"/>
    <xf numFmtId="3" fontId="22" fillId="0" borderId="0" xfId="0" applyNumberFormat="1" applyFont="1" applyFill="1" applyBorder="1"/>
    <xf numFmtId="0" fontId="22" fillId="0" borderId="0" xfId="0" applyFont="1" applyFill="1" applyBorder="1" applyAlignment="1">
      <alignment wrapText="1"/>
    </xf>
    <xf numFmtId="0" fontId="40" fillId="0" borderId="0" xfId="0" applyFont="1" applyFill="1" applyBorder="1" applyAlignment="1">
      <alignment horizontal="left" wrapText="1"/>
    </xf>
    <xf numFmtId="0" fontId="40" fillId="0" borderId="14" xfId="0" applyFont="1" applyFill="1" applyBorder="1" applyAlignment="1">
      <alignment horizontal="left" wrapText="1"/>
    </xf>
    <xf numFmtId="3" fontId="19" fillId="0" borderId="0" xfId="0" applyNumberFormat="1" applyFont="1" applyFill="1" applyBorder="1"/>
    <xf numFmtId="0" fontId="25" fillId="0" borderId="0" xfId="0" applyFont="1" applyFill="1" applyBorder="1" applyAlignment="1">
      <alignment wrapText="1"/>
    </xf>
    <xf numFmtId="14" fontId="23" fillId="0" borderId="0" xfId="0" applyNumberFormat="1" applyFont="1" applyFill="1" applyBorder="1" applyAlignment="1">
      <alignment wrapText="1"/>
    </xf>
    <xf numFmtId="0" fontId="1" fillId="0" borderId="0" xfId="0" applyFont="1" applyFill="1" applyAlignment="1"/>
    <xf numFmtId="0" fontId="1" fillId="0" borderId="11" xfId="0" applyFont="1" applyFill="1" applyBorder="1" applyAlignment="1"/>
    <xf numFmtId="49" fontId="1" fillId="0" borderId="11" xfId="0" applyNumberFormat="1" applyFont="1" applyFill="1" applyBorder="1" applyAlignment="1"/>
    <xf numFmtId="0" fontId="25" fillId="0" borderId="11" xfId="0" applyFont="1" applyFill="1" applyBorder="1" applyAlignment="1">
      <alignment wrapText="1"/>
    </xf>
    <xf numFmtId="0" fontId="25" fillId="0" borderId="12" xfId="0" applyFont="1" applyFill="1" applyBorder="1" applyAlignment="1">
      <alignment wrapText="1"/>
    </xf>
    <xf numFmtId="49" fontId="2" fillId="0" borderId="0" xfId="0" applyNumberFormat="1" applyFont="1" applyFill="1" applyAlignment="1">
      <alignment horizontal="left"/>
    </xf>
    <xf numFmtId="49" fontId="3" fillId="0" borderId="0" xfId="0" applyNumberFormat="1" applyFont="1" applyFill="1" applyAlignment="1">
      <alignment horizontal="center"/>
    </xf>
    <xf numFmtId="0" fontId="2" fillId="0" borderId="0" xfId="0" applyFont="1" applyFill="1"/>
    <xf numFmtId="0" fontId="2" fillId="0" borderId="0" xfId="0" applyFont="1" applyFill="1" applyAlignment="1">
      <alignment horizontal="center" wrapText="1"/>
    </xf>
    <xf numFmtId="0" fontId="9" fillId="0" borderId="0" xfId="0" applyFont="1" applyFill="1" applyAlignment="1">
      <alignment vertical="center"/>
    </xf>
    <xf numFmtId="49" fontId="4" fillId="0" borderId="0" xfId="0" applyNumberFormat="1" applyFont="1" applyFill="1" applyAlignment="1">
      <alignment horizontal="left" vertical="center"/>
    </xf>
    <xf numFmtId="49" fontId="4" fillId="0" borderId="0" xfId="0" applyNumberFormat="1" applyFont="1" applyFill="1" applyBorder="1" applyAlignment="1">
      <alignment horizontal="left"/>
    </xf>
    <xf numFmtId="0" fontId="2" fillId="0" borderId="1" xfId="0" applyFont="1" applyFill="1" applyBorder="1"/>
    <xf numFmtId="49" fontId="2" fillId="0" borderId="2" xfId="0" applyNumberFormat="1" applyFont="1" applyFill="1" applyBorder="1" applyAlignment="1">
      <alignment horizontal="center"/>
    </xf>
    <xf numFmtId="49" fontId="7" fillId="0" borderId="0" xfId="0" applyNumberFormat="1" applyFont="1" applyFill="1" applyBorder="1" applyAlignment="1">
      <alignment horizontal="left"/>
    </xf>
    <xf numFmtId="0" fontId="17" fillId="0" borderId="0" xfId="0" applyFont="1" applyFill="1" applyBorder="1"/>
    <xf numFmtId="49" fontId="2" fillId="0" borderId="0" xfId="0" applyNumberFormat="1" applyFont="1" applyFill="1" applyBorder="1" applyAlignment="1">
      <alignment horizontal="center"/>
    </xf>
    <xf numFmtId="0" fontId="5" fillId="0" borderId="0" xfId="0" applyFont="1" applyFill="1" applyBorder="1" applyAlignment="1">
      <alignment horizontal="left"/>
    </xf>
    <xf numFmtId="0" fontId="24" fillId="0" borderId="0" xfId="0" applyFont="1" applyFill="1"/>
    <xf numFmtId="49" fontId="23" fillId="0" borderId="0" xfId="0" applyNumberFormat="1" applyFont="1" applyFill="1" applyBorder="1" applyAlignment="1">
      <alignment horizontal="center"/>
    </xf>
    <xf numFmtId="49" fontId="5" fillId="0" borderId="4" xfId="0" applyNumberFormat="1" applyFont="1" applyFill="1" applyBorder="1" applyAlignment="1">
      <alignment horizontal="left"/>
    </xf>
    <xf numFmtId="49" fontId="5" fillId="0" borderId="5" xfId="0" applyNumberFormat="1" applyFont="1" applyFill="1" applyBorder="1" applyAlignment="1">
      <alignment horizontal="center"/>
    </xf>
    <xf numFmtId="0" fontId="8" fillId="0" borderId="0" xfId="0" applyFont="1" applyFill="1"/>
    <xf numFmtId="0" fontId="4" fillId="0" borderId="0" xfId="3" applyFont="1" applyFill="1" applyAlignment="1">
      <alignment horizontal="right"/>
    </xf>
    <xf numFmtId="0" fontId="4" fillId="0" borderId="0" xfId="3" applyFont="1" applyFill="1" applyAlignment="1">
      <alignment wrapText="1"/>
    </xf>
    <xf numFmtId="0" fontId="4" fillId="0" borderId="0" xfId="0" applyFont="1" applyFill="1"/>
    <xf numFmtId="0" fontId="29" fillId="0" borderId="0" xfId="4" applyFont="1" applyFill="1" applyAlignment="1">
      <alignment wrapText="1"/>
    </xf>
    <xf numFmtId="0" fontId="4" fillId="0" borderId="0" xfId="0" applyFont="1"/>
    <xf numFmtId="0" fontId="4" fillId="0" borderId="0" xfId="3" applyFont="1" applyFill="1" applyAlignment="1">
      <alignment wrapText="1"/>
    </xf>
    <xf numFmtId="0" fontId="4" fillId="0" borderId="0" xfId="0" applyFont="1" applyFill="1"/>
    <xf numFmtId="0" fontId="4" fillId="0" borderId="0" xfId="3" applyFont="1" applyFill="1" applyAlignment="1">
      <alignment wrapText="1"/>
    </xf>
    <xf numFmtId="49" fontId="11" fillId="0" borderId="7" xfId="0" applyNumberFormat="1" applyFont="1" applyFill="1" applyBorder="1" applyAlignment="1">
      <alignment horizontal="left" vertical="center"/>
    </xf>
    <xf numFmtId="49" fontId="11" fillId="0" borderId="8" xfId="0" applyNumberFormat="1" applyFont="1" applyFill="1" applyBorder="1" applyAlignment="1">
      <alignment horizontal="left" vertical="center"/>
    </xf>
    <xf numFmtId="0" fontId="38" fillId="0" borderId="8" xfId="0" applyFont="1" applyFill="1" applyBorder="1" applyAlignment="1">
      <alignment horizontal="center" vertical="center"/>
    </xf>
    <xf numFmtId="49" fontId="1" fillId="0" borderId="13" xfId="0" applyNumberFormat="1"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0" fontId="11" fillId="0" borderId="10" xfId="0" applyFont="1" applyFill="1" applyBorder="1" applyAlignment="1">
      <alignment horizontal="left"/>
    </xf>
    <xf numFmtId="0" fontId="11" fillId="0" borderId="11" xfId="0" applyFont="1" applyFill="1" applyBorder="1" applyAlignment="1">
      <alignment horizontal="left"/>
    </xf>
    <xf numFmtId="0" fontId="4" fillId="0" borderId="0" xfId="0" applyFont="1" applyFill="1"/>
    <xf numFmtId="0" fontId="4" fillId="0" borderId="0" xfId="0" applyFont="1" applyFill="1" applyAlignment="1">
      <alignment wrapText="1"/>
    </xf>
    <xf numFmtId="0" fontId="4" fillId="0" borderId="0" xfId="5" applyNumberFormat="1" applyFont="1" applyFill="1"/>
    <xf numFmtId="0" fontId="29" fillId="0" borderId="0" xfId="4" applyFont="1" applyFill="1" applyAlignment="1">
      <alignment wrapText="1"/>
    </xf>
    <xf numFmtId="0" fontId="29" fillId="0" borderId="0" xfId="4" applyFont="1" applyFill="1" applyBorder="1" applyAlignment="1">
      <alignment horizontal="left" wrapText="1"/>
    </xf>
    <xf numFmtId="0" fontId="29" fillId="0" borderId="0" xfId="0" applyFont="1" applyFill="1" applyAlignment="1">
      <alignment horizontal="left" wrapText="1"/>
    </xf>
    <xf numFmtId="0" fontId="4" fillId="0" borderId="0" xfId="3" applyFont="1" applyFill="1" applyAlignment="1">
      <alignment vertical="top" wrapText="1"/>
    </xf>
    <xf numFmtId="0" fontId="4" fillId="0" borderId="0" xfId="0" applyFont="1" applyFill="1" applyBorder="1" applyAlignment="1">
      <alignment horizontal="left"/>
    </xf>
    <xf numFmtId="49" fontId="11" fillId="0" borderId="7" xfId="0" applyNumberFormat="1" applyFont="1" applyBorder="1" applyAlignment="1">
      <alignment horizontal="left" vertical="center"/>
    </xf>
    <xf numFmtId="49" fontId="11" fillId="0" borderId="8" xfId="0" applyNumberFormat="1" applyFont="1" applyBorder="1" applyAlignment="1">
      <alignment horizontal="left" vertical="center"/>
    </xf>
    <xf numFmtId="0" fontId="11" fillId="0" borderId="10" xfId="0" applyFont="1" applyBorder="1" applyAlignment="1">
      <alignment horizontal="left"/>
    </xf>
    <xf numFmtId="0" fontId="11" fillId="0" borderId="11" xfId="0" applyFont="1" applyBorder="1" applyAlignment="1">
      <alignment horizontal="left"/>
    </xf>
    <xf numFmtId="0" fontId="4" fillId="0" borderId="0" xfId="0" applyFont="1"/>
    <xf numFmtId="0" fontId="4" fillId="7" borderId="0" xfId="5" applyNumberFormat="1" applyFont="1" applyFill="1"/>
    <xf numFmtId="0" fontId="53" fillId="0" borderId="0" xfId="3" applyFont="1" applyFill="1" applyAlignment="1">
      <alignment wrapText="1"/>
    </xf>
  </cellXfs>
  <cellStyles count="6">
    <cellStyle name="Comma" xfId="5" builtinId="3"/>
    <cellStyle name="Currency" xfId="2" builtinId="4"/>
    <cellStyle name="Normal" xfId="0" builtinId="0"/>
    <cellStyle name="Normal 2" xfId="3"/>
    <cellStyle name="Normal 3" xfId="4"/>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J221"/>
  <sheetViews>
    <sheetView tabSelected="1" topLeftCell="A167" workbookViewId="0">
      <selection activeCell="A142" sqref="A142"/>
    </sheetView>
    <sheetView topLeftCell="A64" workbookViewId="1">
      <selection activeCell="K72" sqref="K72"/>
    </sheetView>
  </sheetViews>
  <sheetFormatPr defaultRowHeight="12.75" x14ac:dyDescent="0.2"/>
  <cols>
    <col min="1" max="1" width="14.5703125" style="155" bestFit="1" customWidth="1"/>
    <col min="2" max="2" width="4" style="30" customWidth="1"/>
    <col min="3" max="3" width="2.85546875" style="30" customWidth="1"/>
    <col min="4" max="4" width="8.7109375" style="30"/>
    <col min="5" max="5" width="5.140625" style="30" customWidth="1"/>
    <col min="6" max="6" width="11.140625" style="30" customWidth="1"/>
    <col min="7" max="7" width="12.85546875" style="30" customWidth="1"/>
    <col min="8" max="8" width="6.140625" style="30" customWidth="1"/>
    <col min="9" max="9" width="10" style="30" customWidth="1"/>
    <col min="10" max="10" width="2.85546875" style="30" customWidth="1"/>
    <col min="11" max="11" width="11.140625" style="30" customWidth="1"/>
    <col min="12" max="12" width="5.5703125" style="30" customWidth="1"/>
    <col min="13" max="13" width="5.85546875" style="30" customWidth="1"/>
    <col min="14" max="14" width="11.85546875" style="30" customWidth="1"/>
    <col min="17" max="18" width="9" customWidth="1"/>
    <col min="21" max="21" width="12.140625" customWidth="1"/>
    <col min="24" max="25" width="25" customWidth="1"/>
    <col min="26" max="26" width="10" customWidth="1"/>
    <col min="28" max="28" width="14" customWidth="1"/>
    <col min="29" max="29" width="16" customWidth="1"/>
    <col min="30" max="30" width="10.42578125" customWidth="1"/>
  </cols>
  <sheetData>
    <row r="1" spans="1:32" s="63" customFormat="1" ht="12" x14ac:dyDescent="0.2">
      <c r="A1" s="285"/>
      <c r="B1" s="286"/>
      <c r="C1" s="287"/>
      <c r="D1" s="288"/>
      <c r="E1" s="288"/>
      <c r="F1" s="288"/>
      <c r="G1" s="288"/>
      <c r="H1" s="289"/>
      <c r="I1" s="288"/>
      <c r="J1" s="288"/>
      <c r="K1" s="288"/>
      <c r="L1" s="288"/>
      <c r="M1" s="288"/>
      <c r="N1" s="288"/>
    </row>
    <row r="2" spans="1:32" s="63" customFormat="1" thickBot="1" x14ac:dyDescent="0.25">
      <c r="A2" s="285"/>
      <c r="B2" s="286"/>
      <c r="C2" s="287"/>
      <c r="D2" s="288"/>
      <c r="E2" s="288"/>
      <c r="F2" s="288"/>
      <c r="G2" s="288"/>
      <c r="H2" s="289"/>
      <c r="I2" s="288"/>
      <c r="J2" s="288"/>
      <c r="K2" s="288"/>
      <c r="L2" s="288"/>
      <c r="M2" s="288"/>
      <c r="N2" s="288"/>
    </row>
    <row r="3" spans="1:32" s="67" customFormat="1" ht="15" customHeight="1" x14ac:dyDescent="0.25">
      <c r="A3" s="290"/>
      <c r="B3" s="332" t="s">
        <v>171</v>
      </c>
      <c r="C3" s="333"/>
      <c r="D3" s="333"/>
      <c r="E3" s="333"/>
      <c r="F3" s="333"/>
      <c r="G3" s="333"/>
      <c r="H3" s="291"/>
      <c r="I3" s="334" t="s">
        <v>103</v>
      </c>
      <c r="J3" s="334"/>
      <c r="K3" s="334"/>
      <c r="L3" s="292"/>
      <c r="M3" s="292"/>
      <c r="N3" s="293"/>
    </row>
    <row r="4" spans="1:32" s="67" customFormat="1" ht="15" customHeight="1" x14ac:dyDescent="0.25">
      <c r="A4" s="290"/>
      <c r="B4" s="335" t="s">
        <v>184</v>
      </c>
      <c r="C4" s="336"/>
      <c r="D4" s="336"/>
      <c r="E4" s="336"/>
      <c r="F4" s="336"/>
      <c r="G4" s="336"/>
      <c r="H4" s="101"/>
      <c r="I4" s="168"/>
      <c r="J4" s="168"/>
      <c r="K4" s="168"/>
      <c r="L4" s="168"/>
      <c r="M4" s="168"/>
      <c r="N4" s="102"/>
    </row>
    <row r="5" spans="1:32" s="67" customFormat="1" ht="15" customHeight="1" x14ac:dyDescent="0.25">
      <c r="A5" s="290"/>
      <c r="B5" s="335"/>
      <c r="C5" s="336"/>
      <c r="D5" s="336"/>
      <c r="E5" s="336"/>
      <c r="F5" s="336"/>
      <c r="G5" s="336"/>
      <c r="H5" s="294"/>
      <c r="I5" s="169"/>
      <c r="J5" s="169"/>
      <c r="K5" s="169"/>
      <c r="L5" s="295"/>
      <c r="M5" s="296"/>
      <c r="N5" s="297"/>
    </row>
    <row r="6" spans="1:32" s="67" customFormat="1" ht="15" customHeight="1" x14ac:dyDescent="0.25">
      <c r="A6" s="290"/>
      <c r="B6" s="335"/>
      <c r="C6" s="336"/>
      <c r="D6" s="336"/>
      <c r="E6" s="336"/>
      <c r="F6" s="336"/>
      <c r="G6" s="336"/>
      <c r="H6" s="298"/>
      <c r="I6" s="299"/>
      <c r="J6" s="299"/>
      <c r="K6" s="300"/>
      <c r="L6" s="299"/>
      <c r="M6" s="296"/>
      <c r="N6" s="297"/>
    </row>
    <row r="7" spans="1:32" s="72" customFormat="1" ht="20.25" customHeight="1" thickBot="1" x14ac:dyDescent="0.35">
      <c r="A7" s="301"/>
      <c r="B7" s="337" t="s">
        <v>170</v>
      </c>
      <c r="C7" s="338"/>
      <c r="D7" s="338"/>
      <c r="E7" s="338"/>
      <c r="F7" s="338"/>
      <c r="G7" s="302"/>
      <c r="H7" s="303"/>
      <c r="I7" s="304"/>
      <c r="J7" s="304"/>
      <c r="K7" s="304"/>
      <c r="L7" s="304"/>
      <c r="M7" s="304"/>
      <c r="N7" s="305"/>
    </row>
    <row r="8" spans="1:32" s="22" customFormat="1" ht="20.25" customHeight="1" x14ac:dyDescent="0.25">
      <c r="A8" s="30"/>
      <c r="B8" s="306" t="s">
        <v>12</v>
      </c>
      <c r="C8" s="307"/>
      <c r="D8" s="26"/>
      <c r="E8" s="26"/>
      <c r="F8" s="26"/>
      <c r="G8" s="26"/>
      <c r="H8" s="26"/>
      <c r="I8" s="26"/>
      <c r="J8" s="26"/>
      <c r="K8" s="26"/>
      <c r="L8" s="26"/>
      <c r="M8" s="26"/>
      <c r="N8" s="26"/>
    </row>
    <row r="9" spans="1:32" s="22" customFormat="1" x14ac:dyDescent="0.2">
      <c r="A9" s="30"/>
      <c r="B9" s="73" t="s">
        <v>0</v>
      </c>
      <c r="C9" s="73" t="s">
        <v>13</v>
      </c>
      <c r="D9" s="326"/>
      <c r="E9" s="326"/>
      <c r="F9" s="326" t="s">
        <v>39</v>
      </c>
      <c r="G9" s="326"/>
      <c r="H9" s="326"/>
      <c r="I9" s="326"/>
      <c r="J9" s="326"/>
      <c r="K9" s="326"/>
      <c r="L9" s="326"/>
      <c r="M9" s="326"/>
      <c r="N9" s="326"/>
    </row>
    <row r="10" spans="1:32" s="22" customFormat="1" x14ac:dyDescent="0.2">
      <c r="A10" s="30"/>
      <c r="B10" s="73" t="s">
        <v>1</v>
      </c>
      <c r="C10" s="73" t="s">
        <v>14</v>
      </c>
      <c r="D10" s="326"/>
      <c r="E10" s="326"/>
      <c r="F10" s="326" t="s">
        <v>233</v>
      </c>
      <c r="G10" s="326"/>
      <c r="H10" s="100"/>
      <c r="I10" s="100"/>
      <c r="J10" s="326"/>
      <c r="K10" s="326"/>
      <c r="L10" s="326"/>
      <c r="M10" s="326"/>
      <c r="N10" s="326"/>
    </row>
    <row r="11" spans="1:32" s="22" customFormat="1" ht="52.5" thickBot="1" x14ac:dyDescent="0.3">
      <c r="A11" s="30"/>
      <c r="B11" s="308" t="s">
        <v>15</v>
      </c>
      <c r="C11" s="307"/>
      <c r="D11" s="26"/>
      <c r="E11" s="26"/>
      <c r="F11" s="26"/>
      <c r="G11" s="309" t="s">
        <v>186</v>
      </c>
      <c r="H11" s="170"/>
      <c r="I11" s="28" t="s">
        <v>16</v>
      </c>
      <c r="J11" s="28"/>
      <c r="K11" s="28" t="s">
        <v>17</v>
      </c>
      <c r="L11" s="30"/>
      <c r="M11" s="30"/>
      <c r="N11" s="29" t="s">
        <v>234</v>
      </c>
      <c r="P11" s="138"/>
      <c r="S11" s="78" t="s">
        <v>224</v>
      </c>
      <c r="T11" s="78" t="s">
        <v>225</v>
      </c>
      <c r="U11" s="78" t="s">
        <v>226</v>
      </c>
      <c r="V11" s="78" t="s">
        <v>227</v>
      </c>
      <c r="W11" s="78" t="s">
        <v>228</v>
      </c>
      <c r="X11" s="78" t="s">
        <v>229</v>
      </c>
      <c r="Y11" s="78"/>
      <c r="Z11" s="176">
        <v>7.0000000000000007E-2</v>
      </c>
      <c r="AA11" s="176" t="s">
        <v>192</v>
      </c>
      <c r="AB11" s="188" t="s">
        <v>191</v>
      </c>
      <c r="AC11" s="266"/>
      <c r="AD11" s="266"/>
      <c r="AE11" s="266"/>
      <c r="AF11" s="158"/>
    </row>
    <row r="12" spans="1:32" s="202" customFormat="1" ht="15" customHeight="1" x14ac:dyDescent="0.2">
      <c r="A12" s="310"/>
      <c r="B12" s="311" t="s">
        <v>0</v>
      </c>
      <c r="C12" s="311" t="s">
        <v>18</v>
      </c>
      <c r="D12" s="196"/>
      <c r="E12" s="196"/>
      <c r="F12" s="196"/>
      <c r="G12" s="196"/>
      <c r="H12" s="196"/>
      <c r="I12" s="196"/>
      <c r="J12" s="196"/>
      <c r="K12" s="196"/>
      <c r="L12" s="310"/>
      <c r="M12" s="310"/>
      <c r="N12" s="196"/>
      <c r="P12" s="200"/>
      <c r="Q12" s="242" t="s">
        <v>212</v>
      </c>
      <c r="R12" s="243"/>
      <c r="S12" s="243"/>
      <c r="T12" s="243"/>
      <c r="U12" s="243"/>
      <c r="V12" s="243"/>
      <c r="W12" s="243"/>
      <c r="X12" s="244"/>
      <c r="Y12" s="281"/>
      <c r="Z12" s="197"/>
      <c r="AA12" s="198"/>
      <c r="AB12" s="199"/>
      <c r="AC12" s="267"/>
      <c r="AD12" s="267"/>
      <c r="AE12" s="267"/>
      <c r="AF12" s="267"/>
    </row>
    <row r="13" spans="1:32" s="22" customFormat="1" ht="12.75" customHeight="1" x14ac:dyDescent="0.2">
      <c r="A13" s="30"/>
      <c r="B13" s="73"/>
      <c r="C13" s="74" t="s">
        <v>5</v>
      </c>
      <c r="D13" s="326" t="s">
        <v>40</v>
      </c>
      <c r="E13" s="326"/>
      <c r="F13" s="326"/>
      <c r="G13" s="276" t="s">
        <v>185</v>
      </c>
      <c r="H13" s="326"/>
      <c r="I13" s="326" t="s">
        <v>19</v>
      </c>
      <c r="J13" s="103"/>
      <c r="K13" s="103" t="s">
        <v>20</v>
      </c>
      <c r="L13" s="30"/>
      <c r="M13" s="30"/>
      <c r="N13" s="106" t="s">
        <v>235</v>
      </c>
      <c r="P13" s="131"/>
      <c r="Q13" s="220"/>
      <c r="R13" s="245" t="s">
        <v>40</v>
      </c>
      <c r="S13" s="232">
        <f>Z13</f>
        <v>2086.5</v>
      </c>
      <c r="T13" s="175">
        <v>1800</v>
      </c>
      <c r="U13" s="153">
        <v>0</v>
      </c>
      <c r="V13" s="233">
        <f>SUM(T13,U13)</f>
        <v>1800</v>
      </c>
      <c r="W13" s="214">
        <f>S13/V13</f>
        <v>1.1591666666666667</v>
      </c>
      <c r="X13" s="212" t="s">
        <v>201</v>
      </c>
      <c r="Y13" s="153"/>
      <c r="Z13" s="177">
        <f>(AA13*0.07)+AA13</f>
        <v>2086.5</v>
      </c>
      <c r="AA13" s="178">
        <v>1950</v>
      </c>
      <c r="AB13" s="189">
        <v>1800</v>
      </c>
      <c r="AC13" s="268"/>
      <c r="AD13" s="269"/>
      <c r="AE13" s="158"/>
      <c r="AF13" s="158"/>
    </row>
    <row r="14" spans="1:32" s="22" customFormat="1" ht="12.75" customHeight="1" x14ac:dyDescent="0.2">
      <c r="A14" s="30"/>
      <c r="B14" s="73"/>
      <c r="C14" s="74" t="s">
        <v>6</v>
      </c>
      <c r="D14" s="326" t="s">
        <v>41</v>
      </c>
      <c r="E14" s="326"/>
      <c r="F14" s="326"/>
      <c r="G14" s="276" t="s">
        <v>185</v>
      </c>
      <c r="H14" s="326"/>
      <c r="I14" s="326" t="s">
        <v>19</v>
      </c>
      <c r="J14" s="103"/>
      <c r="K14" s="103" t="s">
        <v>20</v>
      </c>
      <c r="L14" s="30"/>
      <c r="M14" s="30"/>
      <c r="N14" s="106" t="s">
        <v>236</v>
      </c>
      <c r="P14" s="131"/>
      <c r="Q14" s="220"/>
      <c r="R14" s="245" t="s">
        <v>41</v>
      </c>
      <c r="S14" s="232">
        <f>Z14</f>
        <v>1763.3600000000001</v>
      </c>
      <c r="T14" s="175">
        <v>1785</v>
      </c>
      <c r="U14" s="153">
        <v>0</v>
      </c>
      <c r="V14" s="233">
        <f>SUM(T14,U14)</f>
        <v>1785</v>
      </c>
      <c r="W14" s="211">
        <f>S14/V14</f>
        <v>0.98787675070028014</v>
      </c>
      <c r="X14" s="212" t="s">
        <v>203</v>
      </c>
      <c r="Y14" s="153"/>
      <c r="Z14" s="177">
        <f>(AA14*0.07)+AA14</f>
        <v>1763.3600000000001</v>
      </c>
      <c r="AA14" s="179">
        <v>1648</v>
      </c>
      <c r="AB14" s="190">
        <v>1785</v>
      </c>
      <c r="AC14" s="268"/>
      <c r="AD14" s="269"/>
      <c r="AE14" s="158"/>
      <c r="AF14" s="158"/>
    </row>
    <row r="15" spans="1:32" s="22" customFormat="1" ht="12.75" customHeight="1" x14ac:dyDescent="0.2">
      <c r="A15" s="30"/>
      <c r="B15" s="73"/>
      <c r="C15" s="74" t="s">
        <v>7</v>
      </c>
      <c r="D15" s="326" t="s">
        <v>42</v>
      </c>
      <c r="E15" s="326"/>
      <c r="F15" s="326"/>
      <c r="G15" s="276" t="s">
        <v>185</v>
      </c>
      <c r="H15" s="326"/>
      <c r="I15" s="326" t="s">
        <v>19</v>
      </c>
      <c r="J15" s="103"/>
      <c r="K15" s="103" t="s">
        <v>20</v>
      </c>
      <c r="L15" s="30"/>
      <c r="M15" s="30"/>
      <c r="N15" s="106" t="s">
        <v>237</v>
      </c>
      <c r="P15" s="131"/>
      <c r="Q15" s="220"/>
      <c r="R15" s="245" t="s">
        <v>42</v>
      </c>
      <c r="S15" s="232">
        <f>Z15</f>
        <v>933.04</v>
      </c>
      <c r="T15" s="175">
        <v>970</v>
      </c>
      <c r="U15" s="153">
        <v>0</v>
      </c>
      <c r="V15" s="233">
        <f>SUM(T15,U15)</f>
        <v>970</v>
      </c>
      <c r="W15" s="214">
        <f>S15/V15</f>
        <v>0.96189690721649479</v>
      </c>
      <c r="X15" s="212" t="s">
        <v>202</v>
      </c>
      <c r="Y15" s="153"/>
      <c r="Z15" s="177">
        <f>(AA15*0.07)+AA15</f>
        <v>933.04</v>
      </c>
      <c r="AA15" s="178">
        <v>872</v>
      </c>
      <c r="AB15" s="190">
        <v>970</v>
      </c>
      <c r="AC15" s="268"/>
      <c r="AD15" s="269"/>
      <c r="AE15" s="158"/>
      <c r="AF15" s="158"/>
    </row>
    <row r="16" spans="1:32" s="22" customFormat="1" ht="12.75" customHeight="1" x14ac:dyDescent="0.2">
      <c r="A16" s="30"/>
      <c r="B16" s="73"/>
      <c r="C16" s="74" t="s">
        <v>8</v>
      </c>
      <c r="D16" s="326" t="s">
        <v>87</v>
      </c>
      <c r="E16" s="326"/>
      <c r="F16" s="326"/>
      <c r="G16" s="276" t="s">
        <v>187</v>
      </c>
      <c r="H16" s="326"/>
      <c r="I16" s="326" t="s">
        <v>19</v>
      </c>
      <c r="J16" s="103"/>
      <c r="K16" s="103" t="s">
        <v>43</v>
      </c>
      <c r="L16" s="30"/>
      <c r="M16" s="30"/>
      <c r="N16" s="106" t="s">
        <v>238</v>
      </c>
      <c r="P16" s="131"/>
      <c r="Q16" s="282"/>
      <c r="R16" s="25" t="s">
        <v>128</v>
      </c>
      <c r="S16" s="158">
        <v>0</v>
      </c>
      <c r="T16" s="175"/>
      <c r="U16" s="153">
        <v>1000</v>
      </c>
      <c r="V16" s="233">
        <f>SUM(T16,U16)</f>
        <v>1000</v>
      </c>
      <c r="W16" s="221" t="s">
        <v>205</v>
      </c>
      <c r="X16" s="212" t="s">
        <v>200</v>
      </c>
      <c r="Y16" s="153"/>
      <c r="Z16" s="177">
        <f>(AA16*0.07)+AA16</f>
        <v>217.21</v>
      </c>
      <c r="AA16" s="178">
        <v>203</v>
      </c>
      <c r="AB16" s="190">
        <v>1085</v>
      </c>
      <c r="AC16" s="268"/>
      <c r="AD16" s="270"/>
      <c r="AE16" s="158"/>
      <c r="AF16" s="158"/>
    </row>
    <row r="17" spans="1:32" s="22" customFormat="1" x14ac:dyDescent="0.2">
      <c r="A17" s="30"/>
      <c r="B17" s="30"/>
      <c r="C17" s="74" t="s">
        <v>10</v>
      </c>
      <c r="D17" s="326" t="s">
        <v>168</v>
      </c>
      <c r="E17" s="30"/>
      <c r="F17" s="30"/>
      <c r="G17" s="276" t="s">
        <v>188</v>
      </c>
      <c r="H17" s="30"/>
      <c r="I17" s="326" t="s">
        <v>19</v>
      </c>
      <c r="J17" s="107"/>
      <c r="K17" s="103" t="s">
        <v>20</v>
      </c>
      <c r="L17" s="30"/>
      <c r="M17" s="30"/>
      <c r="N17" s="106" t="s">
        <v>239</v>
      </c>
      <c r="P17" s="131"/>
      <c r="Q17" s="220"/>
      <c r="R17" s="245" t="s">
        <v>199</v>
      </c>
      <c r="S17" s="246">
        <f>SUM(S13,S14,S15,S16)</f>
        <v>4782.8999999999996</v>
      </c>
      <c r="T17" s="233">
        <f>SUM(T13:T16)</f>
        <v>4555</v>
      </c>
      <c r="U17" s="214">
        <f>S17/T17</f>
        <v>1.050032930845225</v>
      </c>
      <c r="V17" s="233">
        <f>SUM(V13:V16)</f>
        <v>5555</v>
      </c>
      <c r="W17" s="211">
        <f>S17/V17</f>
        <v>0.86100810081008095</v>
      </c>
      <c r="X17" s="212"/>
      <c r="Y17" s="153"/>
      <c r="Z17" s="180"/>
      <c r="AA17" s="181"/>
      <c r="AB17" s="191">
        <v>400</v>
      </c>
      <c r="AC17" s="268"/>
      <c r="AD17" s="269"/>
      <c r="AE17" s="158"/>
      <c r="AF17" s="158"/>
    </row>
    <row r="18" spans="1:32" s="22" customFormat="1" ht="12" customHeight="1" thickBot="1" x14ac:dyDescent="0.25">
      <c r="A18" s="30"/>
      <c r="B18" s="30"/>
      <c r="C18" s="30"/>
      <c r="D18" s="30"/>
      <c r="E18" s="30"/>
      <c r="F18" s="30"/>
      <c r="G18" s="276"/>
      <c r="H18" s="30"/>
      <c r="I18" s="30"/>
      <c r="J18" s="107"/>
      <c r="K18" s="107"/>
      <c r="L18" s="30"/>
      <c r="M18" s="30"/>
      <c r="N18" s="107"/>
      <c r="P18" s="131"/>
      <c r="Q18" s="236"/>
      <c r="R18" s="247"/>
      <c r="S18" s="248"/>
      <c r="T18" s="248"/>
      <c r="U18" s="248"/>
      <c r="V18" s="248"/>
      <c r="W18" s="248"/>
      <c r="X18" s="241"/>
      <c r="Y18" s="153"/>
      <c r="Z18" s="180"/>
      <c r="AA18" s="181"/>
      <c r="AB18" s="191"/>
      <c r="AC18" s="158"/>
      <c r="AD18" s="158"/>
      <c r="AE18" s="158"/>
      <c r="AF18" s="158"/>
    </row>
    <row r="19" spans="1:32" s="22" customFormat="1" x14ac:dyDescent="0.2">
      <c r="A19" s="30"/>
      <c r="B19" s="73" t="s">
        <v>1</v>
      </c>
      <c r="C19" s="73" t="s">
        <v>21</v>
      </c>
      <c r="D19" s="326"/>
      <c r="E19" s="326"/>
      <c r="F19" s="326"/>
      <c r="G19" s="276"/>
      <c r="H19" s="326"/>
      <c r="I19" s="326"/>
      <c r="J19" s="103"/>
      <c r="K19" s="103"/>
      <c r="L19" s="30"/>
      <c r="M19" s="30"/>
      <c r="N19" s="103"/>
      <c r="P19" s="133"/>
      <c r="Q19" s="229" t="s">
        <v>211</v>
      </c>
      <c r="R19" s="207"/>
      <c r="S19" s="230"/>
      <c r="T19" s="230"/>
      <c r="U19" s="207"/>
      <c r="V19" s="207"/>
      <c r="W19" s="207"/>
      <c r="X19" s="209"/>
      <c r="Y19" s="153"/>
      <c r="Z19" s="182"/>
      <c r="AA19" s="183"/>
      <c r="AB19" s="191"/>
      <c r="AC19" s="158"/>
      <c r="AD19" s="158"/>
      <c r="AE19" s="158"/>
      <c r="AF19" s="158"/>
    </row>
    <row r="20" spans="1:32" s="22" customFormat="1" x14ac:dyDescent="0.2">
      <c r="A20" s="30"/>
      <c r="B20" s="73"/>
      <c r="C20" s="74" t="s">
        <v>5</v>
      </c>
      <c r="D20" s="326" t="s">
        <v>44</v>
      </c>
      <c r="E20" s="326"/>
      <c r="F20" s="326"/>
      <c r="G20" s="276" t="s">
        <v>185</v>
      </c>
      <c r="H20" s="326"/>
      <c r="I20" s="326" t="s">
        <v>19</v>
      </c>
      <c r="J20" s="103"/>
      <c r="K20" s="103" t="s">
        <v>49</v>
      </c>
      <c r="L20" s="30"/>
      <c r="M20" s="30"/>
      <c r="N20" s="108" t="s">
        <v>240</v>
      </c>
      <c r="P20" s="135"/>
      <c r="Q20" s="220"/>
      <c r="R20" s="231" t="s">
        <v>44</v>
      </c>
      <c r="S20" s="232">
        <f>Z20</f>
        <v>636.65</v>
      </c>
      <c r="T20" s="175">
        <v>619</v>
      </c>
      <c r="U20" s="153">
        <v>32</v>
      </c>
      <c r="V20" s="233">
        <f>SUM(T20,U20)</f>
        <v>651</v>
      </c>
      <c r="W20" s="211">
        <f>S20/V20</f>
        <v>0.97795698924731178</v>
      </c>
      <c r="X20" s="212" t="s">
        <v>196</v>
      </c>
      <c r="Y20" s="153"/>
      <c r="Z20" s="177">
        <f>(AA20*0.07)+AA20</f>
        <v>636.65</v>
      </c>
      <c r="AA20" s="179">
        <v>595</v>
      </c>
      <c r="AB20" s="190">
        <v>619</v>
      </c>
      <c r="AC20" s="268"/>
      <c r="AD20" s="269"/>
      <c r="AE20" s="158"/>
      <c r="AF20" s="158"/>
    </row>
    <row r="21" spans="1:32" s="22" customFormat="1" x14ac:dyDescent="0.2">
      <c r="A21" s="30"/>
      <c r="B21" s="73"/>
      <c r="C21" s="74" t="s">
        <v>6</v>
      </c>
      <c r="D21" s="326" t="s">
        <v>45</v>
      </c>
      <c r="E21" s="326"/>
      <c r="F21" s="326"/>
      <c r="G21" s="276" t="s">
        <v>185</v>
      </c>
      <c r="H21" s="326"/>
      <c r="I21" s="326" t="s">
        <v>19</v>
      </c>
      <c r="J21" s="103"/>
      <c r="K21" s="103" t="s">
        <v>49</v>
      </c>
      <c r="L21" s="30"/>
      <c r="M21" s="30"/>
      <c r="N21" s="108" t="s">
        <v>241</v>
      </c>
      <c r="P21" s="135"/>
      <c r="Q21" s="220"/>
      <c r="R21" s="231" t="s">
        <v>45</v>
      </c>
      <c r="S21" s="232">
        <f>Z21</f>
        <v>846.37</v>
      </c>
      <c r="T21" s="175">
        <v>800</v>
      </c>
      <c r="U21" s="153"/>
      <c r="V21" s="233">
        <f>SUM(T21,U21)</f>
        <v>800</v>
      </c>
      <c r="W21" s="214">
        <f>S21/V21</f>
        <v>1.0579624999999999</v>
      </c>
      <c r="X21" s="212"/>
      <c r="Y21" s="153"/>
      <c r="Z21" s="177">
        <f>(AA21*0.07)+AA21</f>
        <v>846.37</v>
      </c>
      <c r="AA21" s="178">
        <v>791</v>
      </c>
      <c r="AB21" s="190">
        <v>800</v>
      </c>
      <c r="AC21" s="268"/>
      <c r="AD21" s="269"/>
      <c r="AE21" s="158"/>
      <c r="AF21" s="158"/>
    </row>
    <row r="22" spans="1:32" s="22" customFormat="1" x14ac:dyDescent="0.2">
      <c r="A22" s="30"/>
      <c r="B22" s="73"/>
      <c r="C22" s="74" t="s">
        <v>7</v>
      </c>
      <c r="D22" s="326" t="s">
        <v>46</v>
      </c>
      <c r="E22" s="326"/>
      <c r="F22" s="326"/>
      <c r="G22" s="276" t="s">
        <v>185</v>
      </c>
      <c r="H22" s="326"/>
      <c r="I22" s="326" t="s">
        <v>19</v>
      </c>
      <c r="J22" s="103"/>
      <c r="K22" s="103" t="s">
        <v>49</v>
      </c>
      <c r="L22" s="30"/>
      <c r="M22" s="30"/>
      <c r="N22" s="108" t="s">
        <v>242</v>
      </c>
      <c r="P22" s="135"/>
      <c r="Q22" s="220"/>
      <c r="R22" s="231" t="s">
        <v>46</v>
      </c>
      <c r="S22" s="232">
        <f>Z22</f>
        <v>807.85</v>
      </c>
      <c r="T22" s="175">
        <v>627</v>
      </c>
      <c r="U22" s="153">
        <v>64</v>
      </c>
      <c r="V22" s="233">
        <f>SUM(T22,U22)</f>
        <v>691</v>
      </c>
      <c r="W22" s="214">
        <f>S22/V22</f>
        <v>1.1691027496382056</v>
      </c>
      <c r="X22" s="212" t="s">
        <v>197</v>
      </c>
      <c r="Y22" s="153"/>
      <c r="Z22" s="177">
        <f>(AA22*0.07)+AA22</f>
        <v>807.85</v>
      </c>
      <c r="AA22" s="178">
        <v>755</v>
      </c>
      <c r="AB22" s="190">
        <v>627</v>
      </c>
      <c r="AC22" s="268"/>
      <c r="AD22" s="269"/>
      <c r="AE22" s="158"/>
      <c r="AF22" s="158"/>
    </row>
    <row r="23" spans="1:32" s="22" customFormat="1" x14ac:dyDescent="0.2">
      <c r="A23" s="30"/>
      <c r="B23" s="73"/>
      <c r="C23" s="74" t="s">
        <v>8</v>
      </c>
      <c r="D23" s="326" t="s">
        <v>47</v>
      </c>
      <c r="E23" s="326"/>
      <c r="F23" s="326"/>
      <c r="G23" s="276" t="s">
        <v>185</v>
      </c>
      <c r="H23" s="326"/>
      <c r="I23" s="326" t="s">
        <v>19</v>
      </c>
      <c r="J23" s="103"/>
      <c r="K23" s="103" t="s">
        <v>49</v>
      </c>
      <c r="L23" s="30"/>
      <c r="M23" s="30"/>
      <c r="N23" s="108" t="s">
        <v>243</v>
      </c>
      <c r="P23" s="131"/>
      <c r="Q23" s="220"/>
      <c r="R23" s="231" t="s">
        <v>47</v>
      </c>
      <c r="S23" s="232">
        <f>Z23</f>
        <v>735.09</v>
      </c>
      <c r="T23" s="175">
        <v>600</v>
      </c>
      <c r="U23" s="153">
        <v>32</v>
      </c>
      <c r="V23" s="233">
        <f>SUM(T23,U23)</f>
        <v>632</v>
      </c>
      <c r="W23" s="214">
        <f>S23/V23</f>
        <v>1.163117088607595</v>
      </c>
      <c r="X23" s="212" t="s">
        <v>198</v>
      </c>
      <c r="Y23" s="153"/>
      <c r="Z23" s="177">
        <f>(AA23*0.07)+AA23</f>
        <v>735.09</v>
      </c>
      <c r="AA23" s="178">
        <v>687</v>
      </c>
      <c r="AB23" s="190">
        <v>600</v>
      </c>
      <c r="AC23" s="268"/>
      <c r="AD23" s="269"/>
      <c r="AE23" s="158"/>
      <c r="AF23" s="158"/>
    </row>
    <row r="24" spans="1:32" s="22" customFormat="1" x14ac:dyDescent="0.2">
      <c r="A24" s="30"/>
      <c r="B24" s="73"/>
      <c r="C24" s="74" t="s">
        <v>9</v>
      </c>
      <c r="D24" s="326" t="s">
        <v>48</v>
      </c>
      <c r="E24" s="326"/>
      <c r="F24" s="326"/>
      <c r="G24" s="276" t="s">
        <v>185</v>
      </c>
      <c r="H24" s="277"/>
      <c r="I24" s="326" t="s">
        <v>19</v>
      </c>
      <c r="J24" s="103"/>
      <c r="K24" s="103" t="s">
        <v>102</v>
      </c>
      <c r="L24" s="30"/>
      <c r="M24" s="30"/>
      <c r="N24" s="106" t="s">
        <v>244</v>
      </c>
      <c r="P24" s="131"/>
      <c r="Q24" s="220"/>
      <c r="R24" s="231" t="s">
        <v>48</v>
      </c>
      <c r="S24" s="234">
        <f>F24</f>
        <v>0</v>
      </c>
      <c r="T24" s="235">
        <v>579</v>
      </c>
      <c r="U24" s="153"/>
      <c r="V24" s="153"/>
      <c r="W24" s="214"/>
      <c r="X24" s="212"/>
      <c r="Y24" s="153"/>
      <c r="Z24" s="177">
        <f>(AA24*0.07)+AA24</f>
        <v>640.93000000000006</v>
      </c>
      <c r="AA24" s="178">
        <v>599</v>
      </c>
      <c r="AB24" s="190">
        <v>579</v>
      </c>
      <c r="AC24" s="158"/>
      <c r="AD24" s="269"/>
      <c r="AE24" s="158"/>
      <c r="AF24" s="158"/>
    </row>
    <row r="25" spans="1:32" s="22" customFormat="1" x14ac:dyDescent="0.2">
      <c r="A25" s="30"/>
      <c r="B25" s="73"/>
      <c r="C25" s="74"/>
      <c r="D25" s="326"/>
      <c r="E25" s="326"/>
      <c r="F25" s="326"/>
      <c r="G25" s="276"/>
      <c r="H25" s="277"/>
      <c r="I25" s="326"/>
      <c r="J25" s="103"/>
      <c r="K25" s="103"/>
      <c r="L25" s="30"/>
      <c r="M25" s="30"/>
      <c r="N25" s="106"/>
      <c r="P25" s="131"/>
      <c r="Q25" s="220"/>
      <c r="R25" s="25" t="s">
        <v>193</v>
      </c>
      <c r="S25" s="232">
        <v>641</v>
      </c>
      <c r="T25" s="175"/>
      <c r="U25" s="153">
        <v>750</v>
      </c>
      <c r="V25" s="233">
        <f>SUM(T25,U25)</f>
        <v>750</v>
      </c>
      <c r="W25" s="211">
        <f>S25/V25</f>
        <v>0.85466666666666669</v>
      </c>
      <c r="X25" s="212" t="s">
        <v>194</v>
      </c>
      <c r="Y25" s="153"/>
      <c r="Z25" s="184"/>
      <c r="AA25" s="178"/>
      <c r="AB25" s="190"/>
      <c r="AC25" s="268"/>
      <c r="AD25" s="269"/>
      <c r="AE25" s="158"/>
      <c r="AF25" s="158"/>
    </row>
    <row r="26" spans="1:32" s="22" customFormat="1" x14ac:dyDescent="0.2">
      <c r="A26" s="30"/>
      <c r="B26" s="30"/>
      <c r="C26" s="30"/>
      <c r="D26" s="30"/>
      <c r="E26" s="30"/>
      <c r="F26" s="30"/>
      <c r="G26" s="276"/>
      <c r="H26" s="30"/>
      <c r="I26" s="30"/>
      <c r="J26" s="107"/>
      <c r="K26" s="107"/>
      <c r="L26" s="30"/>
      <c r="M26" s="30"/>
      <c r="N26" s="107"/>
      <c r="P26" s="135"/>
      <c r="Q26" s="283"/>
      <c r="R26" s="25" t="s">
        <v>127</v>
      </c>
      <c r="S26" s="158">
        <v>0</v>
      </c>
      <c r="T26" s="175"/>
      <c r="U26" s="153">
        <v>800</v>
      </c>
      <c r="V26" s="233">
        <f>SUM(T26,U26)</f>
        <v>800</v>
      </c>
      <c r="W26" s="221" t="s">
        <v>205</v>
      </c>
      <c r="X26" s="212" t="s">
        <v>195</v>
      </c>
      <c r="Y26" s="153"/>
      <c r="Z26" s="180"/>
      <c r="AA26" s="181"/>
      <c r="AB26" s="190"/>
      <c r="AC26" s="268"/>
      <c r="AD26" s="270"/>
      <c r="AE26" s="158"/>
      <c r="AF26" s="158"/>
    </row>
    <row r="27" spans="1:32" s="22" customFormat="1" ht="13.5" thickBot="1" x14ac:dyDescent="0.25">
      <c r="A27" s="30"/>
      <c r="B27" s="73" t="s">
        <v>2</v>
      </c>
      <c r="C27" s="73" t="s">
        <v>22</v>
      </c>
      <c r="D27" s="326"/>
      <c r="E27" s="326"/>
      <c r="F27" s="326"/>
      <c r="G27" s="276"/>
      <c r="H27" s="326"/>
      <c r="I27" s="326"/>
      <c r="J27" s="103"/>
      <c r="K27" s="103"/>
      <c r="L27" s="30"/>
      <c r="M27" s="30"/>
      <c r="N27" s="103"/>
      <c r="P27" s="136"/>
      <c r="Q27" s="236"/>
      <c r="R27" s="237" t="s">
        <v>199</v>
      </c>
      <c r="S27" s="238">
        <f>SUM(S20,S21,S22,S23,S25,S26)</f>
        <v>3666.96</v>
      </c>
      <c r="T27" s="239">
        <f>SUM(T20,T21,T22,T23,T24)</f>
        <v>3225</v>
      </c>
      <c r="U27" s="240">
        <f>S27/T27</f>
        <v>1.1370418604651162</v>
      </c>
      <c r="V27" s="239">
        <f>SUM(V20:V26)</f>
        <v>4324</v>
      </c>
      <c r="W27" s="227">
        <f>S27/V27</f>
        <v>0.84804810360777061</v>
      </c>
      <c r="X27" s="241"/>
      <c r="Y27" s="153"/>
      <c r="Z27" s="184"/>
      <c r="AA27" s="178"/>
      <c r="AB27" s="191"/>
      <c r="AC27" s="268"/>
      <c r="AD27" s="269"/>
      <c r="AE27" s="158"/>
      <c r="AF27" s="158"/>
    </row>
    <row r="28" spans="1:32" s="22" customFormat="1" x14ac:dyDescent="0.2">
      <c r="A28" s="30"/>
      <c r="B28" s="73"/>
      <c r="C28" s="74" t="s">
        <v>5</v>
      </c>
      <c r="D28" s="326" t="s">
        <v>57</v>
      </c>
      <c r="E28" s="326"/>
      <c r="F28" s="326"/>
      <c r="G28" s="276" t="s">
        <v>185</v>
      </c>
      <c r="H28" s="277"/>
      <c r="I28" s="326" t="s">
        <v>19</v>
      </c>
      <c r="J28" s="103"/>
      <c r="K28" s="103" t="s">
        <v>34</v>
      </c>
      <c r="L28" s="30"/>
      <c r="M28" s="30"/>
      <c r="N28" s="106" t="s">
        <v>245</v>
      </c>
      <c r="P28" s="131"/>
      <c r="Q28" s="249" t="s">
        <v>210</v>
      </c>
      <c r="R28" s="206"/>
      <c r="S28" s="207"/>
      <c r="T28" s="208"/>
      <c r="U28" s="207"/>
      <c r="V28" s="208"/>
      <c r="W28" s="207"/>
      <c r="X28" s="209"/>
      <c r="Y28" s="153"/>
      <c r="Z28" s="177">
        <f t="shared" ref="Z28:Z36" si="0">(AA28*0.07)+AA28</f>
        <v>448.33</v>
      </c>
      <c r="AA28" s="185">
        <v>419</v>
      </c>
      <c r="AB28" s="189">
        <v>600</v>
      </c>
      <c r="AC28" s="269"/>
      <c r="AD28" s="158"/>
      <c r="AE28" s="158"/>
      <c r="AF28" s="158"/>
    </row>
    <row r="29" spans="1:32" s="22" customFormat="1" x14ac:dyDescent="0.2">
      <c r="A29" s="30"/>
      <c r="B29" s="73"/>
      <c r="C29" s="74" t="s">
        <v>6</v>
      </c>
      <c r="D29" s="326" t="s">
        <v>98</v>
      </c>
      <c r="E29" s="326"/>
      <c r="F29" s="326"/>
      <c r="G29" s="278" t="s">
        <v>185</v>
      </c>
      <c r="H29" s="277"/>
      <c r="I29" s="326" t="s">
        <v>19</v>
      </c>
      <c r="J29" s="103"/>
      <c r="K29" s="103" t="s">
        <v>34</v>
      </c>
      <c r="L29" s="30"/>
      <c r="M29" s="30"/>
      <c r="N29" s="106" t="s">
        <v>108</v>
      </c>
      <c r="P29" s="131"/>
      <c r="Q29" s="210"/>
      <c r="R29" s="203" t="s">
        <v>57</v>
      </c>
      <c r="S29" s="153">
        <v>448</v>
      </c>
      <c r="T29" s="153">
        <v>600</v>
      </c>
      <c r="U29" s="153">
        <v>0</v>
      </c>
      <c r="V29" s="153">
        <f t="shared" ref="V29:V37" si="1">SUM(T29:U29)</f>
        <v>600</v>
      </c>
      <c r="W29" s="211">
        <f t="shared" ref="W29:W37" si="2">S29/V29</f>
        <v>0.7466666666666667</v>
      </c>
      <c r="X29" s="212" t="s">
        <v>216</v>
      </c>
      <c r="Y29" s="153"/>
      <c r="Z29" s="177">
        <f t="shared" si="0"/>
        <v>799.29</v>
      </c>
      <c r="AA29" s="186">
        <v>747</v>
      </c>
      <c r="AB29" s="189">
        <v>750</v>
      </c>
      <c r="AC29" s="158"/>
      <c r="AD29" s="269"/>
      <c r="AE29" s="158"/>
      <c r="AF29" s="158"/>
    </row>
    <row r="30" spans="1:32" s="153" customFormat="1" ht="13.5" customHeight="1" x14ac:dyDescent="0.2">
      <c r="A30" s="158"/>
      <c r="B30" s="312"/>
      <c r="C30" s="154" t="s">
        <v>7</v>
      </c>
      <c r="D30" s="25" t="s">
        <v>165</v>
      </c>
      <c r="E30" s="25"/>
      <c r="F30" s="25"/>
      <c r="G30" s="279" t="s">
        <v>185</v>
      </c>
      <c r="H30" s="159"/>
      <c r="I30" s="25" t="s">
        <v>19</v>
      </c>
      <c r="J30" s="25"/>
      <c r="K30" s="25" t="s">
        <v>34</v>
      </c>
      <c r="L30" s="158"/>
      <c r="M30" s="158"/>
      <c r="N30" s="154" t="s">
        <v>246</v>
      </c>
      <c r="P30" s="151"/>
      <c r="Q30" s="213"/>
      <c r="R30" s="203" t="s">
        <v>98</v>
      </c>
      <c r="S30" s="153">
        <v>799</v>
      </c>
      <c r="T30" s="153">
        <v>750</v>
      </c>
      <c r="U30" s="153">
        <v>0</v>
      </c>
      <c r="V30" s="153">
        <f t="shared" si="1"/>
        <v>750</v>
      </c>
      <c r="W30" s="214">
        <f t="shared" si="2"/>
        <v>1.0653333333333332</v>
      </c>
      <c r="X30" s="212" t="s">
        <v>217</v>
      </c>
      <c r="Z30" s="177">
        <f t="shared" si="0"/>
        <v>345.61</v>
      </c>
      <c r="AA30" s="186">
        <v>323</v>
      </c>
      <c r="AB30" s="192">
        <v>600</v>
      </c>
      <c r="AC30" s="158"/>
      <c r="AD30" s="269"/>
      <c r="AE30" s="158"/>
      <c r="AF30" s="158"/>
    </row>
    <row r="31" spans="1:32" s="22" customFormat="1" x14ac:dyDescent="0.2">
      <c r="A31" s="30"/>
      <c r="B31" s="73"/>
      <c r="C31" s="74" t="s">
        <v>8</v>
      </c>
      <c r="D31" s="326" t="s">
        <v>67</v>
      </c>
      <c r="E31" s="326"/>
      <c r="F31" s="326"/>
      <c r="G31" s="276" t="s">
        <v>185</v>
      </c>
      <c r="H31" s="277"/>
      <c r="I31" s="326" t="s">
        <v>19</v>
      </c>
      <c r="J31" s="103"/>
      <c r="K31" s="103" t="s">
        <v>34</v>
      </c>
      <c r="L31" s="30"/>
      <c r="M31" s="30"/>
      <c r="N31" s="106" t="s">
        <v>247</v>
      </c>
      <c r="P31" s="131"/>
      <c r="Q31" s="210"/>
      <c r="R31" s="203" t="s">
        <v>165</v>
      </c>
      <c r="S31" s="158">
        <v>346</v>
      </c>
      <c r="T31" s="153">
        <v>600</v>
      </c>
      <c r="U31" s="153"/>
      <c r="V31" s="153">
        <f t="shared" si="1"/>
        <v>600</v>
      </c>
      <c r="W31" s="211">
        <f t="shared" si="2"/>
        <v>0.57666666666666666</v>
      </c>
      <c r="X31" s="212"/>
      <c r="Y31" s="153"/>
      <c r="Z31" s="177">
        <f t="shared" si="0"/>
        <v>618.46</v>
      </c>
      <c r="AA31" s="185">
        <v>578</v>
      </c>
      <c r="AB31" s="190">
        <v>600</v>
      </c>
      <c r="AC31" s="158"/>
      <c r="AD31" s="269"/>
      <c r="AE31" s="158"/>
      <c r="AF31" s="158"/>
    </row>
    <row r="32" spans="1:32" s="22" customFormat="1" x14ac:dyDescent="0.2">
      <c r="A32" s="30"/>
      <c r="B32" s="73"/>
      <c r="C32" s="74" t="s">
        <v>10</v>
      </c>
      <c r="D32" s="326" t="s">
        <v>58</v>
      </c>
      <c r="E32" s="326"/>
      <c r="F32" s="326"/>
      <c r="G32" s="276" t="s">
        <v>185</v>
      </c>
      <c r="H32" s="277"/>
      <c r="I32" s="326" t="s">
        <v>19</v>
      </c>
      <c r="J32" s="103"/>
      <c r="K32" s="103" t="s">
        <v>34</v>
      </c>
      <c r="L32" s="30"/>
      <c r="M32" s="30"/>
      <c r="N32" s="106" t="s">
        <v>248</v>
      </c>
      <c r="P32" s="131"/>
      <c r="Q32" s="210"/>
      <c r="R32" s="203" t="s">
        <v>67</v>
      </c>
      <c r="S32" s="158">
        <v>618</v>
      </c>
      <c r="T32" s="153">
        <v>600</v>
      </c>
      <c r="U32" s="153">
        <v>0</v>
      </c>
      <c r="V32" s="153">
        <f t="shared" si="1"/>
        <v>600</v>
      </c>
      <c r="W32" s="211">
        <f t="shared" si="2"/>
        <v>1.03</v>
      </c>
      <c r="X32" s="215" t="s">
        <v>218</v>
      </c>
      <c r="Y32" s="158"/>
      <c r="Z32" s="177">
        <f t="shared" si="0"/>
        <v>526.44000000000005</v>
      </c>
      <c r="AA32" s="185">
        <v>492</v>
      </c>
      <c r="AB32" s="189">
        <v>600</v>
      </c>
      <c r="AC32" s="158"/>
      <c r="AD32" s="269"/>
      <c r="AE32" s="158"/>
      <c r="AF32" s="158"/>
    </row>
    <row r="33" spans="1:32" s="22" customFormat="1" x14ac:dyDescent="0.2">
      <c r="A33" s="30"/>
      <c r="B33" s="73"/>
      <c r="C33" s="74" t="s">
        <v>11</v>
      </c>
      <c r="D33" s="326" t="s">
        <v>59</v>
      </c>
      <c r="E33" s="326"/>
      <c r="F33" s="326"/>
      <c r="G33" s="276" t="s">
        <v>185</v>
      </c>
      <c r="H33" s="277"/>
      <c r="I33" s="326" t="s">
        <v>19</v>
      </c>
      <c r="J33" s="326"/>
      <c r="K33" s="326" t="s">
        <v>34</v>
      </c>
      <c r="L33" s="30"/>
      <c r="M33" s="30"/>
      <c r="N33" s="74" t="s">
        <v>167</v>
      </c>
      <c r="P33" s="131"/>
      <c r="Q33" s="216"/>
      <c r="R33" s="203" t="s">
        <v>58</v>
      </c>
      <c r="S33" s="158">
        <v>526</v>
      </c>
      <c r="T33" s="153">
        <v>600</v>
      </c>
      <c r="U33" s="153">
        <v>0</v>
      </c>
      <c r="V33" s="153">
        <f t="shared" si="1"/>
        <v>600</v>
      </c>
      <c r="W33" s="211">
        <f t="shared" si="2"/>
        <v>0.87666666666666671</v>
      </c>
      <c r="X33" s="215" t="s">
        <v>219</v>
      </c>
      <c r="Y33" s="158"/>
      <c r="Z33" s="177">
        <f t="shared" si="0"/>
        <v>552.12</v>
      </c>
      <c r="AA33" s="186">
        <v>516</v>
      </c>
      <c r="AB33" s="189">
        <v>600</v>
      </c>
      <c r="AC33" s="158"/>
      <c r="AD33" s="269"/>
      <c r="AE33" s="158"/>
      <c r="AF33" s="158"/>
    </row>
    <row r="34" spans="1:32" s="22" customFormat="1" x14ac:dyDescent="0.2">
      <c r="A34" s="30"/>
      <c r="B34" s="73"/>
      <c r="C34" s="74" t="s">
        <v>50</v>
      </c>
      <c r="D34" s="326" t="s">
        <v>60</v>
      </c>
      <c r="E34" s="326"/>
      <c r="F34" s="326"/>
      <c r="G34" s="276" t="s">
        <v>185</v>
      </c>
      <c r="H34" s="277"/>
      <c r="I34" s="326" t="s">
        <v>19</v>
      </c>
      <c r="J34" s="103"/>
      <c r="K34" s="103" t="s">
        <v>100</v>
      </c>
      <c r="L34" s="30"/>
      <c r="M34" s="30"/>
      <c r="N34" s="106" t="s">
        <v>249</v>
      </c>
      <c r="P34" s="131"/>
      <c r="Q34" s="210"/>
      <c r="R34" s="203" t="s">
        <v>59</v>
      </c>
      <c r="S34" s="158">
        <v>552</v>
      </c>
      <c r="T34" s="153">
        <v>600</v>
      </c>
      <c r="U34" s="153">
        <v>0</v>
      </c>
      <c r="V34" s="153">
        <f t="shared" si="1"/>
        <v>600</v>
      </c>
      <c r="W34" s="211">
        <f t="shared" si="2"/>
        <v>0.92</v>
      </c>
      <c r="X34" s="215" t="s">
        <v>220</v>
      </c>
      <c r="Y34" s="158"/>
      <c r="Z34" s="177">
        <f t="shared" si="0"/>
        <v>558.54</v>
      </c>
      <c r="AA34" s="185">
        <v>522</v>
      </c>
      <c r="AB34" s="189">
        <v>500</v>
      </c>
      <c r="AC34" s="158"/>
      <c r="AD34" s="269"/>
      <c r="AE34" s="158"/>
      <c r="AF34" s="158"/>
    </row>
    <row r="35" spans="1:32" s="22" customFormat="1" x14ac:dyDescent="0.2">
      <c r="A35" s="30"/>
      <c r="B35" s="73"/>
      <c r="C35" s="74" t="s">
        <v>51</v>
      </c>
      <c r="D35" s="326" t="s">
        <v>61</v>
      </c>
      <c r="E35" s="326"/>
      <c r="F35" s="326"/>
      <c r="G35" s="276" t="s">
        <v>185</v>
      </c>
      <c r="H35" s="277"/>
      <c r="I35" s="326" t="s">
        <v>19</v>
      </c>
      <c r="J35" s="103"/>
      <c r="K35" s="103" t="s">
        <v>34</v>
      </c>
      <c r="L35" s="30"/>
      <c r="M35" s="30"/>
      <c r="N35" s="106" t="s">
        <v>250</v>
      </c>
      <c r="P35" s="131"/>
      <c r="Q35" s="210"/>
      <c r="R35" s="203" t="s">
        <v>60</v>
      </c>
      <c r="S35" s="158">
        <v>559</v>
      </c>
      <c r="T35" s="153">
        <v>500</v>
      </c>
      <c r="U35" s="153">
        <v>0</v>
      </c>
      <c r="V35" s="153">
        <f t="shared" si="1"/>
        <v>500</v>
      </c>
      <c r="W35" s="214">
        <f t="shared" si="2"/>
        <v>1.1180000000000001</v>
      </c>
      <c r="X35" s="212" t="s">
        <v>215</v>
      </c>
      <c r="Y35" s="153"/>
      <c r="Z35" s="177">
        <f t="shared" si="0"/>
        <v>467.59000000000003</v>
      </c>
      <c r="AA35" s="186">
        <v>437</v>
      </c>
      <c r="AB35" s="190">
        <v>472</v>
      </c>
      <c r="AC35" s="158"/>
      <c r="AD35" s="269"/>
      <c r="AE35" s="158"/>
      <c r="AF35" s="158"/>
    </row>
    <row r="36" spans="1:32" s="22" customFormat="1" x14ac:dyDescent="0.2">
      <c r="A36" s="30"/>
      <c r="B36" s="73"/>
      <c r="C36" s="74" t="s">
        <v>52</v>
      </c>
      <c r="D36" s="326" t="s">
        <v>62</v>
      </c>
      <c r="E36" s="326"/>
      <c r="F36" s="326"/>
      <c r="G36" s="276" t="s">
        <v>185</v>
      </c>
      <c r="H36" s="277"/>
      <c r="I36" s="326" t="s">
        <v>19</v>
      </c>
      <c r="J36" s="103"/>
      <c r="K36" s="103" t="s">
        <v>99</v>
      </c>
      <c r="L36" s="30"/>
      <c r="M36" s="30"/>
      <c r="N36" s="106" t="s">
        <v>251</v>
      </c>
      <c r="P36" s="135"/>
      <c r="Q36" s="217"/>
      <c r="R36" s="203" t="s">
        <v>61</v>
      </c>
      <c r="S36" s="158">
        <v>468</v>
      </c>
      <c r="T36" s="153">
        <v>472</v>
      </c>
      <c r="U36" s="153">
        <f>7*25</f>
        <v>175</v>
      </c>
      <c r="V36" s="153">
        <f t="shared" si="1"/>
        <v>647</v>
      </c>
      <c r="W36" s="211">
        <f t="shared" si="2"/>
        <v>0.72333848531684697</v>
      </c>
      <c r="X36" s="212" t="s">
        <v>213</v>
      </c>
      <c r="Y36" s="153"/>
      <c r="Z36" s="177">
        <f t="shared" si="0"/>
        <v>437.63</v>
      </c>
      <c r="AA36" s="186">
        <v>409</v>
      </c>
      <c r="AB36" s="190">
        <v>472</v>
      </c>
      <c r="AC36" s="158"/>
      <c r="AD36" s="269"/>
      <c r="AE36" s="158"/>
      <c r="AF36" s="158"/>
    </row>
    <row r="37" spans="1:32" s="22" customFormat="1" x14ac:dyDescent="0.2">
      <c r="A37" s="30"/>
      <c r="B37" s="73"/>
      <c r="C37" s="74"/>
      <c r="D37" s="339" t="s">
        <v>232</v>
      </c>
      <c r="E37" s="339"/>
      <c r="F37" s="339"/>
      <c r="G37" s="339"/>
      <c r="H37" s="339"/>
      <c r="I37" s="339"/>
      <c r="J37" s="103"/>
      <c r="K37" s="103"/>
      <c r="L37" s="30"/>
      <c r="M37" s="30"/>
      <c r="N37" s="106"/>
      <c r="P37" s="135"/>
      <c r="Q37" s="217" t="s">
        <v>207</v>
      </c>
      <c r="R37" s="203" t="s">
        <v>62</v>
      </c>
      <c r="S37" s="158">
        <v>438</v>
      </c>
      <c r="T37" s="153">
        <v>472</v>
      </c>
      <c r="U37" s="153">
        <v>-25</v>
      </c>
      <c r="V37" s="153">
        <f t="shared" si="1"/>
        <v>447</v>
      </c>
      <c r="W37" s="214">
        <f t="shared" si="2"/>
        <v>0.97986577181208057</v>
      </c>
      <c r="X37" s="212" t="s">
        <v>208</v>
      </c>
      <c r="Y37" s="153"/>
      <c r="Z37" s="184"/>
      <c r="AA37" s="187"/>
      <c r="AB37" s="190"/>
      <c r="AC37" s="158"/>
      <c r="AD37" s="269"/>
      <c r="AE37" s="158"/>
      <c r="AF37" s="158"/>
    </row>
    <row r="38" spans="1:32" s="22" customFormat="1" ht="12.75" customHeight="1" x14ac:dyDescent="0.2">
      <c r="A38" s="30"/>
      <c r="B38" s="73"/>
      <c r="C38" s="74" t="s">
        <v>53</v>
      </c>
      <c r="D38" s="326" t="s">
        <v>63</v>
      </c>
      <c r="E38" s="326"/>
      <c r="F38" s="326"/>
      <c r="G38" s="276" t="s">
        <v>185</v>
      </c>
      <c r="H38" s="277"/>
      <c r="I38" s="326" t="s">
        <v>19</v>
      </c>
      <c r="J38" s="103"/>
      <c r="K38" s="103" t="s">
        <v>100</v>
      </c>
      <c r="L38" s="30"/>
      <c r="M38" s="30"/>
      <c r="N38" s="106" t="s">
        <v>252</v>
      </c>
      <c r="P38" s="135"/>
      <c r="Q38" s="210"/>
      <c r="R38" s="25"/>
      <c r="S38" s="153"/>
      <c r="T38" s="153"/>
      <c r="U38" s="153"/>
      <c r="V38" s="153"/>
      <c r="W38" s="153"/>
      <c r="X38" s="212"/>
      <c r="Y38" s="153"/>
      <c r="Z38" s="177">
        <f>(AA38*0.07)+AA38</f>
        <v>512.53</v>
      </c>
      <c r="AA38" s="185">
        <v>479</v>
      </c>
      <c r="AB38" s="189">
        <v>500</v>
      </c>
      <c r="AC38" s="158"/>
      <c r="AD38" s="158"/>
      <c r="AE38" s="158"/>
      <c r="AF38" s="158"/>
    </row>
    <row r="39" spans="1:32" s="22" customFormat="1" x14ac:dyDescent="0.2">
      <c r="A39" s="30"/>
      <c r="B39" s="73"/>
      <c r="C39" s="74" t="s">
        <v>54</v>
      </c>
      <c r="D39" s="326" t="s">
        <v>64</v>
      </c>
      <c r="E39" s="326"/>
      <c r="F39" s="326"/>
      <c r="G39" s="276" t="s">
        <v>185</v>
      </c>
      <c r="H39" s="277"/>
      <c r="I39" s="326" t="s">
        <v>19</v>
      </c>
      <c r="J39" s="103"/>
      <c r="K39" s="103" t="s">
        <v>34</v>
      </c>
      <c r="L39" s="30"/>
      <c r="M39" s="30"/>
      <c r="N39" s="106" t="s">
        <v>253</v>
      </c>
      <c r="P39" s="135"/>
      <c r="Q39" s="210"/>
      <c r="R39" s="203" t="s">
        <v>63</v>
      </c>
      <c r="S39" s="153">
        <v>513</v>
      </c>
      <c r="T39" s="153">
        <v>500</v>
      </c>
      <c r="U39" s="153">
        <v>0</v>
      </c>
      <c r="V39" s="153">
        <f>SUM(T39:U39)</f>
        <v>500</v>
      </c>
      <c r="W39" s="214">
        <f>S39/V39</f>
        <v>1.026</v>
      </c>
      <c r="X39" s="212" t="s">
        <v>221</v>
      </c>
      <c r="Y39" s="153"/>
      <c r="Z39" s="177">
        <f>(AA39*0.07)+AA39</f>
        <v>618.46</v>
      </c>
      <c r="AA39" s="185">
        <v>578</v>
      </c>
      <c r="AB39" s="189">
        <v>600</v>
      </c>
      <c r="AC39" s="158"/>
      <c r="AD39" s="269"/>
      <c r="AE39" s="158"/>
      <c r="AF39" s="158"/>
    </row>
    <row r="40" spans="1:32" s="22" customFormat="1" x14ac:dyDescent="0.2">
      <c r="A40" s="30"/>
      <c r="B40" s="73"/>
      <c r="C40" s="74" t="s">
        <v>55</v>
      </c>
      <c r="D40" s="326" t="s">
        <v>65</v>
      </c>
      <c r="E40" s="326"/>
      <c r="F40" s="326"/>
      <c r="G40" s="276" t="s">
        <v>185</v>
      </c>
      <c r="H40" s="277"/>
      <c r="I40" s="326" t="s">
        <v>19</v>
      </c>
      <c r="J40" s="103"/>
      <c r="K40" s="103" t="s">
        <v>100</v>
      </c>
      <c r="L40" s="30"/>
      <c r="M40" s="30"/>
      <c r="N40" s="106" t="s">
        <v>254</v>
      </c>
      <c r="P40" s="143"/>
      <c r="Q40" s="210"/>
      <c r="R40" s="203" t="s">
        <v>64</v>
      </c>
      <c r="S40" s="153">
        <v>618</v>
      </c>
      <c r="T40" s="153">
        <v>600</v>
      </c>
      <c r="U40" s="153">
        <v>0</v>
      </c>
      <c r="V40" s="153">
        <f>SUM(T40:U40)</f>
        <v>600</v>
      </c>
      <c r="W40" s="214">
        <f>S40/V40</f>
        <v>1.03</v>
      </c>
      <c r="X40" s="212" t="s">
        <v>222</v>
      </c>
      <c r="Y40" s="153"/>
      <c r="Z40" s="177">
        <f>(AA40*0.07)+AA40</f>
        <v>537.14</v>
      </c>
      <c r="AA40" s="185">
        <v>502</v>
      </c>
      <c r="AB40" s="190">
        <v>500</v>
      </c>
      <c r="AC40" s="158"/>
      <c r="AD40" s="269"/>
      <c r="AE40" s="158"/>
      <c r="AF40" s="158"/>
    </row>
    <row r="41" spans="1:32" s="22" customFormat="1" x14ac:dyDescent="0.2">
      <c r="A41" s="30"/>
      <c r="B41" s="73"/>
      <c r="C41" s="74" t="s">
        <v>56</v>
      </c>
      <c r="D41" s="326" t="s">
        <v>66</v>
      </c>
      <c r="E41" s="326"/>
      <c r="F41" s="326"/>
      <c r="G41" s="276" t="s">
        <v>185</v>
      </c>
      <c r="H41" s="277"/>
      <c r="I41" s="326" t="s">
        <v>19</v>
      </c>
      <c r="J41" s="103"/>
      <c r="K41" s="103" t="s">
        <v>100</v>
      </c>
      <c r="L41" s="30"/>
      <c r="M41" s="30"/>
      <c r="N41" s="106" t="s">
        <v>255</v>
      </c>
      <c r="P41" s="135"/>
      <c r="Q41" s="210"/>
      <c r="R41" s="203" t="s">
        <v>65</v>
      </c>
      <c r="S41" s="153">
        <v>537</v>
      </c>
      <c r="T41" s="153">
        <v>500</v>
      </c>
      <c r="U41" s="153">
        <v>100</v>
      </c>
      <c r="V41" s="153">
        <f>SUM(T41:U41)</f>
        <v>600</v>
      </c>
      <c r="W41" s="214">
        <f>S41/V41</f>
        <v>0.89500000000000002</v>
      </c>
      <c r="X41" s="212" t="s">
        <v>223</v>
      </c>
      <c r="Y41" s="153"/>
      <c r="Z41" s="177">
        <f>(AA41*0.07)+AA41</f>
        <v>605.62</v>
      </c>
      <c r="AA41" s="185">
        <v>566</v>
      </c>
      <c r="AB41" s="190">
        <v>550</v>
      </c>
      <c r="AC41" s="158"/>
      <c r="AD41" s="269"/>
      <c r="AE41" s="158"/>
      <c r="AF41" s="158"/>
    </row>
    <row r="42" spans="1:32" ht="13.5" customHeight="1" x14ac:dyDescent="0.2">
      <c r="G42" s="107"/>
      <c r="H42" s="107"/>
      <c r="I42" s="107"/>
      <c r="J42" s="107"/>
      <c r="K42" s="107"/>
      <c r="L42" s="104"/>
      <c r="M42" s="105"/>
      <c r="N42" s="107"/>
      <c r="O42" s="132"/>
      <c r="P42" s="135"/>
      <c r="Q42" s="218"/>
      <c r="R42" s="203" t="s">
        <v>66</v>
      </c>
      <c r="S42" s="153">
        <v>606</v>
      </c>
      <c r="T42" s="153">
        <v>550</v>
      </c>
      <c r="U42" s="219">
        <f>4*25</f>
        <v>100</v>
      </c>
      <c r="V42" s="153">
        <f>SUM(T42:U42)</f>
        <v>650</v>
      </c>
      <c r="W42" s="214">
        <f>S42/V42</f>
        <v>0.93230769230769228</v>
      </c>
      <c r="X42" s="212" t="s">
        <v>214</v>
      </c>
      <c r="Y42" s="153"/>
      <c r="Z42" s="158"/>
      <c r="AA42" s="158"/>
      <c r="AB42" s="265"/>
      <c r="AC42" s="158"/>
      <c r="AD42" s="269"/>
      <c r="AE42" s="158"/>
      <c r="AF42" s="265"/>
    </row>
    <row r="43" spans="1:32" ht="14.25" x14ac:dyDescent="0.2">
      <c r="B43" s="313" t="s">
        <v>169</v>
      </c>
      <c r="C43" s="314"/>
      <c r="D43" s="31"/>
      <c r="E43" s="31"/>
      <c r="F43" s="31"/>
      <c r="G43" s="31"/>
      <c r="H43" s="31"/>
      <c r="I43" s="31"/>
      <c r="J43" s="31"/>
      <c r="K43" s="31"/>
      <c r="L43" s="31"/>
      <c r="M43" s="31"/>
      <c r="N43" s="32"/>
      <c r="Q43" s="283"/>
      <c r="R43" s="25" t="s">
        <v>206</v>
      </c>
      <c r="S43" s="219"/>
      <c r="T43" s="219"/>
      <c r="U43" s="219">
        <v>600</v>
      </c>
      <c r="V43" s="153">
        <f>SUM(T43:U43)</f>
        <v>600</v>
      </c>
      <c r="W43" s="221" t="s">
        <v>205</v>
      </c>
      <c r="X43" s="212" t="s">
        <v>209</v>
      </c>
      <c r="Y43" s="153"/>
      <c r="Z43" s="265"/>
      <c r="AA43" s="265"/>
      <c r="AB43" s="265"/>
      <c r="AC43" s="158"/>
      <c r="AD43" s="270"/>
      <c r="AE43" s="158"/>
      <c r="AF43" s="265"/>
    </row>
    <row r="44" spans="1:32" ht="5.25" customHeight="1" x14ac:dyDescent="0.2">
      <c r="B44" s="74"/>
      <c r="C44" s="74"/>
      <c r="D44" s="326"/>
      <c r="E44" s="326"/>
      <c r="F44" s="326"/>
      <c r="G44" s="326"/>
      <c r="H44" s="326"/>
      <c r="I44" s="326"/>
      <c r="J44" s="326"/>
      <c r="K44" s="326"/>
      <c r="L44" s="326"/>
      <c r="M44" s="326"/>
      <c r="N44" s="33"/>
      <c r="Q44" s="222"/>
      <c r="R44" s="219"/>
      <c r="S44" s="219"/>
      <c r="T44" s="219"/>
      <c r="U44" s="219"/>
      <c r="V44" s="219"/>
      <c r="W44" s="219"/>
      <c r="X44" s="223"/>
      <c r="Y44" s="219"/>
      <c r="Z44" s="265"/>
      <c r="AA44" s="265"/>
      <c r="AB44" s="265"/>
      <c r="AC44" s="265"/>
      <c r="AD44" s="265"/>
      <c r="AE44" s="265"/>
      <c r="AF44" s="265"/>
    </row>
    <row r="45" spans="1:32" ht="13.5" thickBot="1" x14ac:dyDescent="0.25">
      <c r="B45" s="164" t="s">
        <v>173</v>
      </c>
      <c r="C45" s="165" t="s">
        <v>148</v>
      </c>
      <c r="D45" s="25"/>
      <c r="E45" s="25"/>
      <c r="F45" s="25"/>
      <c r="G45" s="25"/>
      <c r="H45" s="113"/>
      <c r="I45" s="113"/>
      <c r="J45" s="113"/>
      <c r="K45" s="113"/>
      <c r="L45" s="113"/>
      <c r="M45" s="113"/>
      <c r="N45" s="112"/>
      <c r="Q45" s="224"/>
      <c r="R45" s="225" t="s">
        <v>199</v>
      </c>
      <c r="S45" s="226">
        <f>SUM(S29:S43)</f>
        <v>7028</v>
      </c>
      <c r="T45" s="226">
        <f>SUM(T29:T42)</f>
        <v>7344</v>
      </c>
      <c r="U45" s="226"/>
      <c r="V45" s="226">
        <f>SUM(V29:V43)</f>
        <v>8294</v>
      </c>
      <c r="W45" s="227">
        <f>S45/V45</f>
        <v>0.84735953701470945</v>
      </c>
      <c r="X45" s="228"/>
      <c r="Y45" s="219"/>
      <c r="Z45" s="265"/>
      <c r="AA45" s="265"/>
      <c r="AB45" s="265"/>
      <c r="AC45" s="265"/>
      <c r="AD45" s="269"/>
      <c r="AE45" s="265"/>
      <c r="AF45" s="265"/>
    </row>
    <row r="46" spans="1:32" s="155" customFormat="1" ht="6" customHeight="1" x14ac:dyDescent="0.2">
      <c r="B46" s="154"/>
      <c r="C46" s="56"/>
      <c r="D46" s="325"/>
      <c r="E46" s="325"/>
      <c r="F46" s="325"/>
      <c r="G46" s="325"/>
      <c r="H46" s="325"/>
      <c r="I46" s="325"/>
      <c r="J46" s="325"/>
      <c r="K46" s="325"/>
      <c r="L46" s="325"/>
      <c r="M46" s="46"/>
      <c r="N46" s="84"/>
      <c r="Z46" s="265"/>
      <c r="AA46" s="265"/>
      <c r="AB46" s="265"/>
      <c r="AC46" s="265"/>
      <c r="AD46" s="265"/>
      <c r="AE46" s="265"/>
      <c r="AF46" s="265"/>
    </row>
    <row r="47" spans="1:32" s="155" customFormat="1" x14ac:dyDescent="0.2">
      <c r="A47" s="163"/>
      <c r="B47" s="154"/>
      <c r="C47" s="56" t="s">
        <v>0</v>
      </c>
      <c r="D47" s="46" t="s">
        <v>143</v>
      </c>
      <c r="E47" s="62"/>
      <c r="F47" s="46"/>
      <c r="G47" s="46"/>
      <c r="H47" s="57"/>
      <c r="I47" s="46"/>
      <c r="J47" s="46"/>
      <c r="K47" s="45">
        <v>81291</v>
      </c>
      <c r="L47" s="42" t="s">
        <v>23</v>
      </c>
      <c r="M47" s="46"/>
      <c r="N47" s="47"/>
    </row>
    <row r="48" spans="1:32" s="155" customFormat="1" ht="25.15" customHeight="1" x14ac:dyDescent="0.2">
      <c r="B48" s="154"/>
      <c r="C48" s="56"/>
      <c r="D48" s="331" t="s">
        <v>256</v>
      </c>
      <c r="E48" s="331"/>
      <c r="F48" s="331"/>
      <c r="G48" s="331"/>
      <c r="H48" s="331"/>
      <c r="I48" s="331"/>
      <c r="J48" s="331"/>
      <c r="K48" s="331"/>
      <c r="L48" s="331"/>
      <c r="M48" s="46"/>
      <c r="N48" s="84">
        <f>K47*262.7</f>
        <v>21355145.699999999</v>
      </c>
    </row>
    <row r="49" spans="1:36" ht="6" customHeight="1" x14ac:dyDescent="0.2">
      <c r="B49" s="157"/>
      <c r="C49" s="111"/>
      <c r="D49" s="103"/>
      <c r="E49" s="103"/>
      <c r="F49" s="103"/>
      <c r="G49" s="103"/>
      <c r="H49" s="103"/>
      <c r="I49" s="103"/>
      <c r="J49" s="103"/>
      <c r="K49" s="103"/>
      <c r="L49" s="103"/>
      <c r="M49" s="103"/>
      <c r="N49" s="110"/>
    </row>
    <row r="50" spans="1:36" s="155" customFormat="1" x14ac:dyDescent="0.2">
      <c r="B50" s="154"/>
      <c r="C50" s="56" t="s">
        <v>1</v>
      </c>
      <c r="D50" s="46" t="s">
        <v>176</v>
      </c>
      <c r="E50" s="62"/>
      <c r="F50" s="46"/>
      <c r="G50" s="46"/>
      <c r="H50" s="57"/>
      <c r="I50" s="46"/>
      <c r="J50" s="46"/>
      <c r="K50" s="45">
        <v>96401</v>
      </c>
      <c r="L50" s="42" t="s">
        <v>23</v>
      </c>
      <c r="M50" s="46"/>
      <c r="N50" s="47"/>
    </row>
    <row r="51" spans="1:36" s="155" customFormat="1" ht="25.15" customHeight="1" x14ac:dyDescent="0.2">
      <c r="B51" s="154"/>
      <c r="C51" s="56"/>
      <c r="D51" s="331" t="s">
        <v>257</v>
      </c>
      <c r="E51" s="331"/>
      <c r="F51" s="331"/>
      <c r="G51" s="331"/>
      <c r="H51" s="331"/>
      <c r="I51" s="331"/>
      <c r="J51" s="331"/>
      <c r="K51" s="331"/>
      <c r="L51" s="331"/>
      <c r="M51" s="46"/>
      <c r="N51" s="84">
        <f>K50*265.78</f>
        <v>25621457.779999997</v>
      </c>
    </row>
    <row r="52" spans="1:36" ht="5.25" customHeight="1" x14ac:dyDescent="0.2">
      <c r="B52" s="74"/>
      <c r="C52" s="74"/>
      <c r="D52" s="326"/>
      <c r="E52" s="326"/>
      <c r="F52" s="326"/>
      <c r="G52" s="326"/>
      <c r="H52" s="326"/>
      <c r="I52" s="326"/>
      <c r="J52" s="326"/>
      <c r="K52" s="326"/>
      <c r="L52" s="326"/>
      <c r="M52" s="326"/>
      <c r="N52" s="33"/>
    </row>
    <row r="53" spans="1:36" x14ac:dyDescent="0.2">
      <c r="B53" s="164" t="s">
        <v>35</v>
      </c>
      <c r="C53" s="165" t="s">
        <v>29</v>
      </c>
      <c r="D53" s="25"/>
      <c r="E53" s="25"/>
      <c r="F53" s="25"/>
      <c r="G53" s="25"/>
      <c r="H53" s="25"/>
      <c r="I53" s="25"/>
      <c r="J53" s="25"/>
      <c r="K53" s="25"/>
      <c r="L53" s="25"/>
      <c r="M53" s="25"/>
      <c r="N53" s="34"/>
      <c r="X53" s="56"/>
      <c r="Y53" s="56"/>
      <c r="Z53" s="46"/>
      <c r="AA53" s="46"/>
      <c r="AB53" s="46"/>
      <c r="AC53" s="46"/>
      <c r="AD53" s="57"/>
      <c r="AE53" s="46"/>
      <c r="AF53" s="46"/>
      <c r="AG53" s="45"/>
      <c r="AH53" s="42"/>
      <c r="AI53" s="46"/>
      <c r="AJ53" s="47"/>
    </row>
    <row r="54" spans="1:36" x14ac:dyDescent="0.2">
      <c r="B54" s="154"/>
      <c r="C54" s="315" t="s">
        <v>25</v>
      </c>
      <c r="D54" s="25"/>
      <c r="E54" s="25"/>
      <c r="F54" s="25"/>
      <c r="G54" s="25"/>
      <c r="H54" s="25"/>
      <c r="I54" s="25"/>
      <c r="J54" s="25"/>
      <c r="K54" s="25"/>
      <c r="L54" s="25"/>
      <c r="M54" s="25"/>
      <c r="N54" s="34"/>
      <c r="X54" s="56"/>
      <c r="Y54" s="56"/>
      <c r="Z54" s="331"/>
      <c r="AA54" s="331"/>
      <c r="AB54" s="331"/>
      <c r="AC54" s="331"/>
      <c r="AD54" s="331"/>
      <c r="AE54" s="331"/>
      <c r="AF54" s="331"/>
      <c r="AG54" s="331"/>
      <c r="AH54" s="331"/>
      <c r="AI54" s="46"/>
      <c r="AJ54" s="84"/>
    </row>
    <row r="55" spans="1:36" ht="6" customHeight="1" x14ac:dyDescent="0.2">
      <c r="B55" s="157"/>
      <c r="C55" s="73"/>
      <c r="D55" s="326"/>
      <c r="E55" s="326"/>
      <c r="F55" s="326"/>
      <c r="G55" s="326"/>
      <c r="H55" s="326"/>
      <c r="I55" s="326"/>
      <c r="J55" s="326"/>
      <c r="K55" s="326"/>
      <c r="L55" s="326"/>
      <c r="M55" s="326"/>
      <c r="N55" s="33"/>
      <c r="X55" s="14"/>
      <c r="Y55" s="14"/>
      <c r="Z55" s="92"/>
      <c r="AA55" s="16"/>
      <c r="AB55" s="13"/>
      <c r="AC55" s="13"/>
      <c r="AD55" s="85"/>
      <c r="AE55" s="50"/>
      <c r="AF55" s="325"/>
      <c r="AG55" s="37"/>
      <c r="AH55" s="50"/>
      <c r="AI55" s="36"/>
      <c r="AJ55" s="34"/>
    </row>
    <row r="56" spans="1:36" x14ac:dyDescent="0.2">
      <c r="A56" s="30"/>
      <c r="B56" s="154"/>
      <c r="C56" s="56" t="s">
        <v>0</v>
      </c>
      <c r="D56" s="326" t="s">
        <v>168</v>
      </c>
      <c r="E56" s="46"/>
      <c r="F56" s="46"/>
      <c r="G56" s="46"/>
      <c r="H56" s="57"/>
      <c r="I56" s="46"/>
      <c r="J56" s="46"/>
      <c r="K56" s="45">
        <v>70887</v>
      </c>
      <c r="L56" s="42" t="s">
        <v>23</v>
      </c>
      <c r="M56" s="46"/>
      <c r="N56" s="47"/>
      <c r="X56" s="4"/>
      <c r="Y56" s="4"/>
      <c r="Z56" s="328"/>
      <c r="AA56" s="328"/>
      <c r="AB56" s="328"/>
      <c r="AC56" s="328"/>
      <c r="AD56" s="326"/>
      <c r="AE56" s="326"/>
      <c r="AF56" s="326"/>
      <c r="AG56" s="326"/>
      <c r="AH56" s="326"/>
      <c r="AI56" s="326"/>
      <c r="AJ56" s="33"/>
    </row>
    <row r="57" spans="1:36" x14ac:dyDescent="0.2">
      <c r="B57" s="154"/>
      <c r="C57" s="56"/>
      <c r="D57" s="331" t="s">
        <v>149</v>
      </c>
      <c r="E57" s="331"/>
      <c r="F57" s="331"/>
      <c r="G57" s="331"/>
      <c r="H57" s="331"/>
      <c r="I57" s="331"/>
      <c r="J57" s="331"/>
      <c r="K57" s="331"/>
      <c r="L57" s="331"/>
      <c r="M57" s="46"/>
      <c r="N57" s="47"/>
      <c r="X57" s="56"/>
      <c r="Y57" s="56"/>
      <c r="Z57" s="46"/>
      <c r="AA57" s="46"/>
      <c r="AB57" s="46"/>
      <c r="AC57" s="46"/>
      <c r="AD57" s="57"/>
      <c r="AE57" s="46"/>
      <c r="AF57" s="46"/>
      <c r="AG57" s="45"/>
      <c r="AH57" s="42"/>
      <c r="AI57" s="46"/>
      <c r="AJ57" s="47"/>
    </row>
    <row r="58" spans="1:36" s="24" customFormat="1" ht="25.5" x14ac:dyDescent="0.2">
      <c r="A58" s="280"/>
      <c r="B58" s="154"/>
      <c r="C58" s="154"/>
      <c r="D58" s="92" t="s">
        <v>24</v>
      </c>
      <c r="E58" s="253">
        <v>1</v>
      </c>
      <c r="F58" s="25" t="s">
        <v>275</v>
      </c>
      <c r="G58" s="25"/>
      <c r="H58" s="37">
        <v>4750</v>
      </c>
      <c r="I58" s="50" t="s">
        <v>23</v>
      </c>
      <c r="J58" s="325"/>
      <c r="K58" s="37">
        <f>SUM(E58*H58)</f>
        <v>4750</v>
      </c>
      <c r="L58" s="50" t="s">
        <v>23</v>
      </c>
      <c r="M58" s="36">
        <v>0.71</v>
      </c>
      <c r="N58" s="34">
        <f>SUM(E58*H58)/M58*242.05</f>
        <v>1619348.5915492959</v>
      </c>
      <c r="X58" s="56"/>
      <c r="Y58" s="56"/>
      <c r="Z58" s="331"/>
      <c r="AA58" s="331"/>
      <c r="AB58" s="331"/>
      <c r="AC58" s="331"/>
      <c r="AD58" s="331"/>
      <c r="AE58" s="331"/>
      <c r="AF58" s="331"/>
      <c r="AG58" s="331"/>
      <c r="AH58" s="331"/>
      <c r="AI58" s="46"/>
      <c r="AJ58" s="47"/>
    </row>
    <row r="59" spans="1:36" s="24" customFormat="1" ht="25.5" x14ac:dyDescent="0.2">
      <c r="A59" s="280"/>
      <c r="B59" s="154"/>
      <c r="C59" s="154"/>
      <c r="D59" s="92" t="s">
        <v>24</v>
      </c>
      <c r="E59" s="253">
        <v>1</v>
      </c>
      <c r="F59" s="25" t="s">
        <v>272</v>
      </c>
      <c r="G59" s="25"/>
      <c r="H59" s="37">
        <v>2350</v>
      </c>
      <c r="I59" s="50" t="s">
        <v>23</v>
      </c>
      <c r="J59" s="325"/>
      <c r="K59" s="37">
        <f>SUM(E59*H59)</f>
        <v>2350</v>
      </c>
      <c r="L59" s="50" t="s">
        <v>23</v>
      </c>
      <c r="M59" s="36">
        <v>0.71</v>
      </c>
      <c r="N59" s="34">
        <f>SUM(E59*H59)/M59*242.05</f>
        <v>801151.4084507043</v>
      </c>
      <c r="X59" s="56"/>
      <c r="Y59" s="56"/>
      <c r="Z59" s="325"/>
      <c r="AA59" s="325"/>
      <c r="AB59" s="325"/>
      <c r="AC59" s="325"/>
      <c r="AD59" s="325"/>
      <c r="AE59" s="325"/>
      <c r="AF59" s="325"/>
      <c r="AG59" s="325"/>
      <c r="AH59" s="325"/>
      <c r="AI59" s="46"/>
      <c r="AJ59" s="47"/>
    </row>
    <row r="60" spans="1:36" s="24" customFormat="1" ht="25.5" x14ac:dyDescent="0.2">
      <c r="A60" s="280"/>
      <c r="B60" s="154"/>
      <c r="C60" s="154"/>
      <c r="D60" s="92" t="s">
        <v>24</v>
      </c>
      <c r="E60" s="253">
        <v>1</v>
      </c>
      <c r="F60" s="25" t="s">
        <v>273</v>
      </c>
      <c r="G60" s="25"/>
      <c r="H60" s="37">
        <v>4650</v>
      </c>
      <c r="I60" s="50" t="s">
        <v>23</v>
      </c>
      <c r="J60" s="325"/>
      <c r="K60" s="37">
        <f>SUM(E60*H60)</f>
        <v>4650</v>
      </c>
      <c r="L60" s="50" t="s">
        <v>23</v>
      </c>
      <c r="M60" s="36">
        <v>0.71</v>
      </c>
      <c r="N60" s="34">
        <f>SUM(E60*H60)/M60*242.05</f>
        <v>1585257.0422535213</v>
      </c>
      <c r="X60" s="56"/>
      <c r="Y60" s="56"/>
      <c r="Z60" s="331"/>
      <c r="AA60" s="331"/>
      <c r="AB60" s="331"/>
      <c r="AC60" s="331"/>
      <c r="AD60" s="331"/>
      <c r="AE60" s="331"/>
      <c r="AF60" s="331"/>
      <c r="AG60" s="331"/>
      <c r="AH60" s="331"/>
      <c r="AI60" s="46"/>
      <c r="AJ60" s="47"/>
    </row>
    <row r="61" spans="1:36" s="24" customFormat="1" ht="25.5" x14ac:dyDescent="0.2">
      <c r="A61" s="280"/>
      <c r="B61" s="154"/>
      <c r="C61" s="154"/>
      <c r="D61" s="92" t="s">
        <v>24</v>
      </c>
      <c r="E61" s="253">
        <v>1</v>
      </c>
      <c r="F61" s="25" t="s">
        <v>274</v>
      </c>
      <c r="G61" s="25"/>
      <c r="H61" s="37">
        <v>5700</v>
      </c>
      <c r="I61" s="50" t="s">
        <v>23</v>
      </c>
      <c r="J61" s="325"/>
      <c r="K61" s="37">
        <f>SUM(E61*H61)</f>
        <v>5700</v>
      </c>
      <c r="L61" s="50" t="s">
        <v>23</v>
      </c>
      <c r="M61" s="36">
        <v>0.71</v>
      </c>
      <c r="N61" s="34">
        <f>SUM(E61*H61)/M61*242.05</f>
        <v>1943218.3098591552</v>
      </c>
      <c r="X61" s="56"/>
      <c r="Y61" s="56"/>
      <c r="Z61" s="331"/>
      <c r="AA61" s="331"/>
      <c r="AB61" s="331"/>
      <c r="AC61" s="331"/>
      <c r="AD61" s="331"/>
      <c r="AE61" s="331"/>
      <c r="AF61" s="331"/>
      <c r="AG61" s="331"/>
      <c r="AH61" s="331"/>
      <c r="AI61" s="46"/>
      <c r="AJ61" s="47"/>
    </row>
    <row r="62" spans="1:36" s="70" customFormat="1" ht="6" customHeight="1" x14ac:dyDescent="0.2">
      <c r="A62" s="316"/>
      <c r="B62" s="154"/>
      <c r="C62" s="154"/>
      <c r="D62" s="25"/>
      <c r="E62" s="253"/>
      <c r="F62" s="25"/>
      <c r="G62" s="25"/>
      <c r="H62" s="37"/>
      <c r="I62" s="25"/>
      <c r="J62" s="25"/>
      <c r="K62" s="37"/>
      <c r="L62" s="25"/>
      <c r="M62" s="36"/>
      <c r="N62" s="34"/>
      <c r="X62" s="14"/>
      <c r="Y62" s="14"/>
      <c r="Z62" s="92"/>
      <c r="AA62" s="16"/>
      <c r="AB62" s="13"/>
      <c r="AC62" s="13"/>
      <c r="AD62" s="85"/>
      <c r="AE62" s="50"/>
      <c r="AF62" s="325"/>
      <c r="AG62" s="37"/>
      <c r="AH62" s="50"/>
      <c r="AI62" s="36"/>
      <c r="AJ62" s="34"/>
    </row>
    <row r="63" spans="1:36" ht="14.25" x14ac:dyDescent="0.2">
      <c r="B63" s="313" t="s">
        <v>172</v>
      </c>
      <c r="C63" s="314"/>
      <c r="D63" s="31"/>
      <c r="E63" s="31"/>
      <c r="F63" s="31"/>
      <c r="G63" s="31"/>
      <c r="H63" s="31"/>
      <c r="I63" s="31"/>
      <c r="J63" s="31"/>
      <c r="K63" s="31"/>
      <c r="L63" s="31"/>
      <c r="M63" s="31"/>
      <c r="N63" s="32"/>
      <c r="X63" s="4"/>
      <c r="Y63" s="4"/>
      <c r="Z63" s="328"/>
      <c r="AA63" s="328"/>
      <c r="AB63" s="328"/>
      <c r="AC63" s="328"/>
      <c r="AD63" s="326"/>
      <c r="AE63" s="326"/>
      <c r="AF63" s="326"/>
      <c r="AG63" s="326"/>
      <c r="AH63" s="326"/>
      <c r="AI63" s="326"/>
      <c r="AJ63" s="33"/>
    </row>
    <row r="64" spans="1:36" x14ac:dyDescent="0.2">
      <c r="B64" s="164" t="s">
        <v>151</v>
      </c>
      <c r="C64" s="165" t="s">
        <v>152</v>
      </c>
      <c r="D64" s="25"/>
      <c r="E64" s="25"/>
      <c r="F64" s="25"/>
      <c r="G64" s="25"/>
      <c r="H64" s="25"/>
      <c r="I64" s="25"/>
      <c r="J64" s="25"/>
      <c r="K64" s="25"/>
      <c r="L64" s="25"/>
      <c r="M64" s="25"/>
      <c r="N64" s="34"/>
      <c r="X64" s="56"/>
      <c r="Y64" s="56"/>
      <c r="Z64" s="46"/>
      <c r="AA64" s="46"/>
      <c r="AB64" s="46"/>
      <c r="AC64" s="46"/>
      <c r="AD64" s="57"/>
      <c r="AE64" s="46"/>
      <c r="AF64" s="46"/>
      <c r="AG64" s="45"/>
      <c r="AH64" s="42"/>
      <c r="AI64" s="46"/>
      <c r="AJ64" s="47"/>
    </row>
    <row r="65" spans="1:36" ht="6" customHeight="1" x14ac:dyDescent="0.2">
      <c r="B65" s="157"/>
      <c r="C65" s="73"/>
      <c r="D65" s="326"/>
      <c r="E65" s="326"/>
      <c r="F65" s="326"/>
      <c r="G65" s="326"/>
      <c r="H65" s="326"/>
      <c r="I65" s="326"/>
      <c r="J65" s="326"/>
      <c r="K65" s="326"/>
      <c r="L65" s="326"/>
      <c r="M65" s="326"/>
      <c r="N65" s="33"/>
      <c r="X65" s="56"/>
      <c r="Y65" s="56"/>
      <c r="Z65" s="331"/>
      <c r="AA65" s="331"/>
      <c r="AB65" s="331"/>
      <c r="AC65" s="331"/>
      <c r="AD65" s="331"/>
      <c r="AE65" s="331"/>
      <c r="AF65" s="331"/>
      <c r="AG65" s="331"/>
      <c r="AH65" s="331"/>
      <c r="AI65" s="46"/>
      <c r="AJ65" s="84"/>
    </row>
    <row r="66" spans="1:36" x14ac:dyDescent="0.2">
      <c r="B66" s="154"/>
      <c r="C66" s="56" t="s">
        <v>0</v>
      </c>
      <c r="D66" s="46" t="s">
        <v>124</v>
      </c>
      <c r="E66" s="62"/>
      <c r="F66" s="46"/>
      <c r="G66" s="46"/>
      <c r="H66" s="57"/>
      <c r="I66" s="46"/>
      <c r="J66" s="46"/>
      <c r="K66" s="45">
        <v>65736</v>
      </c>
      <c r="L66" s="42" t="s">
        <v>23</v>
      </c>
      <c r="M66" s="46"/>
      <c r="N66" s="47"/>
      <c r="X66" s="14"/>
      <c r="Y66" s="14"/>
      <c r="Z66" s="92"/>
      <c r="AA66" s="16"/>
      <c r="AB66" s="13"/>
      <c r="AC66" s="13"/>
      <c r="AD66" s="85"/>
      <c r="AE66" s="50"/>
      <c r="AF66" s="325"/>
      <c r="AG66" s="37"/>
      <c r="AH66" s="50"/>
      <c r="AI66" s="36"/>
      <c r="AJ66" s="34"/>
    </row>
    <row r="67" spans="1:36" x14ac:dyDescent="0.2">
      <c r="B67" s="154"/>
      <c r="C67" s="56"/>
      <c r="D67" s="331" t="s">
        <v>263</v>
      </c>
      <c r="E67" s="331"/>
      <c r="F67" s="331"/>
      <c r="G67" s="331"/>
      <c r="H67" s="331"/>
      <c r="I67" s="331"/>
      <c r="J67" s="331"/>
      <c r="K67" s="331"/>
      <c r="L67" s="331"/>
      <c r="M67" s="46"/>
      <c r="N67" s="84">
        <f>K66*262.7</f>
        <v>17268847.199999999</v>
      </c>
      <c r="X67" s="4"/>
      <c r="Y67" s="4"/>
      <c r="Z67" s="328"/>
      <c r="AA67" s="328"/>
      <c r="AB67" s="328"/>
      <c r="AC67" s="328"/>
      <c r="AD67" s="326"/>
      <c r="AE67" s="326"/>
      <c r="AF67" s="326"/>
      <c r="AG67" s="326"/>
      <c r="AH67" s="326"/>
      <c r="AI67" s="326"/>
      <c r="AJ67" s="33"/>
    </row>
    <row r="68" spans="1:36" ht="6" customHeight="1" x14ac:dyDescent="0.2">
      <c r="B68" s="157"/>
      <c r="C68" s="73"/>
      <c r="D68" s="326"/>
      <c r="E68" s="326"/>
      <c r="F68" s="326"/>
      <c r="G68" s="326"/>
      <c r="H68" s="326"/>
      <c r="I68" s="326"/>
      <c r="J68" s="326"/>
      <c r="K68" s="326"/>
      <c r="L68" s="326"/>
      <c r="M68" s="326"/>
      <c r="N68" s="33"/>
      <c r="X68" s="56"/>
      <c r="Y68" s="56"/>
      <c r="Z68" s="46"/>
      <c r="AA68" s="46"/>
      <c r="AB68" s="46"/>
      <c r="AC68" s="46"/>
      <c r="AD68" s="57"/>
      <c r="AE68" s="46"/>
      <c r="AF68" s="46"/>
      <c r="AG68" s="45"/>
      <c r="AH68" s="42"/>
      <c r="AI68" s="46"/>
      <c r="AJ68" s="47"/>
    </row>
    <row r="69" spans="1:36" x14ac:dyDescent="0.2">
      <c r="B69" s="154"/>
      <c r="C69" s="56" t="s">
        <v>1</v>
      </c>
      <c r="D69" s="46" t="s">
        <v>127</v>
      </c>
      <c r="E69" s="62"/>
      <c r="F69" s="46"/>
      <c r="G69" s="46"/>
      <c r="H69" s="57"/>
      <c r="I69" s="46"/>
      <c r="J69" s="46"/>
      <c r="K69" s="45">
        <v>100254</v>
      </c>
      <c r="L69" s="42" t="s">
        <v>23</v>
      </c>
      <c r="M69" s="46"/>
      <c r="N69" s="47"/>
      <c r="X69" s="56"/>
      <c r="Y69" s="56"/>
      <c r="Z69" s="331"/>
      <c r="AA69" s="331"/>
      <c r="AB69" s="331"/>
      <c r="AC69" s="331"/>
      <c r="AD69" s="331"/>
      <c r="AE69" s="331"/>
      <c r="AF69" s="331"/>
      <c r="AG69" s="331"/>
      <c r="AH69" s="331"/>
      <c r="AI69" s="46"/>
      <c r="AJ69" s="84"/>
    </row>
    <row r="70" spans="1:36" x14ac:dyDescent="0.2">
      <c r="B70" s="154"/>
      <c r="C70" s="56"/>
      <c r="D70" s="331" t="s">
        <v>157</v>
      </c>
      <c r="E70" s="331"/>
      <c r="F70" s="331"/>
      <c r="G70" s="331"/>
      <c r="H70" s="331"/>
      <c r="I70" s="331"/>
      <c r="J70" s="331"/>
      <c r="K70" s="331"/>
      <c r="L70" s="331"/>
      <c r="M70" s="46"/>
      <c r="N70" s="84">
        <f>K69*265.78</f>
        <v>26645508.119999997</v>
      </c>
      <c r="X70" s="14"/>
      <c r="Y70" s="14"/>
      <c r="Z70" s="92"/>
      <c r="AA70" s="16"/>
      <c r="AB70" s="13"/>
      <c r="AC70" s="13"/>
      <c r="AD70" s="85"/>
      <c r="AE70" s="50"/>
      <c r="AF70" s="325"/>
      <c r="AG70" s="37"/>
      <c r="AH70" s="50"/>
      <c r="AI70" s="36"/>
      <c r="AJ70" s="34"/>
    </row>
    <row r="71" spans="1:36" ht="6" customHeight="1" x14ac:dyDescent="0.2">
      <c r="B71" s="157"/>
      <c r="C71" s="73"/>
      <c r="D71" s="326"/>
      <c r="E71" s="326"/>
      <c r="F71" s="326"/>
      <c r="G71" s="326"/>
      <c r="H71" s="326"/>
      <c r="I71" s="326"/>
      <c r="J71" s="326"/>
      <c r="K71" s="326"/>
      <c r="L71" s="326"/>
      <c r="M71" s="326"/>
      <c r="N71" s="33"/>
      <c r="X71" s="4"/>
      <c r="Y71" s="4"/>
      <c r="Z71" s="328"/>
      <c r="AA71" s="328"/>
      <c r="AB71" s="328"/>
      <c r="AC71" s="328"/>
      <c r="AD71" s="326"/>
      <c r="AE71" s="326"/>
      <c r="AF71" s="326"/>
      <c r="AG71" s="326"/>
      <c r="AH71" s="326"/>
      <c r="AI71" s="326"/>
      <c r="AJ71" s="33"/>
    </row>
    <row r="72" spans="1:36" x14ac:dyDescent="0.2">
      <c r="B72" s="154"/>
      <c r="C72" s="56" t="s">
        <v>2</v>
      </c>
      <c r="D72" s="46" t="s">
        <v>128</v>
      </c>
      <c r="E72" s="62"/>
      <c r="F72" s="46"/>
      <c r="G72" s="46"/>
      <c r="H72" s="57"/>
      <c r="I72" s="46"/>
      <c r="J72" s="46"/>
      <c r="K72" s="45">
        <v>144434</v>
      </c>
      <c r="L72" s="42" t="s">
        <v>23</v>
      </c>
      <c r="M72" s="46"/>
      <c r="N72" s="47"/>
      <c r="X72" s="56"/>
      <c r="Y72" s="56"/>
      <c r="Z72" s="46"/>
      <c r="AA72" s="46"/>
      <c r="AB72" s="46"/>
      <c r="AC72" s="46"/>
      <c r="AD72" s="57"/>
      <c r="AE72" s="46"/>
      <c r="AF72" s="46"/>
      <c r="AG72" s="45"/>
      <c r="AH72" s="42"/>
      <c r="AI72" s="46"/>
      <c r="AJ72" s="47"/>
    </row>
    <row r="73" spans="1:36" x14ac:dyDescent="0.2">
      <c r="B73" s="154"/>
      <c r="C73" s="56"/>
      <c r="D73" s="331" t="s">
        <v>276</v>
      </c>
      <c r="E73" s="331"/>
      <c r="F73" s="331"/>
      <c r="G73" s="331"/>
      <c r="H73" s="331"/>
      <c r="I73" s="331"/>
      <c r="J73" s="331"/>
      <c r="K73" s="331"/>
      <c r="L73" s="331"/>
      <c r="M73" s="46"/>
      <c r="N73" s="84">
        <f>K72*274.69</f>
        <v>39674575.460000001</v>
      </c>
      <c r="X73" s="56"/>
      <c r="Y73" s="56"/>
      <c r="Z73" s="331"/>
      <c r="AA73" s="331"/>
      <c r="AB73" s="331"/>
      <c r="AC73" s="331"/>
      <c r="AD73" s="331"/>
      <c r="AE73" s="331"/>
      <c r="AF73" s="331"/>
      <c r="AG73" s="331"/>
      <c r="AH73" s="331"/>
      <c r="AI73" s="46"/>
      <c r="AJ73" s="47"/>
    </row>
    <row r="74" spans="1:36" ht="6" customHeight="1" x14ac:dyDescent="0.2">
      <c r="B74" s="148"/>
      <c r="C74" s="317"/>
      <c r="D74" s="148"/>
      <c r="E74" s="148"/>
      <c r="F74" s="148"/>
      <c r="G74" s="148"/>
      <c r="H74" s="148"/>
      <c r="I74" s="148"/>
      <c r="J74" s="148"/>
      <c r="K74" s="148"/>
      <c r="L74" s="148"/>
      <c r="M74" s="148"/>
      <c r="N74" s="148"/>
      <c r="X74" s="14"/>
      <c r="Y74" s="14"/>
      <c r="Z74" s="92"/>
      <c r="AA74" s="16"/>
      <c r="AB74" s="13"/>
      <c r="AC74" s="13"/>
      <c r="AD74" s="85"/>
      <c r="AE74" s="50"/>
      <c r="AF74" s="325"/>
      <c r="AG74" s="37"/>
      <c r="AH74" s="50"/>
      <c r="AI74" s="36"/>
      <c r="AJ74" s="34"/>
    </row>
    <row r="75" spans="1:36" x14ac:dyDescent="0.2">
      <c r="A75" s="163"/>
      <c r="B75" s="164" t="s">
        <v>147</v>
      </c>
      <c r="C75" s="165" t="s">
        <v>148</v>
      </c>
      <c r="D75" s="25"/>
      <c r="E75" s="25"/>
      <c r="F75" s="25"/>
      <c r="G75" s="25"/>
      <c r="H75" s="113"/>
      <c r="I75" s="113"/>
      <c r="J75" s="113"/>
      <c r="K75" s="113"/>
      <c r="L75" s="113"/>
      <c r="M75" s="113"/>
      <c r="N75" s="112"/>
      <c r="X75" s="4"/>
      <c r="Y75" s="4"/>
      <c r="Z75" s="328"/>
      <c r="AA75" s="328"/>
      <c r="AB75" s="328"/>
      <c r="AC75" s="328"/>
      <c r="AD75" s="326"/>
      <c r="AE75" s="326"/>
      <c r="AF75" s="326"/>
      <c r="AG75" s="326"/>
      <c r="AH75" s="326"/>
      <c r="AI75" s="326"/>
      <c r="AJ75" s="33"/>
    </row>
    <row r="76" spans="1:36" ht="6" customHeight="1" x14ac:dyDescent="0.2">
      <c r="B76" s="157"/>
      <c r="C76" s="111"/>
      <c r="D76" s="103"/>
      <c r="E76" s="103"/>
      <c r="F76" s="103"/>
      <c r="G76" s="103"/>
      <c r="H76" s="103"/>
      <c r="I76" s="103"/>
      <c r="J76" s="103"/>
      <c r="K76" s="103"/>
      <c r="L76" s="103"/>
      <c r="M76" s="103"/>
      <c r="N76" s="110"/>
      <c r="X76" s="56"/>
      <c r="Y76" s="56"/>
      <c r="Z76" s="46"/>
      <c r="AA76" s="46"/>
      <c r="AB76" s="46"/>
      <c r="AC76" s="46"/>
      <c r="AD76" s="57"/>
      <c r="AE76" s="46"/>
      <c r="AF76" s="46"/>
      <c r="AG76" s="45"/>
      <c r="AH76" s="42"/>
      <c r="AI76" s="46"/>
      <c r="AJ76" s="47"/>
    </row>
    <row r="77" spans="1:36" x14ac:dyDescent="0.2">
      <c r="B77" s="154"/>
      <c r="C77" s="56" t="s">
        <v>0</v>
      </c>
      <c r="D77" s="46" t="s">
        <v>150</v>
      </c>
      <c r="E77" s="62"/>
      <c r="F77" s="46"/>
      <c r="G77" s="46"/>
      <c r="H77" s="57"/>
      <c r="I77" s="46"/>
      <c r="J77" s="46"/>
      <c r="K77" s="45">
        <v>50000</v>
      </c>
      <c r="L77" s="42" t="s">
        <v>23</v>
      </c>
      <c r="M77" s="46"/>
      <c r="N77" s="47"/>
      <c r="X77" s="14"/>
      <c r="Y77" s="14"/>
      <c r="Z77" s="92"/>
      <c r="AA77" s="16"/>
      <c r="AB77" s="13"/>
      <c r="AC77" s="13"/>
      <c r="AD77" s="85"/>
      <c r="AE77" s="50"/>
      <c r="AF77" s="325"/>
      <c r="AG77" s="37"/>
      <c r="AH77" s="50"/>
      <c r="AI77" s="36"/>
      <c r="AJ77" s="34"/>
    </row>
    <row r="78" spans="1:36" x14ac:dyDescent="0.2">
      <c r="B78" s="154"/>
      <c r="C78" s="56"/>
      <c r="D78" s="331" t="s">
        <v>177</v>
      </c>
      <c r="E78" s="331"/>
      <c r="F78" s="331"/>
      <c r="G78" s="331"/>
      <c r="H78" s="331"/>
      <c r="I78" s="331"/>
      <c r="J78" s="331"/>
      <c r="K78" s="331"/>
      <c r="L78" s="331"/>
      <c r="M78" s="46"/>
      <c r="N78" s="84">
        <f>K77*274.69</f>
        <v>13734500</v>
      </c>
      <c r="X78" s="4"/>
      <c r="Y78" s="4"/>
      <c r="Z78" s="328"/>
      <c r="AA78" s="328"/>
      <c r="AB78" s="328"/>
      <c r="AC78" s="328"/>
      <c r="AD78" s="326"/>
      <c r="AE78" s="326"/>
      <c r="AF78" s="326"/>
      <c r="AG78" s="326"/>
      <c r="AH78" s="326"/>
      <c r="AI78" s="326"/>
      <c r="AJ78" s="33"/>
    </row>
    <row r="79" spans="1:36" ht="5.25" customHeight="1" x14ac:dyDescent="0.2">
      <c r="B79" s="74"/>
      <c r="C79" s="74"/>
      <c r="D79" s="326"/>
      <c r="E79" s="326"/>
      <c r="F79" s="326"/>
      <c r="G79" s="326"/>
      <c r="H79" s="326"/>
      <c r="I79" s="326"/>
      <c r="J79" s="326"/>
      <c r="K79" s="326"/>
      <c r="L79" s="326"/>
      <c r="M79" s="326"/>
      <c r="N79" s="33"/>
      <c r="X79" s="56"/>
      <c r="Y79" s="56"/>
      <c r="Z79" s="46"/>
      <c r="AA79" s="46"/>
      <c r="AB79" s="46"/>
      <c r="AC79" s="46"/>
      <c r="AD79" s="57"/>
      <c r="AE79" s="46"/>
      <c r="AF79" s="46"/>
      <c r="AG79" s="45"/>
      <c r="AH79" s="42"/>
      <c r="AI79" s="46"/>
      <c r="AJ79" s="47"/>
    </row>
    <row r="80" spans="1:36" x14ac:dyDescent="0.2">
      <c r="B80" s="164" t="s">
        <v>26</v>
      </c>
      <c r="C80" s="165" t="s">
        <v>29</v>
      </c>
      <c r="D80" s="25"/>
      <c r="E80" s="25"/>
      <c r="F80" s="25"/>
      <c r="G80" s="25"/>
      <c r="H80" s="25"/>
      <c r="I80" s="25"/>
      <c r="J80" s="25"/>
      <c r="K80" s="25"/>
      <c r="L80" s="25"/>
      <c r="M80" s="25"/>
      <c r="N80" s="34"/>
      <c r="X80" s="56"/>
      <c r="Y80" s="56"/>
      <c r="Z80" s="331"/>
      <c r="AA80" s="331"/>
      <c r="AB80" s="331"/>
      <c r="AC80" s="331"/>
      <c r="AD80" s="331"/>
      <c r="AE80" s="331"/>
      <c r="AF80" s="331"/>
      <c r="AG80" s="331"/>
      <c r="AH80" s="331"/>
      <c r="AI80" s="46"/>
      <c r="AJ80" s="47"/>
    </row>
    <row r="81" spans="1:36" x14ac:dyDescent="0.2">
      <c r="B81" s="154"/>
      <c r="C81" s="315" t="s">
        <v>25</v>
      </c>
      <c r="D81" s="25"/>
      <c r="E81" s="25"/>
      <c r="F81" s="25"/>
      <c r="G81" s="25"/>
      <c r="H81" s="25"/>
      <c r="I81" s="25"/>
      <c r="J81" s="25"/>
      <c r="K81" s="25"/>
      <c r="L81" s="25"/>
      <c r="M81" s="25"/>
      <c r="N81" s="34"/>
      <c r="X81" s="14"/>
      <c r="Y81" s="14"/>
      <c r="Z81" s="92"/>
      <c r="AA81" s="16"/>
      <c r="AB81" s="13"/>
      <c r="AC81" s="13"/>
      <c r="AD81" s="85"/>
      <c r="AE81" s="50"/>
      <c r="AF81" s="325"/>
      <c r="AG81" s="37"/>
      <c r="AH81" s="50"/>
      <c r="AI81" s="36"/>
      <c r="AJ81" s="34"/>
    </row>
    <row r="82" spans="1:36" ht="6.75" customHeight="1" x14ac:dyDescent="0.2">
      <c r="B82" s="154"/>
      <c r="C82" s="56"/>
      <c r="D82" s="46"/>
      <c r="E82" s="49"/>
      <c r="F82" s="46"/>
      <c r="G82" s="46"/>
      <c r="H82" s="43"/>
      <c r="I82" s="42"/>
      <c r="J82" s="42"/>
      <c r="K82" s="43"/>
      <c r="L82" s="42"/>
      <c r="M82" s="61"/>
      <c r="N82" s="44"/>
      <c r="X82" s="4"/>
      <c r="Y82" s="4"/>
      <c r="Z82" s="328"/>
      <c r="AA82" s="328"/>
      <c r="AB82" s="328"/>
      <c r="AC82" s="328"/>
      <c r="AD82" s="326"/>
      <c r="AE82" s="326"/>
      <c r="AF82" s="326"/>
      <c r="AG82" s="326"/>
      <c r="AH82" s="326"/>
      <c r="AI82" s="326"/>
      <c r="AJ82" s="33"/>
    </row>
    <row r="83" spans="1:36" x14ac:dyDescent="0.2">
      <c r="B83" s="154"/>
      <c r="C83" s="56" t="s">
        <v>0</v>
      </c>
      <c r="D83" s="46" t="s">
        <v>84</v>
      </c>
      <c r="E83" s="46"/>
      <c r="F83" s="46"/>
      <c r="G83" s="46"/>
      <c r="H83" s="57"/>
      <c r="I83" s="46"/>
      <c r="J83" s="46"/>
      <c r="K83" s="45">
        <v>56971</v>
      </c>
      <c r="L83" s="42" t="s">
        <v>23</v>
      </c>
      <c r="M83" s="46"/>
      <c r="N83" s="47"/>
      <c r="X83" s="56"/>
      <c r="Y83" s="56"/>
      <c r="Z83" s="46"/>
      <c r="AA83" s="46"/>
      <c r="AB83" s="46"/>
      <c r="AC83" s="46"/>
      <c r="AD83" s="57"/>
      <c r="AE83" s="46"/>
      <c r="AF83" s="46"/>
      <c r="AG83" s="45"/>
      <c r="AH83" s="42"/>
      <c r="AI83" s="46"/>
      <c r="AJ83" s="47"/>
    </row>
    <row r="84" spans="1:36" ht="79.5" customHeight="1" x14ac:dyDescent="0.2">
      <c r="B84" s="154"/>
      <c r="C84" s="56"/>
      <c r="D84" s="331" t="s">
        <v>231</v>
      </c>
      <c r="E84" s="331"/>
      <c r="F84" s="331"/>
      <c r="G84" s="331"/>
      <c r="H84" s="331"/>
      <c r="I84" s="331"/>
      <c r="J84" s="331"/>
      <c r="K84" s="331"/>
      <c r="L84" s="331"/>
      <c r="M84" s="46"/>
      <c r="N84" s="84">
        <f>262.7*55162*0.8</f>
        <v>11592845.92</v>
      </c>
      <c r="X84" s="56"/>
      <c r="Y84" s="56"/>
      <c r="Z84" s="331"/>
      <c r="AA84" s="331"/>
      <c r="AB84" s="331"/>
      <c r="AC84" s="331"/>
      <c r="AD84" s="331"/>
      <c r="AE84" s="331"/>
      <c r="AF84" s="331"/>
      <c r="AG84" s="331"/>
      <c r="AH84" s="331"/>
      <c r="AI84" s="46"/>
      <c r="AJ84" s="84"/>
    </row>
    <row r="85" spans="1:36" x14ac:dyDescent="0.2">
      <c r="B85" s="154"/>
      <c r="C85" s="56"/>
      <c r="D85" s="46" t="s">
        <v>24</v>
      </c>
      <c r="E85" s="49">
        <v>1</v>
      </c>
      <c r="F85" s="46" t="s">
        <v>71</v>
      </c>
      <c r="G85" s="46"/>
      <c r="H85" s="43">
        <v>800</v>
      </c>
      <c r="I85" s="42" t="s">
        <v>23</v>
      </c>
      <c r="J85" s="42"/>
      <c r="K85" s="87">
        <f t="shared" ref="K85:K89" si="3">SUM(E85*H85)</f>
        <v>800</v>
      </c>
      <c r="L85" s="42" t="s">
        <v>23</v>
      </c>
      <c r="M85" s="61">
        <v>0.74</v>
      </c>
      <c r="N85" s="34">
        <f>SUM(E85*H85)/M85*262.7</f>
        <v>284000</v>
      </c>
      <c r="X85" s="56"/>
      <c r="Y85" s="56"/>
      <c r="Z85" s="331"/>
      <c r="AA85" s="331"/>
      <c r="AB85" s="331"/>
      <c r="AC85" s="331"/>
      <c r="AD85" s="331"/>
      <c r="AE85" s="331"/>
      <c r="AF85" s="331"/>
      <c r="AG85" s="331"/>
      <c r="AH85" s="331"/>
      <c r="AI85" s="46"/>
      <c r="AJ85" s="47"/>
    </row>
    <row r="86" spans="1:36" ht="15" x14ac:dyDescent="0.25">
      <c r="B86" s="154"/>
      <c r="C86" s="60"/>
      <c r="D86" s="46"/>
      <c r="E86" s="49">
        <v>1</v>
      </c>
      <c r="F86" s="46" t="s">
        <v>32</v>
      </c>
      <c r="G86" s="46"/>
      <c r="H86" s="43">
        <v>800</v>
      </c>
      <c r="I86" s="42" t="s">
        <v>23</v>
      </c>
      <c r="J86" s="42"/>
      <c r="K86" s="87">
        <f t="shared" si="3"/>
        <v>800</v>
      </c>
      <c r="L86" s="42" t="s">
        <v>23</v>
      </c>
      <c r="M86" s="61">
        <v>0.74</v>
      </c>
      <c r="N86" s="34">
        <f t="shared" ref="N86:N89" si="4">SUM(E86*H86)/M86*262.7</f>
        <v>284000</v>
      </c>
      <c r="X86" s="14"/>
      <c r="Y86" s="14"/>
      <c r="Z86" s="92"/>
      <c r="AA86" s="16"/>
      <c r="AB86" s="13"/>
      <c r="AC86" s="13"/>
      <c r="AD86" s="85"/>
      <c r="AE86" s="50"/>
      <c r="AF86" s="325"/>
      <c r="AG86" s="37"/>
      <c r="AH86" s="50"/>
      <c r="AI86" s="36"/>
      <c r="AJ86" s="34"/>
    </row>
    <row r="87" spans="1:36" ht="15" x14ac:dyDescent="0.25">
      <c r="B87" s="154"/>
      <c r="C87" s="60"/>
      <c r="D87" s="46"/>
      <c r="E87" s="49">
        <v>1</v>
      </c>
      <c r="F87" s="46" t="s">
        <v>69</v>
      </c>
      <c r="G87" s="46"/>
      <c r="H87" s="43">
        <v>300</v>
      </c>
      <c r="I87" s="42" t="s">
        <v>23</v>
      </c>
      <c r="J87" s="42"/>
      <c r="K87" s="87">
        <f t="shared" si="3"/>
        <v>300</v>
      </c>
      <c r="L87" s="42" t="s">
        <v>23</v>
      </c>
      <c r="M87" s="61">
        <v>0.74</v>
      </c>
      <c r="N87" s="34">
        <f t="shared" si="4"/>
        <v>106500</v>
      </c>
    </row>
    <row r="88" spans="1:36" s="70" customFormat="1" ht="12.75" customHeight="1" x14ac:dyDescent="0.2">
      <c r="A88" s="316"/>
      <c r="B88" s="154"/>
      <c r="C88" s="154"/>
      <c r="D88" s="90"/>
      <c r="E88" s="89">
        <v>3</v>
      </c>
      <c r="F88" s="46" t="s">
        <v>88</v>
      </c>
      <c r="G88" s="90"/>
      <c r="H88" s="87">
        <v>800</v>
      </c>
      <c r="I88" s="90" t="s">
        <v>23</v>
      </c>
      <c r="J88" s="90"/>
      <c r="K88" s="87">
        <f t="shared" ref="K88" si="5">SUM(E88*H88)</f>
        <v>2400</v>
      </c>
      <c r="L88" s="90" t="s">
        <v>23</v>
      </c>
      <c r="M88" s="91">
        <v>0.74</v>
      </c>
      <c r="N88" s="34">
        <f t="shared" si="4"/>
        <v>852000</v>
      </c>
    </row>
    <row r="89" spans="1:36" s="70" customFormat="1" ht="12.75" customHeight="1" x14ac:dyDescent="0.2">
      <c r="A89" s="316"/>
      <c r="B89" s="154"/>
      <c r="C89" s="154"/>
      <c r="D89" s="90"/>
      <c r="E89" s="89">
        <v>1</v>
      </c>
      <c r="F89" s="25" t="s">
        <v>96</v>
      </c>
      <c r="G89" s="90"/>
      <c r="H89" s="87">
        <v>5500</v>
      </c>
      <c r="I89" s="90" t="s">
        <v>23</v>
      </c>
      <c r="J89" s="90"/>
      <c r="K89" s="87">
        <f t="shared" si="3"/>
        <v>5500</v>
      </c>
      <c r="L89" s="90" t="s">
        <v>23</v>
      </c>
      <c r="M89" s="91">
        <v>0.74</v>
      </c>
      <c r="N89" s="34">
        <f t="shared" si="4"/>
        <v>1952500</v>
      </c>
    </row>
    <row r="90" spans="1:36" ht="6" customHeight="1" x14ac:dyDescent="0.2">
      <c r="B90" s="74"/>
      <c r="C90" s="74"/>
      <c r="D90" s="326"/>
      <c r="E90" s="326"/>
      <c r="F90" s="326"/>
      <c r="G90" s="326"/>
      <c r="H90" s="326"/>
      <c r="I90" s="273"/>
      <c r="J90" s="326"/>
      <c r="K90" s="274"/>
      <c r="L90" s="326"/>
      <c r="M90" s="326"/>
      <c r="N90" s="33"/>
    </row>
    <row r="91" spans="1:36" s="22" customFormat="1" ht="25.15" customHeight="1" x14ac:dyDescent="0.2">
      <c r="A91" s="30"/>
      <c r="B91" s="154"/>
      <c r="C91" s="154" t="s">
        <v>1</v>
      </c>
      <c r="D91" s="340" t="s">
        <v>266</v>
      </c>
      <c r="E91" s="340"/>
      <c r="F91" s="340"/>
      <c r="G91" s="340"/>
      <c r="H91" s="340"/>
      <c r="I91" s="340"/>
      <c r="J91" s="340"/>
      <c r="K91" s="37">
        <v>201976</v>
      </c>
      <c r="L91" s="25" t="s">
        <v>23</v>
      </c>
      <c r="M91" s="36"/>
      <c r="N91" s="34"/>
    </row>
    <row r="92" spans="1:36" s="22" customFormat="1" ht="25.15" customHeight="1" x14ac:dyDescent="0.2">
      <c r="A92" s="30"/>
      <c r="B92" s="154"/>
      <c r="C92" s="154"/>
      <c r="D92" s="331" t="s">
        <v>265</v>
      </c>
      <c r="E92" s="331"/>
      <c r="F92" s="331"/>
      <c r="G92" s="331"/>
      <c r="H92" s="331"/>
      <c r="I92" s="331"/>
      <c r="J92" s="331"/>
      <c r="K92" s="331"/>
      <c r="L92" s="331"/>
      <c r="M92" s="36"/>
      <c r="N92" s="84">
        <f>274.69*0.8*((38948+17676)*2)</f>
        <v>24886474.495999999</v>
      </c>
    </row>
    <row r="93" spans="1:36" s="22" customFormat="1" ht="25.5" x14ac:dyDescent="0.2">
      <c r="A93" s="30"/>
      <c r="B93" s="154"/>
      <c r="C93" s="154"/>
      <c r="D93" s="92" t="s">
        <v>24</v>
      </c>
      <c r="E93" s="253">
        <v>1</v>
      </c>
      <c r="F93" s="25" t="s">
        <v>267</v>
      </c>
      <c r="G93" s="25"/>
      <c r="H93" s="37">
        <v>250</v>
      </c>
      <c r="I93" s="25" t="s">
        <v>23</v>
      </c>
      <c r="J93" s="25"/>
      <c r="K93" s="37">
        <f>SUM(E93*H93)</f>
        <v>250</v>
      </c>
      <c r="L93" s="25" t="s">
        <v>23</v>
      </c>
      <c r="M93" s="36">
        <v>0.68</v>
      </c>
      <c r="N93" s="34">
        <f t="shared" ref="N93:N94" si="6">SUM(E93*H93)/M93*274.69</f>
        <v>100988.97058823529</v>
      </c>
    </row>
    <row r="94" spans="1:36" s="13" customFormat="1" hidden="1" x14ac:dyDescent="0.2">
      <c r="A94" s="25"/>
      <c r="B94" s="154"/>
      <c r="C94" s="154"/>
      <c r="D94" s="25"/>
      <c r="E94" s="253">
        <v>0</v>
      </c>
      <c r="F94" s="25" t="s">
        <v>268</v>
      </c>
      <c r="G94" s="25"/>
      <c r="H94" s="37">
        <v>375</v>
      </c>
      <c r="I94" s="25" t="s">
        <v>23</v>
      </c>
      <c r="J94" s="25"/>
      <c r="K94" s="37">
        <f>SUM(E94*H94)</f>
        <v>0</v>
      </c>
      <c r="L94" s="25" t="s">
        <v>23</v>
      </c>
      <c r="M94" s="36">
        <v>0.68</v>
      </c>
      <c r="N94" s="34">
        <f t="shared" si="6"/>
        <v>0</v>
      </c>
    </row>
    <row r="95" spans="1:36" ht="6" customHeight="1" x14ac:dyDescent="0.2">
      <c r="B95" s="157"/>
      <c r="C95" s="73"/>
      <c r="D95" s="326"/>
      <c r="E95" s="326"/>
      <c r="F95" s="326"/>
      <c r="G95" s="326"/>
      <c r="H95" s="326"/>
      <c r="I95" s="326"/>
      <c r="J95" s="326"/>
      <c r="K95" s="326"/>
      <c r="L95" s="326"/>
      <c r="M95" s="326"/>
      <c r="N95" s="33"/>
    </row>
    <row r="96" spans="1:36" x14ac:dyDescent="0.2">
      <c r="B96" s="154"/>
      <c r="C96" s="56" t="s">
        <v>2</v>
      </c>
      <c r="D96" s="46" t="s">
        <v>44</v>
      </c>
      <c r="E96" s="46"/>
      <c r="F96" s="46"/>
      <c r="G96" s="46"/>
      <c r="H96" s="57"/>
      <c r="I96" s="46"/>
      <c r="J96" s="46"/>
      <c r="K96" s="45">
        <v>70406</v>
      </c>
      <c r="L96" s="42" t="s">
        <v>23</v>
      </c>
      <c r="M96" s="46"/>
      <c r="N96" s="47"/>
    </row>
    <row r="97" spans="1:14" ht="54" customHeight="1" x14ac:dyDescent="0.2">
      <c r="B97" s="154"/>
      <c r="C97" s="56"/>
      <c r="D97" s="331" t="s">
        <v>264</v>
      </c>
      <c r="E97" s="331"/>
      <c r="F97" s="331"/>
      <c r="G97" s="331"/>
      <c r="H97" s="331"/>
      <c r="I97" s="331"/>
      <c r="J97" s="331"/>
      <c r="K97" s="331"/>
      <c r="L97" s="331"/>
      <c r="M97" s="46"/>
      <c r="N97" s="84">
        <f>2450773*1.2</f>
        <v>2940927.6</v>
      </c>
    </row>
    <row r="98" spans="1:14" x14ac:dyDescent="0.2">
      <c r="B98" s="154"/>
      <c r="C98" s="58"/>
      <c r="D98" s="42" t="s">
        <v>24</v>
      </c>
      <c r="E98" s="48">
        <v>1</v>
      </c>
      <c r="F98" s="42" t="s">
        <v>68</v>
      </c>
      <c r="G98" s="42"/>
      <c r="H98" s="43">
        <v>1600</v>
      </c>
      <c r="I98" s="42" t="s">
        <v>23</v>
      </c>
      <c r="J98" s="42"/>
      <c r="K98" s="37">
        <f t="shared" ref="K98:K99" si="7">SUM(E98*H98)</f>
        <v>1600</v>
      </c>
      <c r="L98" s="42" t="s">
        <v>23</v>
      </c>
      <c r="M98" s="59">
        <v>0.71</v>
      </c>
      <c r="N98" s="34">
        <f>SUM(E98*H98)/M98*265.78</f>
        <v>598940.84507042251</v>
      </c>
    </row>
    <row r="99" spans="1:14" ht="15" x14ac:dyDescent="0.25">
      <c r="B99" s="154"/>
      <c r="C99" s="60"/>
      <c r="D99" s="46"/>
      <c r="E99" s="49">
        <v>1</v>
      </c>
      <c r="F99" s="46" t="s">
        <v>95</v>
      </c>
      <c r="G99" s="46"/>
      <c r="H99" s="43">
        <v>300</v>
      </c>
      <c r="I99" s="42" t="s">
        <v>23</v>
      </c>
      <c r="J99" s="42"/>
      <c r="K99" s="37">
        <f t="shared" si="7"/>
        <v>300</v>
      </c>
      <c r="L99" s="42" t="s">
        <v>23</v>
      </c>
      <c r="M99" s="61">
        <v>0.71</v>
      </c>
      <c r="N99" s="34">
        <f t="shared" ref="N99:N101" si="8">SUM(E99*H99)/M99*265.78</f>
        <v>112301.40845070421</v>
      </c>
    </row>
    <row r="100" spans="1:14" s="70" customFormat="1" x14ac:dyDescent="0.2">
      <c r="A100" s="316"/>
      <c r="B100" s="154"/>
      <c r="C100" s="154"/>
      <c r="D100" s="25"/>
      <c r="E100" s="253">
        <v>1</v>
      </c>
      <c r="F100" s="346" t="s">
        <v>92</v>
      </c>
      <c r="G100" s="346"/>
      <c r="H100" s="37">
        <v>900</v>
      </c>
      <c r="I100" s="25" t="s">
        <v>23</v>
      </c>
      <c r="J100" s="25"/>
      <c r="K100" s="37">
        <f>SUM(E100*H100)</f>
        <v>900</v>
      </c>
      <c r="L100" s="25" t="s">
        <v>23</v>
      </c>
      <c r="M100" s="36">
        <v>0.71</v>
      </c>
      <c r="N100" s="34">
        <f t="shared" si="8"/>
        <v>336904.22535211267</v>
      </c>
    </row>
    <row r="101" spans="1:14" s="70" customFormat="1" x14ac:dyDescent="0.2">
      <c r="A101" s="316"/>
      <c r="B101" s="154"/>
      <c r="C101" s="154"/>
      <c r="D101" s="25"/>
      <c r="E101" s="253">
        <v>3</v>
      </c>
      <c r="F101" s="25" t="s">
        <v>94</v>
      </c>
      <c r="G101" s="25"/>
      <c r="H101" s="37">
        <v>1000</v>
      </c>
      <c r="I101" s="25" t="s">
        <v>23</v>
      </c>
      <c r="J101" s="25"/>
      <c r="K101" s="37">
        <f>SUM(E101*H101)</f>
        <v>3000</v>
      </c>
      <c r="L101" s="25" t="s">
        <v>23</v>
      </c>
      <c r="M101" s="36">
        <v>0.71</v>
      </c>
      <c r="N101" s="34">
        <f t="shared" si="8"/>
        <v>1123014.0845070423</v>
      </c>
    </row>
    <row r="102" spans="1:14" s="24" customFormat="1" hidden="1" x14ac:dyDescent="0.2">
      <c r="A102" s="280"/>
      <c r="B102" s="154"/>
      <c r="C102" s="154"/>
      <c r="D102" s="92"/>
      <c r="E102" s="253">
        <v>0</v>
      </c>
      <c r="F102" s="25" t="s">
        <v>88</v>
      </c>
      <c r="G102" s="25"/>
      <c r="H102" s="37">
        <v>750</v>
      </c>
      <c r="I102" s="50" t="s">
        <v>23</v>
      </c>
      <c r="J102" s="325"/>
      <c r="K102" s="37">
        <f>SUM(E102*H102)</f>
        <v>0</v>
      </c>
      <c r="L102" s="50" t="s">
        <v>23</v>
      </c>
      <c r="M102" s="36">
        <v>0.71</v>
      </c>
      <c r="N102" s="34">
        <f>SUM(E102*H102)/M102*265.78</f>
        <v>0</v>
      </c>
    </row>
    <row r="103" spans="1:14" ht="6" customHeight="1" x14ac:dyDescent="0.2">
      <c r="B103" s="157"/>
      <c r="C103" s="73"/>
      <c r="D103" s="326"/>
      <c r="E103" s="326"/>
      <c r="F103" s="326"/>
      <c r="G103" s="326"/>
      <c r="H103" s="326"/>
      <c r="I103" s="326"/>
      <c r="J103" s="326"/>
      <c r="K103" s="275"/>
      <c r="L103" s="326"/>
      <c r="M103" s="326"/>
      <c r="N103" s="33"/>
    </row>
    <row r="104" spans="1:14" x14ac:dyDescent="0.2">
      <c r="B104" s="154"/>
      <c r="C104" s="56" t="s">
        <v>3</v>
      </c>
      <c r="D104" s="46" t="s">
        <v>66</v>
      </c>
      <c r="E104" s="62"/>
      <c r="F104" s="46"/>
      <c r="G104" s="46"/>
      <c r="H104" s="57"/>
      <c r="I104" s="46"/>
      <c r="J104" s="46"/>
      <c r="K104" s="45">
        <v>63142</v>
      </c>
      <c r="L104" s="42" t="s">
        <v>23</v>
      </c>
      <c r="M104" s="46"/>
      <c r="N104" s="47"/>
    </row>
    <row r="105" spans="1:14" ht="54" customHeight="1" x14ac:dyDescent="0.2">
      <c r="B105" s="154"/>
      <c r="C105" s="56"/>
      <c r="D105" s="331" t="s">
        <v>182</v>
      </c>
      <c r="E105" s="331"/>
      <c r="F105" s="331"/>
      <c r="G105" s="331"/>
      <c r="H105" s="331"/>
      <c r="I105" s="331"/>
      <c r="J105" s="331"/>
      <c r="K105" s="331"/>
      <c r="L105" s="331"/>
      <c r="M105" s="46"/>
      <c r="N105" s="84">
        <f>4420546*1.5</f>
        <v>6630819</v>
      </c>
    </row>
    <row r="106" spans="1:14" s="70" customFormat="1" ht="12.75" customHeight="1" x14ac:dyDescent="0.2">
      <c r="A106" s="316"/>
      <c r="B106" s="154"/>
      <c r="C106" s="154"/>
      <c r="D106" s="46" t="s">
        <v>24</v>
      </c>
      <c r="E106" s="253">
        <v>1</v>
      </c>
      <c r="F106" s="25" t="s">
        <v>90</v>
      </c>
      <c r="G106" s="25"/>
      <c r="H106" s="37">
        <v>825</v>
      </c>
      <c r="I106" s="90" t="s">
        <v>23</v>
      </c>
      <c r="J106" s="90"/>
      <c r="K106" s="87">
        <f t="shared" ref="K106:K108" si="9">SUM(E106*H106)</f>
        <v>825</v>
      </c>
      <c r="L106" s="90" t="s">
        <v>23</v>
      </c>
      <c r="M106" s="91">
        <v>0.74</v>
      </c>
      <c r="N106" s="34">
        <f>SUM(E106*H106)/M106*262.7</f>
        <v>292874.99999999994</v>
      </c>
    </row>
    <row r="107" spans="1:14" s="70" customFormat="1" ht="12.75" customHeight="1" x14ac:dyDescent="0.2">
      <c r="A107" s="316"/>
      <c r="B107" s="154"/>
      <c r="C107" s="154"/>
      <c r="D107" s="90"/>
      <c r="E107" s="253">
        <v>3</v>
      </c>
      <c r="F107" s="25" t="s">
        <v>93</v>
      </c>
      <c r="G107" s="25"/>
      <c r="H107" s="37">
        <v>375</v>
      </c>
      <c r="I107" s="90" t="s">
        <v>23</v>
      </c>
      <c r="J107" s="90"/>
      <c r="K107" s="87">
        <f t="shared" si="9"/>
        <v>1125</v>
      </c>
      <c r="L107" s="90" t="s">
        <v>23</v>
      </c>
      <c r="M107" s="91">
        <v>0.74</v>
      </c>
      <c r="N107" s="34">
        <f t="shared" ref="N107:N108" si="10">SUM(E107*H107)/M107*262.7</f>
        <v>399374.99999999994</v>
      </c>
    </row>
    <row r="108" spans="1:14" s="70" customFormat="1" ht="12.75" customHeight="1" x14ac:dyDescent="0.2">
      <c r="A108" s="316"/>
      <c r="B108" s="154"/>
      <c r="C108" s="154"/>
      <c r="D108" s="90"/>
      <c r="E108" s="89">
        <v>1</v>
      </c>
      <c r="F108" s="90" t="s">
        <v>97</v>
      </c>
      <c r="G108" s="90"/>
      <c r="H108" s="87">
        <v>800</v>
      </c>
      <c r="I108" s="90" t="s">
        <v>23</v>
      </c>
      <c r="J108" s="90"/>
      <c r="K108" s="87">
        <f t="shared" si="9"/>
        <v>800</v>
      </c>
      <c r="L108" s="90" t="s">
        <v>23</v>
      </c>
      <c r="M108" s="91">
        <v>0.74</v>
      </c>
      <c r="N108" s="34">
        <f t="shared" si="10"/>
        <v>284000</v>
      </c>
    </row>
    <row r="109" spans="1:14" s="24" customFormat="1" x14ac:dyDescent="0.2">
      <c r="A109" s="280"/>
      <c r="B109" s="154"/>
      <c r="C109" s="154"/>
      <c r="D109" s="92"/>
      <c r="E109" s="253">
        <v>4</v>
      </c>
      <c r="F109" s="25" t="s">
        <v>88</v>
      </c>
      <c r="G109" s="25"/>
      <c r="H109" s="37">
        <v>800</v>
      </c>
      <c r="I109" s="50" t="s">
        <v>23</v>
      </c>
      <c r="J109" s="325"/>
      <c r="K109" s="37">
        <f>SUM(E109*H109)</f>
        <v>3200</v>
      </c>
      <c r="L109" s="50" t="s">
        <v>23</v>
      </c>
      <c r="M109" s="36">
        <v>0.74</v>
      </c>
      <c r="N109" s="34">
        <f>SUM(E109*H109)/M109*262.7</f>
        <v>1136000</v>
      </c>
    </row>
    <row r="110" spans="1:14" ht="6" customHeight="1" x14ac:dyDescent="0.2">
      <c r="B110" s="157"/>
      <c r="C110" s="73"/>
      <c r="D110" s="326"/>
      <c r="E110" s="326"/>
      <c r="F110" s="326"/>
      <c r="G110" s="326"/>
      <c r="H110" s="326"/>
      <c r="I110" s="326"/>
      <c r="J110" s="326"/>
      <c r="K110" s="275"/>
      <c r="L110" s="326"/>
      <c r="M110" s="326"/>
      <c r="N110" s="33"/>
    </row>
    <row r="111" spans="1:14" x14ac:dyDescent="0.2">
      <c r="B111" s="154"/>
      <c r="C111" s="56" t="s">
        <v>4</v>
      </c>
      <c r="D111" s="46" t="s">
        <v>81</v>
      </c>
      <c r="E111" s="46"/>
      <c r="F111" s="46"/>
      <c r="G111" s="46"/>
      <c r="H111" s="57"/>
      <c r="I111" s="46"/>
      <c r="J111" s="46"/>
      <c r="K111" s="45">
        <v>86607</v>
      </c>
      <c r="L111" s="42" t="s">
        <v>23</v>
      </c>
      <c r="M111" s="46"/>
      <c r="N111" s="47"/>
    </row>
    <row r="112" spans="1:14" ht="41.25" customHeight="1" x14ac:dyDescent="0.2">
      <c r="B112" s="154"/>
      <c r="C112" s="56"/>
      <c r="D112" s="331" t="s">
        <v>179</v>
      </c>
      <c r="E112" s="331"/>
      <c r="F112" s="331"/>
      <c r="G112" s="331"/>
      <c r="H112" s="331"/>
      <c r="I112" s="331"/>
      <c r="J112" s="331"/>
      <c r="K112" s="331"/>
      <c r="L112" s="331"/>
      <c r="M112" s="46"/>
      <c r="N112" s="84">
        <f>1836842*1.2</f>
        <v>2204210.4</v>
      </c>
    </row>
    <row r="113" spans="1:14" x14ac:dyDescent="0.2">
      <c r="B113" s="154"/>
      <c r="C113" s="58"/>
      <c r="D113" s="42" t="s">
        <v>24</v>
      </c>
      <c r="E113" s="48">
        <v>4</v>
      </c>
      <c r="F113" s="42" t="s">
        <v>70</v>
      </c>
      <c r="G113" s="42"/>
      <c r="H113" s="43">
        <v>375</v>
      </c>
      <c r="I113" s="42" t="s">
        <v>23</v>
      </c>
      <c r="J113" s="42"/>
      <c r="K113" s="37">
        <f t="shared" ref="K113:K114" si="11">SUM(E113*H113)</f>
        <v>1500</v>
      </c>
      <c r="L113" s="42" t="s">
        <v>23</v>
      </c>
      <c r="M113" s="59">
        <v>0.71</v>
      </c>
      <c r="N113" s="34">
        <f>SUM(E113*H113)/M113*265.78</f>
        <v>561507.04225352115</v>
      </c>
    </row>
    <row r="114" spans="1:14" ht="15" x14ac:dyDescent="0.25">
      <c r="B114" s="154"/>
      <c r="C114" s="60"/>
      <c r="D114" s="46"/>
      <c r="E114" s="49">
        <v>1</v>
      </c>
      <c r="F114" s="46" t="s">
        <v>95</v>
      </c>
      <c r="G114" s="46"/>
      <c r="H114" s="43">
        <v>300</v>
      </c>
      <c r="I114" s="42" t="s">
        <v>23</v>
      </c>
      <c r="J114" s="42"/>
      <c r="K114" s="37">
        <f t="shared" si="11"/>
        <v>300</v>
      </c>
      <c r="L114" s="42" t="s">
        <v>23</v>
      </c>
      <c r="M114" s="61">
        <v>0.71</v>
      </c>
      <c r="N114" s="34">
        <f t="shared" ref="N114:N116" si="12">SUM(E114*H114)/M114*265.78</f>
        <v>112301.40845070421</v>
      </c>
    </row>
    <row r="115" spans="1:14" s="70" customFormat="1" hidden="1" x14ac:dyDescent="0.2">
      <c r="A115" s="316"/>
      <c r="B115" s="154"/>
      <c r="C115" s="154"/>
      <c r="D115" s="25"/>
      <c r="E115" s="253">
        <v>0</v>
      </c>
      <c r="F115" s="25" t="s">
        <v>88</v>
      </c>
      <c r="G115" s="25"/>
      <c r="H115" s="37">
        <v>750</v>
      </c>
      <c r="I115" s="25" t="s">
        <v>23</v>
      </c>
      <c r="J115" s="25"/>
      <c r="K115" s="37">
        <f>SUM(E115*H115)</f>
        <v>0</v>
      </c>
      <c r="L115" s="25" t="s">
        <v>23</v>
      </c>
      <c r="M115" s="36">
        <v>0.71</v>
      </c>
      <c r="N115" s="34">
        <f t="shared" si="12"/>
        <v>0</v>
      </c>
    </row>
    <row r="116" spans="1:14" s="70" customFormat="1" x14ac:dyDescent="0.2">
      <c r="A116" s="316"/>
      <c r="B116" s="154"/>
      <c r="C116" s="154"/>
      <c r="D116" s="25"/>
      <c r="E116" s="253">
        <v>1</v>
      </c>
      <c r="F116" s="25" t="s">
        <v>92</v>
      </c>
      <c r="G116" s="25"/>
      <c r="H116" s="37">
        <v>900</v>
      </c>
      <c r="I116" s="25" t="s">
        <v>23</v>
      </c>
      <c r="J116" s="25"/>
      <c r="K116" s="37">
        <f>SUM(E116*H116)</f>
        <v>900</v>
      </c>
      <c r="L116" s="25" t="s">
        <v>23</v>
      </c>
      <c r="M116" s="36">
        <v>0.71</v>
      </c>
      <c r="N116" s="34">
        <f t="shared" si="12"/>
        <v>336904.22535211267</v>
      </c>
    </row>
    <row r="117" spans="1:14" ht="6" customHeight="1" x14ac:dyDescent="0.2">
      <c r="B117" s="157"/>
      <c r="C117" s="73"/>
      <c r="D117" s="326"/>
      <c r="E117" s="326"/>
      <c r="F117" s="326"/>
      <c r="G117" s="326"/>
      <c r="H117" s="326"/>
      <c r="I117" s="326"/>
      <c r="J117" s="326"/>
      <c r="K117" s="275"/>
      <c r="L117" s="326"/>
      <c r="M117" s="326"/>
      <c r="N117" s="33"/>
    </row>
    <row r="118" spans="1:14" x14ac:dyDescent="0.2">
      <c r="B118" s="154"/>
      <c r="C118" s="56" t="s">
        <v>86</v>
      </c>
      <c r="D118" s="46" t="s">
        <v>82</v>
      </c>
      <c r="E118" s="46"/>
      <c r="F118" s="46"/>
      <c r="G118" s="46"/>
      <c r="H118" s="57"/>
      <c r="I118" s="46"/>
      <c r="J118" s="46"/>
      <c r="K118" s="45">
        <v>51254</v>
      </c>
      <c r="L118" s="42" t="s">
        <v>23</v>
      </c>
      <c r="M118" s="46"/>
      <c r="N118" s="47"/>
    </row>
    <row r="119" spans="1:14" ht="54" customHeight="1" x14ac:dyDescent="0.2">
      <c r="B119" s="154"/>
      <c r="C119" s="56"/>
      <c r="D119" s="331" t="s">
        <v>181</v>
      </c>
      <c r="E119" s="331"/>
      <c r="F119" s="331"/>
      <c r="G119" s="331"/>
      <c r="H119" s="331"/>
      <c r="I119" s="331"/>
      <c r="J119" s="331"/>
      <c r="K119" s="331"/>
      <c r="L119" s="331"/>
      <c r="M119" s="46"/>
      <c r="N119" s="47">
        <f>3631852*1.2</f>
        <v>4358222.3999999994</v>
      </c>
    </row>
    <row r="120" spans="1:14" x14ac:dyDescent="0.2">
      <c r="B120" s="154"/>
      <c r="C120" s="56"/>
      <c r="D120" s="46" t="s">
        <v>24</v>
      </c>
      <c r="E120" s="49">
        <v>1</v>
      </c>
      <c r="F120" s="46" t="s">
        <v>83</v>
      </c>
      <c r="G120" s="46"/>
      <c r="H120" s="43">
        <v>1200</v>
      </c>
      <c r="I120" s="42" t="s">
        <v>23</v>
      </c>
      <c r="J120" s="42"/>
      <c r="K120" s="87">
        <f t="shared" ref="K120:K122" si="13">SUM(E120*H120)</f>
        <v>1200</v>
      </c>
      <c r="L120" s="42" t="s">
        <v>23</v>
      </c>
      <c r="M120" s="61">
        <v>0.74</v>
      </c>
      <c r="N120" s="34">
        <f>SUM(E120*H120)/M120*262.7</f>
        <v>426000</v>
      </c>
    </row>
    <row r="121" spans="1:14" x14ac:dyDescent="0.2">
      <c r="B121" s="154"/>
      <c r="C121" s="56"/>
      <c r="D121" s="46"/>
      <c r="E121" s="49">
        <v>1</v>
      </c>
      <c r="F121" s="46" t="s">
        <v>69</v>
      </c>
      <c r="G121" s="46"/>
      <c r="H121" s="43">
        <v>300</v>
      </c>
      <c r="I121" s="42" t="s">
        <v>23</v>
      </c>
      <c r="J121" s="42"/>
      <c r="K121" s="87">
        <f t="shared" si="13"/>
        <v>300</v>
      </c>
      <c r="L121" s="42" t="s">
        <v>23</v>
      </c>
      <c r="M121" s="61">
        <v>0.74</v>
      </c>
      <c r="N121" s="34">
        <f t="shared" ref="N121:N122" si="14">SUM(E121*H121)/M121*262.7</f>
        <v>106500</v>
      </c>
    </row>
    <row r="122" spans="1:14" s="70" customFormat="1" ht="12.75" hidden="1" customHeight="1" x14ac:dyDescent="0.2">
      <c r="A122" s="316"/>
      <c r="B122" s="154"/>
      <c r="C122" s="154"/>
      <c r="D122" s="90"/>
      <c r="E122" s="89">
        <v>0</v>
      </c>
      <c r="F122" s="46" t="s">
        <v>88</v>
      </c>
      <c r="G122" s="90"/>
      <c r="H122" s="87">
        <v>800</v>
      </c>
      <c r="I122" s="90" t="s">
        <v>23</v>
      </c>
      <c r="J122" s="90"/>
      <c r="K122" s="87">
        <f t="shared" si="13"/>
        <v>0</v>
      </c>
      <c r="L122" s="90" t="s">
        <v>23</v>
      </c>
      <c r="M122" s="91">
        <v>0.74</v>
      </c>
      <c r="N122" s="34">
        <f t="shared" si="14"/>
        <v>0</v>
      </c>
    </row>
    <row r="123" spans="1:14" ht="6" customHeight="1" x14ac:dyDescent="0.2">
      <c r="B123" s="157"/>
      <c r="C123" s="73"/>
      <c r="D123" s="326"/>
      <c r="E123" s="326"/>
      <c r="F123" s="326"/>
      <c r="G123" s="326"/>
      <c r="H123" s="326"/>
      <c r="I123" s="326"/>
      <c r="J123" s="326"/>
      <c r="K123" s="275"/>
      <c r="L123" s="326"/>
      <c r="M123" s="326"/>
      <c r="N123" s="33"/>
    </row>
    <row r="124" spans="1:14" x14ac:dyDescent="0.2">
      <c r="B124" s="154"/>
      <c r="C124" s="56" t="s">
        <v>80</v>
      </c>
      <c r="D124" s="46" t="s">
        <v>41</v>
      </c>
      <c r="E124" s="46"/>
      <c r="F124" s="46"/>
      <c r="G124" s="46"/>
      <c r="H124" s="57"/>
      <c r="I124" s="46"/>
      <c r="J124" s="46"/>
      <c r="K124" s="45">
        <v>201357</v>
      </c>
      <c r="L124" s="42" t="s">
        <v>23</v>
      </c>
      <c r="M124" s="46"/>
      <c r="N124" s="47"/>
    </row>
    <row r="125" spans="1:14" ht="30.75" customHeight="1" x14ac:dyDescent="0.2">
      <c r="B125" s="154"/>
      <c r="C125" s="56"/>
      <c r="D125" s="345" t="s">
        <v>85</v>
      </c>
      <c r="E125" s="345"/>
      <c r="F125" s="345"/>
      <c r="G125" s="345"/>
      <c r="H125" s="345"/>
      <c r="I125" s="345"/>
      <c r="J125" s="345"/>
      <c r="K125" s="345"/>
      <c r="L125" s="345"/>
      <c r="M125" s="46"/>
      <c r="N125" s="47">
        <f>3057950*1.2</f>
        <v>3669540</v>
      </c>
    </row>
    <row r="126" spans="1:14" s="24" customFormat="1" ht="25.5" x14ac:dyDescent="0.2">
      <c r="A126" s="280"/>
      <c r="B126" s="154"/>
      <c r="C126" s="154"/>
      <c r="D126" s="92" t="s">
        <v>24</v>
      </c>
      <c r="E126" s="253">
        <v>3</v>
      </c>
      <c r="F126" s="25" t="s">
        <v>89</v>
      </c>
      <c r="G126" s="25"/>
      <c r="H126" s="37">
        <v>375</v>
      </c>
      <c r="I126" s="25" t="s">
        <v>23</v>
      </c>
      <c r="J126" s="25"/>
      <c r="K126" s="37">
        <f>SUM(E126*H126)</f>
        <v>1125</v>
      </c>
      <c r="L126" s="25" t="s">
        <v>23</v>
      </c>
      <c r="M126" s="36">
        <v>0.68</v>
      </c>
      <c r="N126" s="34">
        <f t="shared" ref="N126:N127" si="15">SUM(E126*H126)/M126*274.69</f>
        <v>454450.3676470588</v>
      </c>
    </row>
    <row r="127" spans="1:14" s="70" customFormat="1" x14ac:dyDescent="0.2">
      <c r="A127" s="316"/>
      <c r="B127" s="154"/>
      <c r="C127" s="154"/>
      <c r="D127" s="25"/>
      <c r="E127" s="253">
        <v>5</v>
      </c>
      <c r="F127" s="25" t="s">
        <v>91</v>
      </c>
      <c r="G127" s="25"/>
      <c r="H127" s="37">
        <v>1000</v>
      </c>
      <c r="I127" s="25" t="s">
        <v>23</v>
      </c>
      <c r="J127" s="25"/>
      <c r="K127" s="37">
        <f>SUM(E127*H127)</f>
        <v>5000</v>
      </c>
      <c r="L127" s="25" t="s">
        <v>23</v>
      </c>
      <c r="M127" s="36">
        <v>0.68</v>
      </c>
      <c r="N127" s="34">
        <f t="shared" si="15"/>
        <v>2019779.4117647056</v>
      </c>
    </row>
    <row r="128" spans="1:14" s="155" customFormat="1" ht="6" customHeight="1" x14ac:dyDescent="0.2">
      <c r="B128" s="157"/>
      <c r="C128" s="73"/>
      <c r="D128" s="326"/>
      <c r="E128" s="326"/>
      <c r="F128" s="326"/>
      <c r="G128" s="326"/>
      <c r="H128" s="326"/>
      <c r="I128" s="326"/>
      <c r="J128" s="326"/>
      <c r="K128" s="275"/>
      <c r="L128" s="326"/>
      <c r="M128" s="326"/>
      <c r="N128" s="33"/>
    </row>
    <row r="129" spans="1:14" x14ac:dyDescent="0.2">
      <c r="B129" s="154"/>
      <c r="C129" s="56" t="s">
        <v>126</v>
      </c>
      <c r="D129" s="46" t="s">
        <v>132</v>
      </c>
      <c r="E129" s="46"/>
      <c r="F129" s="46"/>
      <c r="G129" s="46"/>
      <c r="H129" s="341">
        <v>2005</v>
      </c>
      <c r="I129" s="341"/>
      <c r="J129" s="46"/>
      <c r="K129" s="45">
        <v>67036</v>
      </c>
      <c r="L129" s="42" t="s">
        <v>23</v>
      </c>
      <c r="M129" s="46"/>
      <c r="N129" s="47"/>
    </row>
    <row r="130" spans="1:14" ht="30.6" customHeight="1" x14ac:dyDescent="0.2">
      <c r="B130" s="154"/>
      <c r="C130" s="56"/>
      <c r="D130" s="331" t="s">
        <v>259</v>
      </c>
      <c r="E130" s="331"/>
      <c r="F130" s="331"/>
      <c r="G130" s="331"/>
      <c r="H130" s="331"/>
      <c r="I130" s="331"/>
      <c r="J130" s="331"/>
      <c r="K130" s="331"/>
      <c r="L130" s="331"/>
      <c r="M130" s="46"/>
      <c r="N130" s="84">
        <f>K129*47.5+K129*6.47</f>
        <v>3617932.92</v>
      </c>
    </row>
    <row r="131" spans="1:14" ht="6" customHeight="1" x14ac:dyDescent="0.2">
      <c r="B131" s="154"/>
      <c r="C131" s="56"/>
      <c r="D131" s="329"/>
      <c r="E131" s="329"/>
      <c r="F131" s="329"/>
      <c r="G131" s="329"/>
      <c r="H131" s="329"/>
      <c r="I131" s="329"/>
      <c r="J131" s="329"/>
      <c r="K131" s="329"/>
      <c r="L131" s="329"/>
      <c r="M131" s="46"/>
      <c r="N131" s="84"/>
    </row>
    <row r="132" spans="1:14" x14ac:dyDescent="0.2">
      <c r="B132" s="154"/>
      <c r="C132" s="56" t="s">
        <v>129</v>
      </c>
      <c r="D132" s="46" t="s">
        <v>146</v>
      </c>
      <c r="E132" s="46"/>
      <c r="F132" s="46"/>
      <c r="G132" s="46"/>
      <c r="H132" s="57"/>
      <c r="I132" s="324" t="s">
        <v>269</v>
      </c>
      <c r="J132" s="46"/>
      <c r="K132" s="45">
        <v>55386</v>
      </c>
      <c r="L132" s="42" t="s">
        <v>23</v>
      </c>
      <c r="M132" s="46"/>
      <c r="N132" s="47"/>
    </row>
    <row r="133" spans="1:14" ht="30.6" customHeight="1" x14ac:dyDescent="0.2">
      <c r="B133" s="154"/>
      <c r="C133" s="56"/>
      <c r="D133" s="331" t="s">
        <v>258</v>
      </c>
      <c r="E133" s="331"/>
      <c r="F133" s="331"/>
      <c r="G133" s="331"/>
      <c r="H133" s="331"/>
      <c r="I133" s="331"/>
      <c r="J133" s="331"/>
      <c r="K133" s="331"/>
      <c r="L133" s="331"/>
      <c r="M133" s="46"/>
      <c r="N133" s="84">
        <f>K132*47.5+K132*6.47</f>
        <v>2989182.42</v>
      </c>
    </row>
    <row r="134" spans="1:14" s="24" customFormat="1" ht="25.5" x14ac:dyDescent="0.2">
      <c r="A134" s="280"/>
      <c r="B134" s="154"/>
      <c r="C134" s="154"/>
      <c r="D134" s="92" t="s">
        <v>24</v>
      </c>
      <c r="E134" s="253">
        <v>4</v>
      </c>
      <c r="F134" s="25" t="s">
        <v>88</v>
      </c>
      <c r="G134" s="25"/>
      <c r="H134" s="37">
        <v>800</v>
      </c>
      <c r="I134" s="50" t="s">
        <v>23</v>
      </c>
      <c r="J134" s="325"/>
      <c r="K134" s="37">
        <f>SUM(E134*H134)</f>
        <v>3200</v>
      </c>
      <c r="L134" s="50" t="s">
        <v>23</v>
      </c>
      <c r="M134" s="36">
        <v>0.74</v>
      </c>
      <c r="N134" s="34">
        <f>SUM(E134*H134)/M134*262.7</f>
        <v>1136000</v>
      </c>
    </row>
    <row r="135" spans="1:14" ht="6" customHeight="1" x14ac:dyDescent="0.2">
      <c r="B135" s="157"/>
      <c r="C135" s="73"/>
      <c r="D135" s="326"/>
      <c r="E135" s="326"/>
      <c r="F135" s="326"/>
      <c r="G135" s="326"/>
      <c r="H135" s="326"/>
      <c r="I135" s="326"/>
      <c r="J135" s="326"/>
      <c r="K135" s="326"/>
      <c r="L135" s="326"/>
      <c r="M135" s="326"/>
      <c r="N135" s="33"/>
    </row>
    <row r="136" spans="1:14" x14ac:dyDescent="0.2">
      <c r="B136" s="154"/>
      <c r="C136" s="56" t="s">
        <v>153</v>
      </c>
      <c r="D136" s="46" t="s">
        <v>47</v>
      </c>
      <c r="E136" s="46"/>
      <c r="F136" s="46"/>
      <c r="G136" s="46"/>
      <c r="H136" s="57"/>
      <c r="I136" s="46">
        <v>2009</v>
      </c>
      <c r="J136" s="46"/>
      <c r="K136" s="45">
        <v>73400</v>
      </c>
      <c r="L136" s="42" t="s">
        <v>23</v>
      </c>
      <c r="M136" s="46"/>
      <c r="N136" s="47"/>
    </row>
    <row r="137" spans="1:14" ht="30.6" customHeight="1" x14ac:dyDescent="0.2">
      <c r="B137" s="154"/>
      <c r="C137" s="56"/>
      <c r="D137" s="331" t="s">
        <v>258</v>
      </c>
      <c r="E137" s="331"/>
      <c r="F137" s="331"/>
      <c r="G137" s="331"/>
      <c r="H137" s="331"/>
      <c r="I137" s="331"/>
      <c r="J137" s="331"/>
      <c r="K137" s="331"/>
      <c r="L137" s="331"/>
      <c r="M137" s="46"/>
      <c r="N137" s="84">
        <f>K136*47.5+K136*6.47</f>
        <v>3961398</v>
      </c>
    </row>
    <row r="138" spans="1:14" s="24" customFormat="1" ht="25.5" hidden="1" x14ac:dyDescent="0.2">
      <c r="A138" s="280"/>
      <c r="B138" s="154"/>
      <c r="C138" s="154"/>
      <c r="D138" s="92" t="s">
        <v>24</v>
      </c>
      <c r="E138" s="253">
        <v>0</v>
      </c>
      <c r="F138" s="25" t="s">
        <v>88</v>
      </c>
      <c r="G138" s="25"/>
      <c r="H138" s="37">
        <v>750</v>
      </c>
      <c r="I138" s="50" t="s">
        <v>23</v>
      </c>
      <c r="J138" s="325"/>
      <c r="K138" s="37">
        <f>SUM(E138*H138)</f>
        <v>0</v>
      </c>
      <c r="L138" s="50" t="s">
        <v>23</v>
      </c>
      <c r="M138" s="36">
        <v>0.71</v>
      </c>
      <c r="N138" s="34">
        <f>SUM(E138*H138)/M138*265.78</f>
        <v>0</v>
      </c>
    </row>
    <row r="139" spans="1:14" ht="6" customHeight="1" x14ac:dyDescent="0.2">
      <c r="B139" s="157"/>
      <c r="C139" s="73"/>
      <c r="D139" s="326"/>
      <c r="E139" s="326"/>
      <c r="F139" s="326"/>
      <c r="G139" s="326"/>
      <c r="H139" s="326"/>
      <c r="I139" s="326"/>
      <c r="J139" s="326"/>
      <c r="K139" s="326"/>
      <c r="L139" s="326"/>
      <c r="M139" s="326"/>
      <c r="N139" s="33"/>
    </row>
    <row r="140" spans="1:14" x14ac:dyDescent="0.2">
      <c r="B140" s="154"/>
      <c r="C140" s="56" t="s">
        <v>130</v>
      </c>
      <c r="D140" s="46" t="s">
        <v>42</v>
      </c>
      <c r="E140" s="46"/>
      <c r="F140" s="46"/>
      <c r="G140" s="46"/>
      <c r="H140" s="57"/>
      <c r="I140" s="46">
        <v>2001</v>
      </c>
      <c r="J140" s="46"/>
      <c r="K140" s="45">
        <v>230000</v>
      </c>
      <c r="L140" s="42" t="s">
        <v>23</v>
      </c>
      <c r="M140" s="46"/>
      <c r="N140" s="47"/>
    </row>
    <row r="141" spans="1:14" ht="30.6" customHeight="1" x14ac:dyDescent="0.2">
      <c r="B141" s="154"/>
      <c r="C141" s="56"/>
      <c r="D141" s="331" t="s">
        <v>258</v>
      </c>
      <c r="E141" s="331"/>
      <c r="F141" s="331"/>
      <c r="G141" s="331"/>
      <c r="H141" s="331"/>
      <c r="I141" s="331"/>
      <c r="J141" s="331"/>
      <c r="K141" s="331"/>
      <c r="L141" s="331"/>
      <c r="M141" s="46"/>
      <c r="N141" s="84">
        <f>K140*47.5+K140*6.47</f>
        <v>12413100</v>
      </c>
    </row>
    <row r="142" spans="1:14" s="24" customFormat="1" ht="25.5" hidden="1" x14ac:dyDescent="0.2">
      <c r="A142" s="280"/>
      <c r="B142" s="154"/>
      <c r="C142" s="154"/>
      <c r="D142" s="92" t="s">
        <v>24</v>
      </c>
      <c r="E142" s="253">
        <v>0</v>
      </c>
      <c r="F142" s="25" t="s">
        <v>88</v>
      </c>
      <c r="G142" s="25"/>
      <c r="H142" s="37">
        <v>750</v>
      </c>
      <c r="I142" s="50" t="s">
        <v>23</v>
      </c>
      <c r="J142" s="325"/>
      <c r="K142" s="37">
        <f>SUM(E142*H142)</f>
        <v>0</v>
      </c>
      <c r="L142" s="50" t="s">
        <v>23</v>
      </c>
      <c r="M142" s="36">
        <v>0.68</v>
      </c>
      <c r="N142" s="34">
        <f>SUM(E142*H142)/M142*274.69</f>
        <v>0</v>
      </c>
    </row>
    <row r="143" spans="1:14" s="24" customFormat="1" ht="5.25" customHeight="1" x14ac:dyDescent="0.2">
      <c r="A143" s="280"/>
      <c r="B143" s="154"/>
      <c r="C143" s="154"/>
      <c r="D143" s="92"/>
      <c r="E143" s="35"/>
      <c r="F143" s="35"/>
      <c r="G143" s="35"/>
      <c r="H143" s="35"/>
      <c r="I143" s="35"/>
      <c r="J143" s="35"/>
      <c r="K143" s="35"/>
      <c r="L143" s="35"/>
      <c r="M143" s="36"/>
      <c r="N143" s="34"/>
    </row>
    <row r="144" spans="1:14" ht="14.25" x14ac:dyDescent="0.2">
      <c r="B144" s="313" t="s">
        <v>27</v>
      </c>
      <c r="C144" s="314"/>
      <c r="D144" s="31"/>
      <c r="E144" s="31"/>
      <c r="F144" s="31"/>
      <c r="G144" s="31"/>
      <c r="H144" s="31"/>
      <c r="I144" s="31"/>
      <c r="J144" s="31"/>
      <c r="K144" s="31"/>
      <c r="L144" s="31"/>
      <c r="M144" s="31"/>
      <c r="N144" s="32"/>
    </row>
    <row r="145" spans="1:14" ht="5.25" customHeight="1" x14ac:dyDescent="0.2">
      <c r="B145" s="74"/>
      <c r="C145" s="74"/>
      <c r="D145" s="326"/>
      <c r="E145" s="326"/>
      <c r="F145" s="326"/>
      <c r="G145" s="326"/>
      <c r="H145" s="326"/>
      <c r="I145" s="326"/>
      <c r="J145" s="326"/>
      <c r="K145" s="326"/>
      <c r="L145" s="326"/>
      <c r="M145" s="326"/>
      <c r="N145" s="33"/>
    </row>
    <row r="146" spans="1:14" x14ac:dyDescent="0.2">
      <c r="B146" s="164" t="s">
        <v>3</v>
      </c>
      <c r="C146" s="318" t="s">
        <v>30</v>
      </c>
      <c r="D146" s="25"/>
      <c r="E146" s="25"/>
      <c r="F146" s="25"/>
      <c r="G146" s="25"/>
      <c r="H146" s="25"/>
      <c r="I146" s="25"/>
      <c r="J146" s="25"/>
      <c r="K146" s="25"/>
      <c r="L146" s="25"/>
      <c r="M146" s="25"/>
      <c r="N146" s="34"/>
    </row>
    <row r="147" spans="1:14" ht="6" customHeight="1" x14ac:dyDescent="0.2">
      <c r="B147" s="157"/>
      <c r="C147" s="73"/>
      <c r="D147" s="326"/>
      <c r="E147" s="326"/>
      <c r="F147" s="326"/>
      <c r="G147" s="326"/>
      <c r="H147" s="326"/>
      <c r="I147" s="326"/>
      <c r="J147" s="326"/>
      <c r="K147" s="326"/>
      <c r="L147" s="326"/>
      <c r="M147" s="326"/>
      <c r="N147" s="33"/>
    </row>
    <row r="148" spans="1:14" x14ac:dyDescent="0.2">
      <c r="B148" s="154"/>
      <c r="C148" s="114" t="s">
        <v>0</v>
      </c>
      <c r="D148" s="115" t="s">
        <v>155</v>
      </c>
      <c r="E148" s="115"/>
      <c r="F148" s="115"/>
      <c r="G148" s="115"/>
      <c r="H148" s="115"/>
      <c r="I148" s="115"/>
      <c r="J148" s="115"/>
      <c r="K148" s="116">
        <v>15000</v>
      </c>
      <c r="L148" s="115" t="s">
        <v>23</v>
      </c>
      <c r="M148" s="117"/>
      <c r="N148" s="123"/>
    </row>
    <row r="149" spans="1:14" x14ac:dyDescent="0.2">
      <c r="B149" s="154"/>
      <c r="C149" s="129"/>
      <c r="D149" s="342" t="s">
        <v>156</v>
      </c>
      <c r="E149" s="342"/>
      <c r="F149" s="342"/>
      <c r="G149" s="342"/>
      <c r="H149" s="342"/>
      <c r="I149" s="342"/>
      <c r="J149" s="342"/>
      <c r="K149" s="342"/>
      <c r="L149" s="342"/>
      <c r="M149" s="130"/>
      <c r="N149" s="124">
        <f>K148*222.39</f>
        <v>3335850</v>
      </c>
    </row>
    <row r="150" spans="1:14" ht="6" customHeight="1" x14ac:dyDescent="0.2">
      <c r="B150" s="154"/>
      <c r="C150" s="129"/>
      <c r="D150" s="327"/>
      <c r="E150" s="327"/>
      <c r="F150" s="327"/>
      <c r="G150" s="327"/>
      <c r="H150" s="327"/>
      <c r="I150" s="327"/>
      <c r="J150" s="327"/>
      <c r="K150" s="327"/>
      <c r="L150" s="327"/>
      <c r="M150" s="130"/>
      <c r="N150" s="124"/>
    </row>
    <row r="151" spans="1:14" x14ac:dyDescent="0.2">
      <c r="B151" s="154"/>
      <c r="C151" s="114" t="s">
        <v>1</v>
      </c>
      <c r="D151" s="115" t="s">
        <v>75</v>
      </c>
      <c r="E151" s="115"/>
      <c r="F151" s="115"/>
      <c r="G151" s="115"/>
      <c r="H151" s="115"/>
      <c r="I151" s="115"/>
      <c r="J151" s="115"/>
      <c r="K151" s="116">
        <v>38335</v>
      </c>
      <c r="L151" s="115" t="s">
        <v>23</v>
      </c>
      <c r="M151" s="117"/>
      <c r="N151" s="118"/>
    </row>
    <row r="152" spans="1:14" ht="15.75" customHeight="1" x14ac:dyDescent="0.2">
      <c r="B152" s="154"/>
      <c r="C152" s="114"/>
      <c r="D152" s="343" t="s">
        <v>101</v>
      </c>
      <c r="E152" s="343"/>
      <c r="F152" s="343"/>
      <c r="G152" s="343"/>
      <c r="H152" s="343"/>
      <c r="I152" s="343"/>
      <c r="J152" s="343"/>
      <c r="K152" s="343"/>
      <c r="L152" s="343"/>
      <c r="M152" s="119"/>
      <c r="N152" s="120">
        <f>1358207*1.2</f>
        <v>1629848.4</v>
      </c>
    </row>
    <row r="153" spans="1:14" ht="6" customHeight="1" x14ac:dyDescent="0.2">
      <c r="B153" s="157"/>
      <c r="C153" s="111"/>
      <c r="D153" s="103"/>
      <c r="E153" s="103"/>
      <c r="F153" s="103"/>
      <c r="G153" s="103"/>
      <c r="H153" s="103"/>
      <c r="I153" s="103"/>
      <c r="J153" s="103"/>
      <c r="K153" s="103"/>
      <c r="L153" s="103"/>
      <c r="M153" s="103"/>
      <c r="N153" s="110"/>
    </row>
    <row r="154" spans="1:14" s="95" customFormat="1" x14ac:dyDescent="0.2">
      <c r="A154" s="319"/>
      <c r="B154" s="320"/>
      <c r="C154" s="114" t="s">
        <v>2</v>
      </c>
      <c r="D154" s="115" t="s">
        <v>262</v>
      </c>
      <c r="E154" s="115"/>
      <c r="F154" s="115"/>
      <c r="G154" s="115"/>
      <c r="H154" s="115"/>
      <c r="I154" s="115"/>
      <c r="J154" s="115"/>
      <c r="K154" s="116">
        <v>25583</v>
      </c>
      <c r="L154" s="115" t="s">
        <v>23</v>
      </c>
      <c r="M154" s="117"/>
      <c r="N154" s="123"/>
    </row>
    <row r="155" spans="1:14" s="95" customFormat="1" ht="27.75" customHeight="1" x14ac:dyDescent="0.2">
      <c r="A155" s="319"/>
      <c r="B155" s="320"/>
      <c r="C155" s="107"/>
      <c r="D155" s="344" t="s">
        <v>79</v>
      </c>
      <c r="E155" s="344"/>
      <c r="F155" s="344"/>
      <c r="G155" s="344"/>
      <c r="H155" s="344"/>
      <c r="I155" s="344"/>
      <c r="J155" s="344"/>
      <c r="K155" s="344"/>
      <c r="L155" s="344"/>
      <c r="M155" s="107"/>
      <c r="N155" s="124">
        <f>1812808*1.2</f>
        <v>2175369.6</v>
      </c>
    </row>
    <row r="156" spans="1:14" s="95" customFormat="1" ht="5.25" customHeight="1" x14ac:dyDescent="0.2">
      <c r="A156" s="319"/>
      <c r="B156" s="320"/>
      <c r="C156" s="262"/>
      <c r="D156" s="113"/>
      <c r="E156" s="113"/>
      <c r="F156" s="113"/>
      <c r="G156" s="113"/>
      <c r="H156" s="113"/>
      <c r="I156" s="113"/>
      <c r="J156" s="113"/>
      <c r="K156" s="113"/>
      <c r="L156" s="113"/>
      <c r="M156" s="113"/>
      <c r="N156" s="112"/>
    </row>
    <row r="157" spans="1:14" x14ac:dyDescent="0.2">
      <c r="B157" s="154"/>
      <c r="C157" s="114" t="s">
        <v>3</v>
      </c>
      <c r="D157" s="115" t="s">
        <v>260</v>
      </c>
      <c r="E157" s="115"/>
      <c r="F157" s="115"/>
      <c r="G157" s="115"/>
      <c r="H157" s="115"/>
      <c r="I157" s="115"/>
      <c r="J157" s="115"/>
      <c r="K157" s="116">
        <v>23800</v>
      </c>
      <c r="L157" s="115" t="s">
        <v>23</v>
      </c>
      <c r="M157" s="117"/>
      <c r="N157" s="123"/>
    </row>
    <row r="158" spans="1:14" ht="30" customHeight="1" x14ac:dyDescent="0.2">
      <c r="B158" s="154"/>
      <c r="C158" s="114"/>
      <c r="D158" s="342" t="s">
        <v>77</v>
      </c>
      <c r="E158" s="342"/>
      <c r="F158" s="342"/>
      <c r="G158" s="342"/>
      <c r="H158" s="342"/>
      <c r="I158" s="342"/>
      <c r="J158" s="342"/>
      <c r="K158" s="342"/>
      <c r="L158" s="342"/>
      <c r="M158" s="127"/>
      <c r="N158" s="128">
        <f>1264849*1.2</f>
        <v>1517818.8</v>
      </c>
    </row>
    <row r="159" spans="1:14" ht="6" customHeight="1" x14ac:dyDescent="0.2">
      <c r="B159" s="157"/>
      <c r="C159" s="111"/>
      <c r="D159" s="103"/>
      <c r="E159" s="103"/>
      <c r="F159" s="103"/>
      <c r="G159" s="103"/>
      <c r="H159" s="103"/>
      <c r="I159" s="103"/>
      <c r="J159" s="103"/>
      <c r="K159" s="103"/>
      <c r="L159" s="103"/>
      <c r="M159" s="103"/>
      <c r="N159" s="110"/>
    </row>
    <row r="160" spans="1:14" x14ac:dyDescent="0.2">
      <c r="B160" s="154"/>
      <c r="C160" s="114" t="s">
        <v>4</v>
      </c>
      <c r="D160" s="115" t="s">
        <v>161</v>
      </c>
      <c r="E160" s="115"/>
      <c r="F160" s="115"/>
      <c r="G160" s="115"/>
      <c r="H160" s="115"/>
      <c r="I160" s="115"/>
      <c r="J160" s="115"/>
      <c r="K160" s="116">
        <v>7395</v>
      </c>
      <c r="L160" s="115" t="s">
        <v>23</v>
      </c>
      <c r="M160" s="117"/>
      <c r="N160" s="123"/>
    </row>
    <row r="161" spans="1:14" ht="27" customHeight="1" x14ac:dyDescent="0.2">
      <c r="B161" s="154"/>
      <c r="C161" s="129"/>
      <c r="D161" s="342" t="s">
        <v>77</v>
      </c>
      <c r="E161" s="342"/>
      <c r="F161" s="342"/>
      <c r="G161" s="342"/>
      <c r="H161" s="342"/>
      <c r="I161" s="342"/>
      <c r="J161" s="342"/>
      <c r="K161" s="342"/>
      <c r="L161" s="342"/>
      <c r="M161" s="130"/>
      <c r="N161" s="124">
        <f>524009*1.2</f>
        <v>628810.79999999993</v>
      </c>
    </row>
    <row r="162" spans="1:14" ht="6" customHeight="1" x14ac:dyDescent="0.2">
      <c r="B162" s="157"/>
      <c r="C162" s="111"/>
      <c r="D162" s="103"/>
      <c r="E162" s="103"/>
      <c r="F162" s="103"/>
      <c r="G162" s="103"/>
      <c r="H162" s="103"/>
      <c r="I162" s="103"/>
      <c r="J162" s="103"/>
      <c r="K162" s="103"/>
      <c r="L162" s="103"/>
      <c r="M162" s="103"/>
      <c r="N162" s="110"/>
    </row>
    <row r="163" spans="1:14" x14ac:dyDescent="0.2">
      <c r="B163" s="154"/>
      <c r="C163" s="114" t="s">
        <v>86</v>
      </c>
      <c r="D163" s="115" t="s">
        <v>261</v>
      </c>
      <c r="E163" s="115"/>
      <c r="F163" s="115"/>
      <c r="G163" s="115"/>
      <c r="H163" s="115"/>
      <c r="I163" s="115"/>
      <c r="J163" s="115"/>
      <c r="K163" s="116">
        <v>50000</v>
      </c>
      <c r="L163" s="115" t="s">
        <v>23</v>
      </c>
      <c r="M163" s="117"/>
      <c r="N163" s="123"/>
    </row>
    <row r="164" spans="1:14" ht="13.15" customHeight="1" x14ac:dyDescent="0.2">
      <c r="B164" s="154"/>
      <c r="C164" s="129"/>
      <c r="D164" s="342" t="s">
        <v>163</v>
      </c>
      <c r="E164" s="342"/>
      <c r="F164" s="342"/>
      <c r="G164" s="342"/>
      <c r="H164" s="342"/>
      <c r="I164" s="342"/>
      <c r="J164" s="342"/>
      <c r="K164" s="342"/>
      <c r="L164" s="342"/>
      <c r="M164" s="130"/>
      <c r="N164" s="124">
        <f>K163*147.21</f>
        <v>7360500</v>
      </c>
    </row>
    <row r="165" spans="1:14" ht="6" customHeight="1" thickBot="1" x14ac:dyDescent="0.25">
      <c r="B165" s="157"/>
      <c r="C165" s="73"/>
      <c r="D165" s="326"/>
      <c r="E165" s="326"/>
      <c r="F165" s="326"/>
      <c r="G165" s="326"/>
      <c r="H165" s="326"/>
      <c r="I165" s="326"/>
      <c r="J165" s="326"/>
      <c r="K165" s="326"/>
      <c r="L165" s="326"/>
      <c r="M165" s="326"/>
      <c r="N165" s="33"/>
    </row>
    <row r="166" spans="1:14" ht="13.5" thickBot="1" x14ac:dyDescent="0.25">
      <c r="B166" s="321" t="s">
        <v>33</v>
      </c>
      <c r="C166" s="322"/>
      <c r="D166" s="38"/>
      <c r="E166" s="38"/>
      <c r="F166" s="38"/>
      <c r="G166" s="38"/>
      <c r="H166" s="38"/>
      <c r="I166" s="38"/>
      <c r="J166" s="38"/>
      <c r="K166" s="38"/>
      <c r="L166" s="38"/>
      <c r="M166" s="38"/>
      <c r="N166" s="141">
        <f>SUM(N48:N165)</f>
        <v>259178702.35754928</v>
      </c>
    </row>
    <row r="167" spans="1:14" ht="5.25" customHeight="1" x14ac:dyDescent="0.2">
      <c r="B167" s="74"/>
      <c r="C167" s="74"/>
      <c r="D167" s="326"/>
      <c r="E167" s="326"/>
      <c r="F167" s="326"/>
      <c r="G167" s="326"/>
      <c r="H167" s="326"/>
      <c r="I167" s="326"/>
      <c r="J167" s="326"/>
      <c r="K167" s="326"/>
      <c r="L167" s="326"/>
      <c r="M167" s="326"/>
      <c r="N167" s="33"/>
    </row>
    <row r="168" spans="1:14" x14ac:dyDescent="0.2">
      <c r="B168" s="164" t="s">
        <v>4</v>
      </c>
      <c r="C168" s="318" t="s">
        <v>31</v>
      </c>
      <c r="D168" s="25"/>
      <c r="E168" s="25"/>
      <c r="F168" s="25"/>
      <c r="G168" s="25"/>
      <c r="H168" s="25"/>
      <c r="I168" s="25"/>
      <c r="J168" s="25"/>
      <c r="K168" s="25"/>
      <c r="L168" s="25"/>
      <c r="M168" s="25"/>
      <c r="N168" s="34"/>
    </row>
    <row r="169" spans="1:14" x14ac:dyDescent="0.2">
      <c r="B169" s="154"/>
      <c r="C169" s="315" t="s">
        <v>28</v>
      </c>
      <c r="D169" s="25"/>
      <c r="E169" s="25"/>
      <c r="F169" s="25"/>
      <c r="G169" s="25"/>
      <c r="H169" s="25"/>
      <c r="I169" s="25"/>
      <c r="J169" s="25"/>
      <c r="K169" s="25"/>
      <c r="L169" s="25"/>
      <c r="M169" s="25"/>
      <c r="N169" s="34"/>
    </row>
    <row r="170" spans="1:14" ht="6" customHeight="1" x14ac:dyDescent="0.2">
      <c r="B170" s="157"/>
      <c r="C170" s="73"/>
      <c r="D170" s="326"/>
      <c r="E170" s="326"/>
      <c r="F170" s="326"/>
      <c r="G170" s="326"/>
      <c r="H170" s="326"/>
      <c r="I170" s="326"/>
      <c r="J170" s="326"/>
      <c r="K170" s="326"/>
      <c r="L170" s="326"/>
      <c r="M170" s="326"/>
      <c r="N170" s="33"/>
    </row>
    <row r="171" spans="1:14" s="21" customFormat="1" x14ac:dyDescent="0.2">
      <c r="A171" s="323"/>
      <c r="B171" s="163"/>
      <c r="C171" s="52" t="s">
        <v>0</v>
      </c>
      <c r="D171" s="53" t="s">
        <v>72</v>
      </c>
      <c r="E171" s="50"/>
      <c r="F171" s="50"/>
      <c r="G171" s="50"/>
      <c r="H171" s="51"/>
      <c r="I171" s="50"/>
      <c r="J171" s="50"/>
      <c r="K171" s="51">
        <v>16000</v>
      </c>
      <c r="L171" s="50" t="s">
        <v>23</v>
      </c>
      <c r="M171" s="50"/>
      <c r="N171" s="54"/>
    </row>
    <row r="172" spans="1:14" s="21" customFormat="1" ht="13.15" customHeight="1" x14ac:dyDescent="0.2">
      <c r="A172" s="323"/>
      <c r="B172" s="163"/>
      <c r="C172" s="52"/>
      <c r="D172" s="55" t="s">
        <v>73</v>
      </c>
      <c r="E172" s="163"/>
      <c r="F172" s="76"/>
      <c r="G172" s="76"/>
      <c r="H172" s="76"/>
      <c r="I172" s="76"/>
      <c r="J172" s="76"/>
      <c r="K172" s="51"/>
      <c r="L172" s="50"/>
      <c r="M172" s="50"/>
      <c r="N172" s="54">
        <f>K171*350</f>
        <v>5600000</v>
      </c>
    </row>
    <row r="173" spans="1:14" ht="6" customHeight="1" x14ac:dyDescent="0.2">
      <c r="B173" s="157"/>
      <c r="C173" s="73"/>
      <c r="D173" s="326"/>
      <c r="E173" s="326"/>
      <c r="F173" s="326"/>
      <c r="G173" s="326"/>
      <c r="H173" s="326"/>
      <c r="I173" s="326"/>
      <c r="J173" s="326"/>
      <c r="K173" s="326"/>
      <c r="L173" s="326"/>
      <c r="M173" s="326"/>
      <c r="N173" s="33"/>
    </row>
    <row r="174" spans="1:14" x14ac:dyDescent="0.2">
      <c r="C174" s="52" t="s">
        <v>1</v>
      </c>
      <c r="D174" s="326" t="s">
        <v>40</v>
      </c>
      <c r="K174" s="51">
        <v>30000</v>
      </c>
      <c r="L174" s="50" t="s">
        <v>23</v>
      </c>
      <c r="N174" s="54"/>
    </row>
    <row r="175" spans="1:14" x14ac:dyDescent="0.2">
      <c r="C175" s="52"/>
      <c r="D175" s="326" t="s">
        <v>164</v>
      </c>
      <c r="K175" s="51"/>
      <c r="L175" s="50"/>
      <c r="N175" s="54">
        <f>5550000*1.2</f>
        <v>6660000</v>
      </c>
    </row>
    <row r="176" spans="1:14" ht="6" customHeight="1" x14ac:dyDescent="0.2">
      <c r="B176" s="157"/>
      <c r="C176" s="73"/>
      <c r="D176" s="326"/>
      <c r="E176" s="326"/>
      <c r="F176" s="326"/>
      <c r="G176" s="326"/>
      <c r="H176" s="326"/>
      <c r="I176" s="326"/>
      <c r="J176" s="326"/>
      <c r="K176" s="326"/>
      <c r="L176" s="326"/>
      <c r="M176" s="326"/>
      <c r="N176" s="33"/>
    </row>
    <row r="177" spans="1:14" x14ac:dyDescent="0.2">
      <c r="C177" s="52" t="s">
        <v>2</v>
      </c>
      <c r="D177" s="326" t="s">
        <v>41</v>
      </c>
      <c r="K177" s="51">
        <v>30000</v>
      </c>
      <c r="L177" s="50" t="s">
        <v>23</v>
      </c>
      <c r="N177" s="54"/>
    </row>
    <row r="178" spans="1:14" x14ac:dyDescent="0.2">
      <c r="C178" s="52"/>
      <c r="D178" s="326" t="s">
        <v>164</v>
      </c>
      <c r="K178" s="51"/>
      <c r="L178" s="50"/>
      <c r="N178" s="54">
        <f>5550000*1.2</f>
        <v>6660000</v>
      </c>
    </row>
    <row r="179" spans="1:14" ht="6" customHeight="1" x14ac:dyDescent="0.2">
      <c r="B179" s="157"/>
      <c r="C179" s="73"/>
      <c r="D179" s="326"/>
      <c r="E179" s="326"/>
      <c r="F179" s="326"/>
      <c r="G179" s="326"/>
      <c r="H179" s="326"/>
      <c r="I179" s="326"/>
      <c r="J179" s="326"/>
      <c r="K179" s="326"/>
      <c r="L179" s="326"/>
      <c r="M179" s="326"/>
      <c r="N179" s="33"/>
    </row>
    <row r="180" spans="1:14" x14ac:dyDescent="0.2">
      <c r="C180" s="52" t="s">
        <v>3</v>
      </c>
      <c r="D180" s="326" t="s">
        <v>42</v>
      </c>
      <c r="K180" s="51">
        <v>30000</v>
      </c>
      <c r="L180" s="50" t="s">
        <v>23</v>
      </c>
      <c r="N180" s="54"/>
    </row>
    <row r="181" spans="1:14" x14ac:dyDescent="0.2">
      <c r="C181" s="52"/>
      <c r="D181" s="326" t="s">
        <v>164</v>
      </c>
      <c r="K181" s="51"/>
      <c r="L181" s="50"/>
      <c r="N181" s="54">
        <f>5550000*1.2</f>
        <v>6660000</v>
      </c>
    </row>
    <row r="182" spans="1:14" ht="6" customHeight="1" x14ac:dyDescent="0.2">
      <c r="B182" s="157"/>
      <c r="C182" s="73"/>
      <c r="D182" s="326"/>
      <c r="E182" s="326"/>
      <c r="F182" s="326"/>
      <c r="G182" s="326"/>
      <c r="H182" s="326"/>
      <c r="I182" s="326"/>
      <c r="J182" s="326"/>
      <c r="K182" s="326"/>
      <c r="L182" s="326"/>
      <c r="M182" s="326"/>
      <c r="N182" s="33"/>
    </row>
    <row r="183" spans="1:14" x14ac:dyDescent="0.2">
      <c r="C183" s="52" t="s">
        <v>4</v>
      </c>
      <c r="D183" s="326" t="s">
        <v>40</v>
      </c>
      <c r="E183" s="326"/>
      <c r="F183" s="326"/>
      <c r="G183" s="326"/>
      <c r="H183" s="326"/>
      <c r="I183" s="326"/>
      <c r="J183" s="326"/>
      <c r="K183" s="51"/>
      <c r="L183" s="50"/>
      <c r="M183" s="326"/>
      <c r="N183" s="54"/>
    </row>
    <row r="184" spans="1:14" x14ac:dyDescent="0.2">
      <c r="C184" s="52"/>
      <c r="D184" s="93" t="s">
        <v>178</v>
      </c>
      <c r="F184" s="326"/>
      <c r="G184" s="326"/>
      <c r="H184" s="326"/>
      <c r="I184" s="326"/>
      <c r="J184" s="326"/>
      <c r="K184" s="51"/>
      <c r="L184" s="50"/>
      <c r="M184" s="326"/>
      <c r="N184" s="54">
        <f>140000*1.2</f>
        <v>168000</v>
      </c>
    </row>
    <row r="185" spans="1:14" ht="6" customHeight="1" x14ac:dyDescent="0.2">
      <c r="C185" s="52"/>
      <c r="D185" s="326"/>
      <c r="L185" s="50"/>
      <c r="N185" s="54"/>
    </row>
    <row r="186" spans="1:14" s="21" customFormat="1" x14ac:dyDescent="0.2">
      <c r="A186" s="323"/>
      <c r="B186" s="163"/>
      <c r="C186" s="52" t="s">
        <v>86</v>
      </c>
      <c r="D186" s="326" t="s">
        <v>45</v>
      </c>
      <c r="E186" s="326"/>
      <c r="F186" s="326"/>
      <c r="G186" s="326"/>
      <c r="H186" s="326"/>
      <c r="I186" s="326"/>
      <c r="J186" s="326"/>
      <c r="K186" s="51"/>
      <c r="L186" s="50"/>
      <c r="M186" s="326"/>
      <c r="N186" s="54"/>
    </row>
    <row r="187" spans="1:14" x14ac:dyDescent="0.2">
      <c r="C187" s="52"/>
      <c r="D187" s="326" t="s">
        <v>74</v>
      </c>
      <c r="F187" s="326"/>
      <c r="G187" s="326"/>
      <c r="H187" s="326"/>
      <c r="I187" s="326"/>
      <c r="J187" s="326"/>
      <c r="K187" s="51"/>
      <c r="L187" s="50"/>
      <c r="M187" s="326"/>
      <c r="N187" s="54">
        <f>500000*1.2</f>
        <v>600000</v>
      </c>
    </row>
    <row r="188" spans="1:14" ht="6" customHeight="1" x14ac:dyDescent="0.2">
      <c r="B188" s="157"/>
      <c r="C188" s="73"/>
      <c r="D188" s="326"/>
      <c r="E188" s="326"/>
      <c r="F188" s="326"/>
      <c r="G188" s="326"/>
      <c r="H188" s="326"/>
      <c r="I188" s="326"/>
      <c r="J188" s="326"/>
      <c r="K188" s="326"/>
      <c r="L188" s="326"/>
      <c r="M188" s="326"/>
      <c r="N188" s="33"/>
    </row>
    <row r="189" spans="1:14" x14ac:dyDescent="0.2">
      <c r="B189" s="154"/>
      <c r="C189" s="56" t="s">
        <v>80</v>
      </c>
      <c r="D189" s="46" t="s">
        <v>132</v>
      </c>
      <c r="E189" s="46"/>
      <c r="F189" s="46"/>
      <c r="G189" s="46"/>
      <c r="H189" s="341"/>
      <c r="I189" s="341"/>
      <c r="J189" s="46"/>
      <c r="K189" s="45">
        <v>67036</v>
      </c>
      <c r="L189" s="42" t="s">
        <v>23</v>
      </c>
      <c r="M189" s="46"/>
      <c r="N189" s="47"/>
    </row>
    <row r="190" spans="1:14" s="24" customFormat="1" ht="25.5" x14ac:dyDescent="0.2">
      <c r="A190" s="280"/>
      <c r="B190" s="154"/>
      <c r="C190" s="154"/>
      <c r="D190" s="92" t="s">
        <v>24</v>
      </c>
      <c r="E190" s="253">
        <v>4</v>
      </c>
      <c r="F190" s="25" t="s">
        <v>88</v>
      </c>
      <c r="G190" s="25"/>
      <c r="H190" s="37">
        <v>800</v>
      </c>
      <c r="I190" s="50" t="s">
        <v>23</v>
      </c>
      <c r="J190" s="325"/>
      <c r="K190" s="37">
        <f>SUM(E190*H190)</f>
        <v>3200</v>
      </c>
      <c r="L190" s="50" t="s">
        <v>23</v>
      </c>
      <c r="M190" s="36">
        <v>0.74</v>
      </c>
      <c r="N190" s="34">
        <f>SUM(E190*H190)/M190*262.7</f>
        <v>1136000</v>
      </c>
    </row>
    <row r="191" spans="1:14" ht="6" customHeight="1" x14ac:dyDescent="0.2"/>
    <row r="192" spans="1:14" x14ac:dyDescent="0.2">
      <c r="B192" s="154"/>
      <c r="C192" s="56" t="s">
        <v>126</v>
      </c>
      <c r="D192" s="46" t="s">
        <v>137</v>
      </c>
      <c r="E192" s="46"/>
      <c r="F192" s="46"/>
      <c r="G192" s="46"/>
      <c r="H192" s="57"/>
      <c r="I192" s="46"/>
      <c r="J192" s="46"/>
      <c r="K192" s="45">
        <v>77597</v>
      </c>
      <c r="L192" s="42" t="s">
        <v>23</v>
      </c>
      <c r="M192" s="46"/>
      <c r="N192" s="47"/>
    </row>
    <row r="193" spans="1:14" s="24" customFormat="1" ht="25.5" x14ac:dyDescent="0.2">
      <c r="A193" s="280"/>
      <c r="B193" s="154"/>
      <c r="C193" s="154"/>
      <c r="D193" s="92" t="s">
        <v>24</v>
      </c>
      <c r="E193" s="253">
        <v>4</v>
      </c>
      <c r="F193" s="25" t="s">
        <v>88</v>
      </c>
      <c r="G193" s="25"/>
      <c r="H193" s="37">
        <v>800</v>
      </c>
      <c r="I193" s="50" t="s">
        <v>23</v>
      </c>
      <c r="J193" s="325"/>
      <c r="K193" s="37">
        <f>SUM(E193*H193)</f>
        <v>3200</v>
      </c>
      <c r="L193" s="50" t="s">
        <v>23</v>
      </c>
      <c r="M193" s="36">
        <v>0.74</v>
      </c>
      <c r="N193" s="34">
        <f>SUM(E193*H193)/M193*262.7</f>
        <v>1136000</v>
      </c>
    </row>
    <row r="194" spans="1:14" ht="6" customHeight="1" x14ac:dyDescent="0.2"/>
    <row r="195" spans="1:14" x14ac:dyDescent="0.2">
      <c r="B195" s="154"/>
      <c r="C195" s="56" t="s">
        <v>129</v>
      </c>
      <c r="D195" s="46" t="s">
        <v>144</v>
      </c>
      <c r="E195" s="46"/>
      <c r="F195" s="46"/>
      <c r="G195" s="46"/>
      <c r="H195" s="57"/>
      <c r="I195" s="46"/>
      <c r="J195" s="46"/>
      <c r="K195" s="45">
        <v>78947</v>
      </c>
      <c r="L195" s="42" t="s">
        <v>23</v>
      </c>
      <c r="M195" s="46"/>
      <c r="N195" s="47"/>
    </row>
    <row r="196" spans="1:14" s="24" customFormat="1" ht="25.5" x14ac:dyDescent="0.2">
      <c r="A196" s="280"/>
      <c r="B196" s="154"/>
      <c r="C196" s="154"/>
      <c r="D196" s="92" t="s">
        <v>24</v>
      </c>
      <c r="E196" s="253">
        <v>4</v>
      </c>
      <c r="F196" s="25" t="s">
        <v>88</v>
      </c>
      <c r="G196" s="25"/>
      <c r="H196" s="37">
        <v>800</v>
      </c>
      <c r="I196" s="50" t="s">
        <v>23</v>
      </c>
      <c r="J196" s="325"/>
      <c r="K196" s="37">
        <f>SUM(E196*H196)</f>
        <v>3200</v>
      </c>
      <c r="L196" s="50" t="s">
        <v>23</v>
      </c>
      <c r="M196" s="36">
        <v>0.74</v>
      </c>
      <c r="N196" s="34">
        <f>SUM(E196*H196)/M196*262.7</f>
        <v>1136000</v>
      </c>
    </row>
    <row r="197" spans="1:14" ht="6" customHeight="1" x14ac:dyDescent="0.2">
      <c r="B197" s="157"/>
      <c r="C197" s="73"/>
      <c r="D197" s="326"/>
      <c r="E197" s="326"/>
      <c r="F197" s="326"/>
      <c r="G197" s="326"/>
      <c r="H197" s="326"/>
      <c r="I197" s="326"/>
      <c r="J197" s="326"/>
      <c r="K197" s="326"/>
      <c r="L197" s="326"/>
      <c r="M197" s="326"/>
      <c r="N197" s="33"/>
    </row>
    <row r="198" spans="1:14" x14ac:dyDescent="0.2">
      <c r="B198" s="154"/>
      <c r="C198" s="56" t="s">
        <v>153</v>
      </c>
      <c r="D198" s="46" t="s">
        <v>145</v>
      </c>
      <c r="E198" s="46"/>
      <c r="F198" s="46"/>
      <c r="G198" s="46"/>
      <c r="H198" s="57"/>
      <c r="I198" s="46"/>
      <c r="J198" s="46"/>
      <c r="K198" s="45">
        <v>85978</v>
      </c>
      <c r="L198" s="42" t="s">
        <v>23</v>
      </c>
      <c r="M198" s="46"/>
      <c r="N198" s="47"/>
    </row>
    <row r="199" spans="1:14" s="24" customFormat="1" ht="25.5" x14ac:dyDescent="0.2">
      <c r="A199" s="280"/>
      <c r="B199" s="154"/>
      <c r="C199" s="154"/>
      <c r="D199" s="92" t="s">
        <v>24</v>
      </c>
      <c r="E199" s="253">
        <v>4</v>
      </c>
      <c r="F199" s="25" t="s">
        <v>88</v>
      </c>
      <c r="G199" s="25"/>
      <c r="H199" s="37">
        <v>800</v>
      </c>
      <c r="I199" s="50" t="s">
        <v>23</v>
      </c>
      <c r="J199" s="325"/>
      <c r="K199" s="37">
        <f>SUM(E199*H199)</f>
        <v>3200</v>
      </c>
      <c r="L199" s="50" t="s">
        <v>23</v>
      </c>
      <c r="M199" s="36">
        <v>0.74</v>
      </c>
      <c r="N199" s="34">
        <f>SUM(E199*H199)/M199*262.7</f>
        <v>1136000</v>
      </c>
    </row>
    <row r="200" spans="1:14" s="280" customFormat="1" ht="6" customHeight="1" x14ac:dyDescent="0.2">
      <c r="B200" s="154"/>
      <c r="C200" s="154"/>
      <c r="D200" s="92"/>
      <c r="E200" s="253"/>
      <c r="F200" s="25"/>
      <c r="G200" s="25"/>
      <c r="H200" s="37"/>
      <c r="I200" s="50"/>
      <c r="J200" s="325"/>
      <c r="K200" s="37"/>
      <c r="L200" s="50"/>
      <c r="M200" s="36"/>
      <c r="N200" s="34"/>
    </row>
    <row r="201" spans="1:14" x14ac:dyDescent="0.2">
      <c r="B201" s="154"/>
      <c r="C201" s="56" t="s">
        <v>130</v>
      </c>
      <c r="D201" s="46" t="s">
        <v>41</v>
      </c>
      <c r="E201" s="46"/>
      <c r="F201" s="46"/>
      <c r="G201" s="46"/>
      <c r="H201" s="57"/>
      <c r="I201" s="46"/>
      <c r="J201" s="46"/>
      <c r="K201" s="45">
        <v>201357</v>
      </c>
      <c r="L201" s="42" t="s">
        <v>23</v>
      </c>
      <c r="M201" s="46"/>
      <c r="N201" s="47"/>
    </row>
    <row r="202" spans="1:14" s="24" customFormat="1" ht="25.5" x14ac:dyDescent="0.2">
      <c r="A202" s="280"/>
      <c r="B202" s="154"/>
      <c r="C202" s="154"/>
      <c r="D202" s="92" t="s">
        <v>24</v>
      </c>
      <c r="E202" s="253">
        <v>18</v>
      </c>
      <c r="F202" s="25" t="s">
        <v>88</v>
      </c>
      <c r="G202" s="25"/>
      <c r="H202" s="37">
        <v>750</v>
      </c>
      <c r="I202" s="50" t="s">
        <v>23</v>
      </c>
      <c r="J202" s="325"/>
      <c r="K202" s="37">
        <f>SUM(E202*H202)</f>
        <v>13500</v>
      </c>
      <c r="L202" s="50" t="s">
        <v>23</v>
      </c>
      <c r="M202" s="36">
        <v>0.68</v>
      </c>
      <c r="N202" s="34">
        <f>SUM(E202*H202)/M202*274.69</f>
        <v>5453404.4117647056</v>
      </c>
    </row>
    <row r="203" spans="1:14" ht="6" customHeight="1" x14ac:dyDescent="0.2">
      <c r="B203" s="157"/>
      <c r="C203" s="73"/>
      <c r="D203" s="326"/>
      <c r="E203" s="326"/>
      <c r="F203" s="326"/>
      <c r="G203" s="326"/>
      <c r="H203" s="326"/>
      <c r="I203" s="326"/>
      <c r="J203" s="326"/>
      <c r="K203" s="326"/>
      <c r="L203" s="326"/>
      <c r="M203" s="326"/>
      <c r="N203" s="33"/>
    </row>
    <row r="204" spans="1:14" x14ac:dyDescent="0.2">
      <c r="B204" s="154"/>
      <c r="C204" s="56" t="s">
        <v>131</v>
      </c>
      <c r="D204" s="46" t="s">
        <v>134</v>
      </c>
      <c r="E204" s="46"/>
      <c r="F204" s="46"/>
      <c r="G204" s="46"/>
      <c r="H204" s="57"/>
      <c r="I204" s="46">
        <v>2015</v>
      </c>
      <c r="J204" s="46"/>
      <c r="K204" s="45">
        <v>91300</v>
      </c>
      <c r="L204" s="42" t="s">
        <v>23</v>
      </c>
      <c r="M204" s="46"/>
      <c r="N204" s="47"/>
    </row>
    <row r="205" spans="1:14" s="24" customFormat="1" ht="25.5" x14ac:dyDescent="0.2">
      <c r="A205" s="280"/>
      <c r="B205" s="154"/>
      <c r="C205" s="154"/>
      <c r="D205" s="92" t="s">
        <v>24</v>
      </c>
      <c r="E205" s="253">
        <v>4</v>
      </c>
      <c r="F205" s="25" t="s">
        <v>268</v>
      </c>
      <c r="G205" s="25"/>
      <c r="H205" s="37">
        <v>800</v>
      </c>
      <c r="I205" s="50" t="s">
        <v>23</v>
      </c>
      <c r="J205" s="325"/>
      <c r="K205" s="37">
        <f>SUM(E205*H205)</f>
        <v>3200</v>
      </c>
      <c r="L205" s="50" t="s">
        <v>23</v>
      </c>
      <c r="M205" s="36">
        <v>0.74</v>
      </c>
      <c r="N205" s="34">
        <f>SUM(E205*H205)/M205*262.7</f>
        <v>1136000</v>
      </c>
    </row>
    <row r="206" spans="1:14" ht="6" customHeight="1" x14ac:dyDescent="0.2">
      <c r="B206" s="157"/>
      <c r="C206" s="73"/>
      <c r="D206" s="326"/>
      <c r="E206" s="326"/>
      <c r="F206" s="326"/>
      <c r="G206" s="326"/>
      <c r="H206" s="326"/>
      <c r="I206" s="326"/>
      <c r="J206" s="326"/>
      <c r="K206" s="326"/>
      <c r="L206" s="326"/>
      <c r="M206" s="326"/>
      <c r="N206" s="33"/>
    </row>
    <row r="207" spans="1:14" x14ac:dyDescent="0.2">
      <c r="B207" s="154"/>
      <c r="C207" s="56" t="s">
        <v>138</v>
      </c>
      <c r="D207" s="46" t="s">
        <v>135</v>
      </c>
      <c r="E207" s="46"/>
      <c r="F207" s="46"/>
      <c r="G207" s="46"/>
      <c r="H207" s="57"/>
      <c r="I207" s="46">
        <v>2008</v>
      </c>
      <c r="J207" s="46"/>
      <c r="K207" s="45">
        <v>67036</v>
      </c>
      <c r="L207" s="42" t="s">
        <v>23</v>
      </c>
      <c r="M207" s="46"/>
      <c r="N207" s="47"/>
    </row>
    <row r="208" spans="1:14" s="24" customFormat="1" ht="25.5" x14ac:dyDescent="0.2">
      <c r="A208" s="280"/>
      <c r="B208" s="154"/>
      <c r="C208" s="154"/>
      <c r="D208" s="92" t="s">
        <v>24</v>
      </c>
      <c r="E208" s="253">
        <v>4</v>
      </c>
      <c r="F208" s="25" t="s">
        <v>88</v>
      </c>
      <c r="G208" s="25"/>
      <c r="H208" s="37">
        <v>800</v>
      </c>
      <c r="I208" s="50" t="s">
        <v>23</v>
      </c>
      <c r="J208" s="325"/>
      <c r="K208" s="37">
        <f>SUM(E208*H208)</f>
        <v>3200</v>
      </c>
      <c r="L208" s="50" t="s">
        <v>23</v>
      </c>
      <c r="M208" s="36">
        <v>0.74</v>
      </c>
      <c r="N208" s="34">
        <f>SUM(E208*H208)/M208*262.7</f>
        <v>1136000</v>
      </c>
    </row>
    <row r="209" spans="1:14" ht="6" customHeight="1" x14ac:dyDescent="0.2">
      <c r="B209" s="157"/>
      <c r="C209" s="73"/>
      <c r="D209" s="326"/>
      <c r="E209" s="326"/>
      <c r="F209" s="326"/>
      <c r="G209" s="326"/>
      <c r="H209" s="326"/>
      <c r="I209" s="326"/>
      <c r="J209" s="326"/>
      <c r="K209" s="326"/>
      <c r="L209" s="326"/>
      <c r="M209" s="326"/>
      <c r="N209" s="33"/>
    </row>
    <row r="210" spans="1:14" x14ac:dyDescent="0.2">
      <c r="B210" s="154"/>
      <c r="C210" s="56" t="s">
        <v>139</v>
      </c>
      <c r="D210" s="46" t="s">
        <v>136</v>
      </c>
      <c r="E210" s="46"/>
      <c r="F210" s="46"/>
      <c r="G210" s="46"/>
      <c r="H210" s="57"/>
      <c r="I210" s="46">
        <v>2004</v>
      </c>
      <c r="J210" s="46"/>
      <c r="K210" s="45">
        <v>67036</v>
      </c>
      <c r="L210" s="42" t="s">
        <v>23</v>
      </c>
      <c r="M210" s="46"/>
      <c r="N210" s="47"/>
    </row>
    <row r="211" spans="1:14" s="24" customFormat="1" ht="25.5" x14ac:dyDescent="0.2">
      <c r="A211" s="280"/>
      <c r="B211" s="154"/>
      <c r="C211" s="154"/>
      <c r="D211" s="92" t="s">
        <v>24</v>
      </c>
      <c r="E211" s="253">
        <v>4</v>
      </c>
      <c r="F211" s="25" t="s">
        <v>268</v>
      </c>
      <c r="G211" s="25"/>
      <c r="H211" s="37">
        <v>800</v>
      </c>
      <c r="I211" s="50" t="s">
        <v>23</v>
      </c>
      <c r="J211" s="325"/>
      <c r="K211" s="37">
        <f>SUM(E211*H211)</f>
        <v>3200</v>
      </c>
      <c r="L211" s="50" t="s">
        <v>23</v>
      </c>
      <c r="M211" s="36">
        <v>0.74</v>
      </c>
      <c r="N211" s="34">
        <f>SUM(E211*H211)/M211*262.7</f>
        <v>1136000</v>
      </c>
    </row>
    <row r="212" spans="1:14" ht="6" customHeight="1" x14ac:dyDescent="0.2">
      <c r="B212" s="157"/>
      <c r="C212" s="73"/>
      <c r="D212" s="326"/>
      <c r="E212" s="326"/>
      <c r="F212" s="326"/>
      <c r="G212" s="326"/>
      <c r="H212" s="326"/>
      <c r="I212" s="326"/>
      <c r="J212" s="326"/>
      <c r="K212" s="326"/>
      <c r="L212" s="326"/>
      <c r="M212" s="326"/>
      <c r="N212" s="33"/>
    </row>
    <row r="213" spans="1:14" x14ac:dyDescent="0.2">
      <c r="B213" s="154"/>
      <c r="C213" s="56" t="s">
        <v>277</v>
      </c>
      <c r="D213" s="46" t="s">
        <v>47</v>
      </c>
      <c r="E213" s="46"/>
      <c r="F213" s="46"/>
      <c r="G213" s="46"/>
      <c r="H213" s="57"/>
      <c r="I213" s="46">
        <v>2009</v>
      </c>
      <c r="J213" s="46"/>
      <c r="K213" s="45">
        <v>73400</v>
      </c>
      <c r="L213" s="42" t="s">
        <v>23</v>
      </c>
      <c r="M213" s="46"/>
      <c r="N213" s="47"/>
    </row>
    <row r="214" spans="1:14" s="24" customFormat="1" ht="25.5" x14ac:dyDescent="0.2">
      <c r="A214" s="280"/>
      <c r="B214" s="154"/>
      <c r="C214" s="154"/>
      <c r="D214" s="92" t="s">
        <v>24</v>
      </c>
      <c r="E214" s="253">
        <v>4</v>
      </c>
      <c r="F214" s="25" t="s">
        <v>88</v>
      </c>
      <c r="G214" s="25"/>
      <c r="H214" s="37">
        <v>750</v>
      </c>
      <c r="I214" s="50" t="s">
        <v>23</v>
      </c>
      <c r="J214" s="329"/>
      <c r="K214" s="37">
        <f>SUM(E214*H214)</f>
        <v>3000</v>
      </c>
      <c r="L214" s="50" t="s">
        <v>23</v>
      </c>
      <c r="M214" s="36">
        <v>0.71</v>
      </c>
      <c r="N214" s="34">
        <f>SUM(E214*H214)/M214*265.78</f>
        <v>1123014.0845070423</v>
      </c>
    </row>
    <row r="215" spans="1:14" ht="6" customHeight="1" x14ac:dyDescent="0.2">
      <c r="B215" s="157"/>
      <c r="C215" s="73"/>
      <c r="D215" s="330"/>
      <c r="E215" s="330"/>
      <c r="F215" s="330"/>
      <c r="G215" s="330"/>
      <c r="H215" s="330"/>
      <c r="I215" s="330"/>
      <c r="J215" s="330"/>
      <c r="K215" s="330"/>
      <c r="L215" s="330"/>
      <c r="M215" s="330"/>
      <c r="N215" s="33"/>
    </row>
    <row r="216" spans="1:14" x14ac:dyDescent="0.2">
      <c r="B216" s="154"/>
      <c r="C216" s="56" t="s">
        <v>141</v>
      </c>
      <c r="D216" s="46" t="s">
        <v>42</v>
      </c>
      <c r="E216" s="46"/>
      <c r="F216" s="46"/>
      <c r="G216" s="46"/>
      <c r="H216" s="57"/>
      <c r="I216" s="46">
        <v>2001</v>
      </c>
      <c r="J216" s="46"/>
      <c r="K216" s="45">
        <v>230000</v>
      </c>
      <c r="L216" s="42" t="s">
        <v>23</v>
      </c>
      <c r="M216" s="46"/>
      <c r="N216" s="47"/>
    </row>
    <row r="217" spans="1:14" s="24" customFormat="1" ht="25.5" x14ac:dyDescent="0.2">
      <c r="A217" s="280"/>
      <c r="B217" s="154"/>
      <c r="C217" s="154"/>
      <c r="D217" s="92" t="s">
        <v>24</v>
      </c>
      <c r="E217" s="253">
        <v>4</v>
      </c>
      <c r="F217" s="25" t="s">
        <v>88</v>
      </c>
      <c r="G217" s="25"/>
      <c r="H217" s="37">
        <v>750</v>
      </c>
      <c r="I217" s="50" t="s">
        <v>23</v>
      </c>
      <c r="J217" s="329"/>
      <c r="K217" s="37">
        <f>SUM(E217*H217)</f>
        <v>3000</v>
      </c>
      <c r="L217" s="50" t="s">
        <v>23</v>
      </c>
      <c r="M217" s="36">
        <v>0.68</v>
      </c>
      <c r="N217" s="34">
        <f>SUM(E217*H217)/M217*274.69</f>
        <v>1211867.6470588234</v>
      </c>
    </row>
    <row r="218" spans="1:14" s="24" customFormat="1" ht="5.25" customHeight="1" x14ac:dyDescent="0.2">
      <c r="A218" s="280"/>
      <c r="B218" s="154"/>
      <c r="C218" s="154"/>
      <c r="D218" s="92"/>
      <c r="E218" s="35"/>
      <c r="F218" s="35"/>
      <c r="G218" s="35"/>
      <c r="H218" s="35"/>
      <c r="I218" s="35"/>
      <c r="J218" s="35"/>
      <c r="K218" s="35"/>
      <c r="L218" s="35"/>
      <c r="M218" s="36"/>
      <c r="N218" s="34"/>
    </row>
    <row r="219" spans="1:14" s="24" customFormat="1" x14ac:dyDescent="0.2">
      <c r="A219" s="280"/>
      <c r="B219" s="154"/>
      <c r="C219" s="154"/>
      <c r="D219" s="92"/>
      <c r="E219" s="253"/>
      <c r="F219" s="25"/>
      <c r="G219" s="25"/>
      <c r="H219" s="37"/>
      <c r="I219" s="50"/>
      <c r="J219" s="329"/>
      <c r="K219" s="37"/>
      <c r="L219" s="50"/>
      <c r="M219" s="36"/>
      <c r="N219" s="34"/>
    </row>
    <row r="220" spans="1:14" s="70" customFormat="1" x14ac:dyDescent="0.2">
      <c r="A220" s="316"/>
      <c r="B220" s="154"/>
      <c r="C220" s="154"/>
      <c r="D220" s="25"/>
      <c r="E220" s="253"/>
      <c r="F220" s="25"/>
      <c r="G220" s="25"/>
      <c r="H220" s="37"/>
      <c r="I220" s="25"/>
      <c r="J220" s="25"/>
      <c r="K220" s="37"/>
      <c r="L220" s="25"/>
      <c r="M220" s="36"/>
      <c r="N220" s="34"/>
    </row>
    <row r="221" spans="1:14" s="70" customFormat="1" x14ac:dyDescent="0.2">
      <c r="A221" s="316"/>
      <c r="B221" s="154"/>
      <c r="C221" s="154"/>
      <c r="D221" s="25"/>
      <c r="E221" s="253"/>
      <c r="F221" s="25"/>
      <c r="G221" s="25"/>
      <c r="H221" s="37"/>
      <c r="I221" s="25"/>
      <c r="J221" s="25"/>
      <c r="K221" s="37"/>
      <c r="L221" s="25"/>
      <c r="M221" s="36"/>
      <c r="N221" s="34"/>
    </row>
  </sheetData>
  <mergeCells count="43">
    <mergeCell ref="D161:L161"/>
    <mergeCell ref="D164:L164"/>
    <mergeCell ref="D92:L92"/>
    <mergeCell ref="D97:L97"/>
    <mergeCell ref="F100:G100"/>
    <mergeCell ref="D105:L105"/>
    <mergeCell ref="D112:L112"/>
    <mergeCell ref="D119:L119"/>
    <mergeCell ref="H189:I189"/>
    <mergeCell ref="Z65:AH65"/>
    <mergeCell ref="D67:L67"/>
    <mergeCell ref="Z69:AH69"/>
    <mergeCell ref="D137:L137"/>
    <mergeCell ref="D141:L141"/>
    <mergeCell ref="D149:L149"/>
    <mergeCell ref="D152:L152"/>
    <mergeCell ref="D155:L155"/>
    <mergeCell ref="D158:L158"/>
    <mergeCell ref="D125:L125"/>
    <mergeCell ref="H129:I129"/>
    <mergeCell ref="D130:L130"/>
    <mergeCell ref="D133:L133"/>
    <mergeCell ref="D70:L70"/>
    <mergeCell ref="D73:L73"/>
    <mergeCell ref="D91:J91"/>
    <mergeCell ref="D51:L51"/>
    <mergeCell ref="Z54:AH54"/>
    <mergeCell ref="D57:L57"/>
    <mergeCell ref="Z58:AH58"/>
    <mergeCell ref="Z60:AH60"/>
    <mergeCell ref="Z61:AH61"/>
    <mergeCell ref="Z73:AH73"/>
    <mergeCell ref="D78:L78"/>
    <mergeCell ref="Z80:AH80"/>
    <mergeCell ref="D84:L84"/>
    <mergeCell ref="Z84:AH84"/>
    <mergeCell ref="Z85:AH85"/>
    <mergeCell ref="D48:L48"/>
    <mergeCell ref="B3:G3"/>
    <mergeCell ref="I3:K3"/>
    <mergeCell ref="B4:G6"/>
    <mergeCell ref="B7:F7"/>
    <mergeCell ref="D37:I37"/>
  </mergeCells>
  <pageMargins left="0.7" right="0.45" top="0.75" bottom="0.75" header="0.3" footer="0.3"/>
  <pageSetup paperSize="17" orientation="landscape" cellComments="asDisplayed" r:id="rId1"/>
  <headerFooter alignWithMargins="0"/>
  <rowBreaks count="3" manualBreakCount="3">
    <brk id="42" max="16383" man="1"/>
    <brk id="109" max="16383" man="1"/>
    <brk id="143"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J215"/>
  <sheetViews>
    <sheetView workbookViewId="0"/>
    <sheetView tabSelected="1" workbookViewId="1">
      <selection activeCell="A142" sqref="A142"/>
    </sheetView>
  </sheetViews>
  <sheetFormatPr defaultRowHeight="12.75" x14ac:dyDescent="0.2"/>
  <cols>
    <col min="1" max="1" width="14.5703125" style="155" bestFit="1" customWidth="1"/>
    <col min="2" max="2" width="4" style="30" customWidth="1"/>
    <col min="3" max="3" width="2.85546875" style="30" customWidth="1"/>
    <col min="4" max="4" width="8.7109375" style="30"/>
    <col min="5" max="5" width="5.140625" style="30" customWidth="1"/>
    <col min="6" max="6" width="11.140625" style="30" customWidth="1"/>
    <col min="7" max="7" width="12.85546875" style="30" customWidth="1"/>
    <col min="8" max="8" width="6.140625" style="30" customWidth="1"/>
    <col min="9" max="9" width="10" style="30" customWidth="1"/>
    <col min="10" max="10" width="2.85546875" style="30" customWidth="1"/>
    <col min="11" max="11" width="11.140625" style="30" customWidth="1"/>
    <col min="12" max="12" width="5.5703125" style="30" customWidth="1"/>
    <col min="13" max="13" width="5.85546875" style="30" customWidth="1"/>
    <col min="14" max="14" width="11.85546875" style="30" customWidth="1"/>
    <col min="17" max="18" width="9" customWidth="1"/>
    <col min="21" max="21" width="12.140625" customWidth="1"/>
    <col min="24" max="25" width="25" customWidth="1"/>
    <col min="26" max="26" width="10" customWidth="1"/>
    <col min="28" max="28" width="14" customWidth="1"/>
    <col min="29" max="29" width="16" customWidth="1"/>
    <col min="30" max="30" width="10.42578125" customWidth="1"/>
  </cols>
  <sheetData>
    <row r="1" spans="1:32" s="63" customFormat="1" ht="12" x14ac:dyDescent="0.2">
      <c r="A1" s="285"/>
      <c r="B1" s="286"/>
      <c r="C1" s="287"/>
      <c r="D1" s="288"/>
      <c r="E1" s="288"/>
      <c r="F1" s="288"/>
      <c r="G1" s="288"/>
      <c r="H1" s="289"/>
      <c r="I1" s="288"/>
      <c r="J1" s="288"/>
      <c r="K1" s="288"/>
      <c r="L1" s="288"/>
      <c r="M1" s="288"/>
      <c r="N1" s="288"/>
    </row>
    <row r="2" spans="1:32" s="63" customFormat="1" thickBot="1" x14ac:dyDescent="0.25">
      <c r="A2" s="285"/>
      <c r="B2" s="286"/>
      <c r="C2" s="287"/>
      <c r="D2" s="288"/>
      <c r="E2" s="288"/>
      <c r="F2" s="288"/>
      <c r="G2" s="288"/>
      <c r="H2" s="289"/>
      <c r="I2" s="288"/>
      <c r="J2" s="288"/>
      <c r="K2" s="288"/>
      <c r="L2" s="288"/>
      <c r="M2" s="288"/>
      <c r="N2" s="288"/>
    </row>
    <row r="3" spans="1:32" s="67" customFormat="1" ht="15" customHeight="1" x14ac:dyDescent="0.25">
      <c r="A3" s="290"/>
      <c r="B3" s="332" t="s">
        <v>171</v>
      </c>
      <c r="C3" s="333"/>
      <c r="D3" s="333"/>
      <c r="E3" s="333"/>
      <c r="F3" s="333"/>
      <c r="G3" s="333"/>
      <c r="H3" s="291"/>
      <c r="I3" s="334" t="s">
        <v>103</v>
      </c>
      <c r="J3" s="334"/>
      <c r="K3" s="334"/>
      <c r="L3" s="292"/>
      <c r="M3" s="292"/>
      <c r="N3" s="293"/>
    </row>
    <row r="4" spans="1:32" s="67" customFormat="1" ht="15" customHeight="1" x14ac:dyDescent="0.25">
      <c r="A4" s="290"/>
      <c r="B4" s="335" t="s">
        <v>184</v>
      </c>
      <c r="C4" s="336"/>
      <c r="D4" s="336"/>
      <c r="E4" s="336"/>
      <c r="F4" s="336"/>
      <c r="G4" s="336"/>
      <c r="H4" s="101"/>
      <c r="I4" s="168"/>
      <c r="J4" s="168"/>
      <c r="K4" s="168"/>
      <c r="L4" s="168"/>
      <c r="M4" s="168"/>
      <c r="N4" s="102"/>
    </row>
    <row r="5" spans="1:32" s="67" customFormat="1" ht="15" customHeight="1" x14ac:dyDescent="0.25">
      <c r="A5" s="290"/>
      <c r="B5" s="335"/>
      <c r="C5" s="336"/>
      <c r="D5" s="336"/>
      <c r="E5" s="336"/>
      <c r="F5" s="336"/>
      <c r="G5" s="336"/>
      <c r="H5" s="294"/>
      <c r="I5" s="169"/>
      <c r="J5" s="169"/>
      <c r="K5" s="169"/>
      <c r="L5" s="295"/>
      <c r="M5" s="296"/>
      <c r="N5" s="297"/>
    </row>
    <row r="6" spans="1:32" s="67" customFormat="1" ht="15" customHeight="1" x14ac:dyDescent="0.25">
      <c r="A6" s="290"/>
      <c r="B6" s="335"/>
      <c r="C6" s="336"/>
      <c r="D6" s="336"/>
      <c r="E6" s="336"/>
      <c r="F6" s="336"/>
      <c r="G6" s="336"/>
      <c r="H6" s="298"/>
      <c r="I6" s="299"/>
      <c r="J6" s="299"/>
      <c r="K6" s="300"/>
      <c r="L6" s="299"/>
      <c r="M6" s="296"/>
      <c r="N6" s="297"/>
    </row>
    <row r="7" spans="1:32" s="72" customFormat="1" ht="20.25" customHeight="1" thickBot="1" x14ac:dyDescent="0.35">
      <c r="A7" s="301"/>
      <c r="B7" s="337" t="s">
        <v>170</v>
      </c>
      <c r="C7" s="338"/>
      <c r="D7" s="338"/>
      <c r="E7" s="338"/>
      <c r="F7" s="338"/>
      <c r="G7" s="302"/>
      <c r="H7" s="303"/>
      <c r="I7" s="304"/>
      <c r="J7" s="304"/>
      <c r="K7" s="304"/>
      <c r="L7" s="304"/>
      <c r="M7" s="304"/>
      <c r="N7" s="305"/>
    </row>
    <row r="8" spans="1:32" s="22" customFormat="1" ht="20.25" customHeight="1" x14ac:dyDescent="0.25">
      <c r="A8" s="30"/>
      <c r="B8" s="306" t="s">
        <v>12</v>
      </c>
      <c r="C8" s="307"/>
      <c r="D8" s="26"/>
      <c r="E8" s="26"/>
      <c r="F8" s="26"/>
      <c r="G8" s="26"/>
      <c r="H8" s="26"/>
      <c r="I8" s="26"/>
      <c r="J8" s="26"/>
      <c r="K8" s="26"/>
      <c r="L8" s="26"/>
      <c r="M8" s="26"/>
      <c r="N8" s="26"/>
    </row>
    <row r="9" spans="1:32" s="22" customFormat="1" x14ac:dyDescent="0.2">
      <c r="A9" s="30"/>
      <c r="B9" s="73" t="s">
        <v>0</v>
      </c>
      <c r="C9" s="73" t="s">
        <v>13</v>
      </c>
      <c r="D9" s="27"/>
      <c r="E9" s="27"/>
      <c r="F9" s="27" t="s">
        <v>39</v>
      </c>
      <c r="G9" s="27"/>
      <c r="H9" s="27"/>
      <c r="I9" s="27"/>
      <c r="J9" s="27"/>
      <c r="K9" s="27"/>
      <c r="L9" s="27"/>
      <c r="M9" s="27"/>
      <c r="N9" s="27"/>
    </row>
    <row r="10" spans="1:32" s="22" customFormat="1" x14ac:dyDescent="0.2">
      <c r="A10" s="30"/>
      <c r="B10" s="73" t="s">
        <v>1</v>
      </c>
      <c r="C10" s="73" t="s">
        <v>14</v>
      </c>
      <c r="D10" s="27"/>
      <c r="E10" s="27"/>
      <c r="F10" s="27" t="s">
        <v>233</v>
      </c>
      <c r="G10" s="27"/>
      <c r="H10" s="100"/>
      <c r="I10" s="100"/>
      <c r="J10" s="27"/>
      <c r="K10" s="27"/>
      <c r="L10" s="27"/>
      <c r="M10" s="27"/>
      <c r="N10" s="27"/>
    </row>
    <row r="11" spans="1:32" s="22" customFormat="1" ht="52.5" thickBot="1" x14ac:dyDescent="0.3">
      <c r="A11" s="30"/>
      <c r="B11" s="308" t="s">
        <v>15</v>
      </c>
      <c r="C11" s="307"/>
      <c r="D11" s="26"/>
      <c r="E11" s="26"/>
      <c r="F11" s="26"/>
      <c r="G11" s="309" t="s">
        <v>186</v>
      </c>
      <c r="H11" s="170"/>
      <c r="I11" s="28" t="s">
        <v>16</v>
      </c>
      <c r="J11" s="28"/>
      <c r="K11" s="28" t="s">
        <v>17</v>
      </c>
      <c r="L11" s="30"/>
      <c r="M11" s="30"/>
      <c r="N11" s="29" t="s">
        <v>234</v>
      </c>
      <c r="P11" s="138"/>
      <c r="S11" s="78" t="s">
        <v>224</v>
      </c>
      <c r="T11" s="78" t="s">
        <v>225</v>
      </c>
      <c r="U11" s="78" t="s">
        <v>226</v>
      </c>
      <c r="V11" s="78" t="s">
        <v>227</v>
      </c>
      <c r="W11" s="78" t="s">
        <v>228</v>
      </c>
      <c r="X11" s="78" t="s">
        <v>229</v>
      </c>
      <c r="Y11" s="78"/>
      <c r="Z11" s="176">
        <v>7.0000000000000007E-2</v>
      </c>
      <c r="AA11" s="176" t="s">
        <v>192</v>
      </c>
      <c r="AB11" s="188" t="s">
        <v>191</v>
      </c>
      <c r="AC11" s="266"/>
      <c r="AD11" s="266"/>
      <c r="AE11" s="266"/>
      <c r="AF11" s="158"/>
    </row>
    <row r="12" spans="1:32" s="202" customFormat="1" ht="15" customHeight="1" x14ac:dyDescent="0.2">
      <c r="A12" s="310"/>
      <c r="B12" s="311" t="s">
        <v>0</v>
      </c>
      <c r="C12" s="311" t="s">
        <v>18</v>
      </c>
      <c r="D12" s="196"/>
      <c r="E12" s="196"/>
      <c r="F12" s="196"/>
      <c r="G12" s="196"/>
      <c r="H12" s="196"/>
      <c r="I12" s="196"/>
      <c r="J12" s="196"/>
      <c r="K12" s="196"/>
      <c r="L12" s="310"/>
      <c r="M12" s="310"/>
      <c r="N12" s="196"/>
      <c r="P12" s="200"/>
      <c r="Q12" s="242" t="s">
        <v>212</v>
      </c>
      <c r="R12" s="243"/>
      <c r="S12" s="243"/>
      <c r="T12" s="243"/>
      <c r="U12" s="243"/>
      <c r="V12" s="243"/>
      <c r="W12" s="243"/>
      <c r="X12" s="244"/>
      <c r="Y12" s="281"/>
      <c r="Z12" s="197"/>
      <c r="AA12" s="198"/>
      <c r="AB12" s="199"/>
      <c r="AC12" s="267"/>
      <c r="AD12" s="267"/>
      <c r="AE12" s="267"/>
      <c r="AF12" s="267"/>
    </row>
    <row r="13" spans="1:32" s="22" customFormat="1" ht="12.75" customHeight="1" x14ac:dyDescent="0.2">
      <c r="A13" s="30"/>
      <c r="B13" s="73"/>
      <c r="C13" s="74" t="s">
        <v>5</v>
      </c>
      <c r="D13" s="27" t="s">
        <v>40</v>
      </c>
      <c r="E13" s="27"/>
      <c r="F13" s="27"/>
      <c r="G13" s="276" t="s">
        <v>185</v>
      </c>
      <c r="H13" s="27"/>
      <c r="I13" s="27" t="s">
        <v>19</v>
      </c>
      <c r="J13" s="103"/>
      <c r="K13" s="103" t="s">
        <v>20</v>
      </c>
      <c r="L13" s="30"/>
      <c r="M13" s="30"/>
      <c r="N13" s="106" t="s">
        <v>235</v>
      </c>
      <c r="P13" s="131"/>
      <c r="Q13" s="220"/>
      <c r="R13" s="245" t="s">
        <v>40</v>
      </c>
      <c r="S13" s="232">
        <f>Z13</f>
        <v>2086.5</v>
      </c>
      <c r="T13" s="175">
        <v>1800</v>
      </c>
      <c r="U13" s="153">
        <v>0</v>
      </c>
      <c r="V13" s="233">
        <f>SUM(T13,U13)</f>
        <v>1800</v>
      </c>
      <c r="W13" s="214">
        <f>S13/V13</f>
        <v>1.1591666666666667</v>
      </c>
      <c r="X13" s="212" t="s">
        <v>201</v>
      </c>
      <c r="Y13" s="153"/>
      <c r="Z13" s="177">
        <f>(AA13*0.07)+AA13</f>
        <v>2086.5</v>
      </c>
      <c r="AA13" s="178">
        <v>1950</v>
      </c>
      <c r="AB13" s="189">
        <v>1800</v>
      </c>
      <c r="AC13" s="268"/>
      <c r="AD13" s="269"/>
      <c r="AE13" s="158"/>
      <c r="AF13" s="158"/>
    </row>
    <row r="14" spans="1:32" s="22" customFormat="1" ht="12.75" customHeight="1" x14ac:dyDescent="0.2">
      <c r="A14" s="30"/>
      <c r="B14" s="73"/>
      <c r="C14" s="74" t="s">
        <v>6</v>
      </c>
      <c r="D14" s="27" t="s">
        <v>41</v>
      </c>
      <c r="E14" s="27"/>
      <c r="F14" s="27"/>
      <c r="G14" s="276" t="s">
        <v>185</v>
      </c>
      <c r="H14" s="27"/>
      <c r="I14" s="27" t="s">
        <v>19</v>
      </c>
      <c r="J14" s="103"/>
      <c r="K14" s="103" t="s">
        <v>20</v>
      </c>
      <c r="L14" s="30"/>
      <c r="M14" s="30"/>
      <c r="N14" s="106" t="s">
        <v>236</v>
      </c>
      <c r="P14" s="131"/>
      <c r="Q14" s="220"/>
      <c r="R14" s="245" t="s">
        <v>41</v>
      </c>
      <c r="S14" s="232">
        <f>Z14</f>
        <v>1763.3600000000001</v>
      </c>
      <c r="T14" s="175">
        <v>1785</v>
      </c>
      <c r="U14" s="153">
        <v>0</v>
      </c>
      <c r="V14" s="233">
        <f>SUM(T14,U14)</f>
        <v>1785</v>
      </c>
      <c r="W14" s="211">
        <f>S14/V14</f>
        <v>0.98787675070028014</v>
      </c>
      <c r="X14" s="212" t="s">
        <v>203</v>
      </c>
      <c r="Y14" s="153"/>
      <c r="Z14" s="177">
        <f>(AA14*0.07)+AA14</f>
        <v>1763.3600000000001</v>
      </c>
      <c r="AA14" s="179">
        <v>1648</v>
      </c>
      <c r="AB14" s="190">
        <v>1785</v>
      </c>
      <c r="AC14" s="268"/>
      <c r="AD14" s="269"/>
      <c r="AE14" s="158"/>
      <c r="AF14" s="158"/>
    </row>
    <row r="15" spans="1:32" s="22" customFormat="1" ht="12.75" customHeight="1" x14ac:dyDescent="0.2">
      <c r="A15" s="30"/>
      <c r="B15" s="73"/>
      <c r="C15" s="74" t="s">
        <v>7</v>
      </c>
      <c r="D15" s="27" t="s">
        <v>42</v>
      </c>
      <c r="E15" s="27"/>
      <c r="F15" s="27"/>
      <c r="G15" s="276" t="s">
        <v>185</v>
      </c>
      <c r="H15" s="27"/>
      <c r="I15" s="27" t="s">
        <v>19</v>
      </c>
      <c r="J15" s="103"/>
      <c r="K15" s="103" t="s">
        <v>20</v>
      </c>
      <c r="L15" s="30"/>
      <c r="M15" s="30"/>
      <c r="N15" s="106" t="s">
        <v>237</v>
      </c>
      <c r="P15" s="131"/>
      <c r="Q15" s="220"/>
      <c r="R15" s="245" t="s">
        <v>42</v>
      </c>
      <c r="S15" s="232">
        <f>Z15</f>
        <v>933.04</v>
      </c>
      <c r="T15" s="175">
        <v>970</v>
      </c>
      <c r="U15" s="153">
        <f>4*33</f>
        <v>132</v>
      </c>
      <c r="V15" s="233">
        <f>SUM(T15,U15)</f>
        <v>1102</v>
      </c>
      <c r="W15" s="214">
        <f>S15/V15</f>
        <v>0.84667876588021773</v>
      </c>
      <c r="X15" s="212" t="s">
        <v>202</v>
      </c>
      <c r="Y15" s="153"/>
      <c r="Z15" s="177">
        <f>(AA15*0.07)+AA15</f>
        <v>933.04</v>
      </c>
      <c r="AA15" s="178">
        <v>872</v>
      </c>
      <c r="AB15" s="190">
        <v>970</v>
      </c>
      <c r="AC15" s="268"/>
      <c r="AD15" s="269"/>
      <c r="AE15" s="158"/>
      <c r="AF15" s="158"/>
    </row>
    <row r="16" spans="1:32" s="22" customFormat="1" ht="12.75" customHeight="1" x14ac:dyDescent="0.2">
      <c r="A16" s="30"/>
      <c r="B16" s="73"/>
      <c r="C16" s="74" t="s">
        <v>8</v>
      </c>
      <c r="D16" s="27" t="s">
        <v>87</v>
      </c>
      <c r="E16" s="27"/>
      <c r="F16" s="27"/>
      <c r="G16" s="276" t="s">
        <v>187</v>
      </c>
      <c r="H16" s="27"/>
      <c r="I16" s="27" t="s">
        <v>19</v>
      </c>
      <c r="J16" s="103"/>
      <c r="K16" s="103" t="s">
        <v>43</v>
      </c>
      <c r="L16" s="30"/>
      <c r="M16" s="30"/>
      <c r="N16" s="106" t="s">
        <v>238</v>
      </c>
      <c r="P16" s="131"/>
      <c r="Q16" s="282"/>
      <c r="R16" s="25" t="s">
        <v>128</v>
      </c>
      <c r="S16" s="158">
        <v>0</v>
      </c>
      <c r="T16" s="175"/>
      <c r="U16" s="153">
        <v>0</v>
      </c>
      <c r="V16" s="233">
        <f>SUM(T16,U16)</f>
        <v>0</v>
      </c>
      <c r="W16" s="221" t="s">
        <v>205</v>
      </c>
      <c r="X16" s="212" t="s">
        <v>200</v>
      </c>
      <c r="Y16" s="153"/>
      <c r="Z16" s="177">
        <f>(AA16*0.07)+AA16</f>
        <v>217.21</v>
      </c>
      <c r="AA16" s="178">
        <v>203</v>
      </c>
      <c r="AB16" s="190">
        <v>1085</v>
      </c>
      <c r="AC16" s="268"/>
      <c r="AD16" s="270"/>
      <c r="AE16" s="158"/>
      <c r="AF16" s="158"/>
    </row>
    <row r="17" spans="1:32" s="22" customFormat="1" x14ac:dyDescent="0.2">
      <c r="A17" s="30"/>
      <c r="B17" s="30"/>
      <c r="C17" s="74" t="s">
        <v>10</v>
      </c>
      <c r="D17" s="27" t="s">
        <v>168</v>
      </c>
      <c r="E17" s="30"/>
      <c r="F17" s="30"/>
      <c r="G17" s="276" t="s">
        <v>188</v>
      </c>
      <c r="H17" s="30"/>
      <c r="I17" s="27" t="s">
        <v>19</v>
      </c>
      <c r="J17" s="107"/>
      <c r="K17" s="103" t="s">
        <v>20</v>
      </c>
      <c r="L17" s="30"/>
      <c r="M17" s="30"/>
      <c r="N17" s="106" t="s">
        <v>239</v>
      </c>
      <c r="P17" s="131"/>
      <c r="Q17" s="220"/>
      <c r="R17" s="245" t="s">
        <v>199</v>
      </c>
      <c r="S17" s="246">
        <f>SUM(S13,S14,S15,S16)</f>
        <v>4782.8999999999996</v>
      </c>
      <c r="T17" s="233">
        <f>SUM(T13:T16)</f>
        <v>4555</v>
      </c>
      <c r="U17" s="214">
        <f>S17/T17</f>
        <v>1.050032930845225</v>
      </c>
      <c r="V17" s="233">
        <f>SUM(V13:V16)</f>
        <v>4687</v>
      </c>
      <c r="W17" s="211">
        <f>S17/V17</f>
        <v>1.0204608491572433</v>
      </c>
      <c r="X17" s="212"/>
      <c r="Y17" s="153"/>
      <c r="Z17" s="180"/>
      <c r="AA17" s="181"/>
      <c r="AB17" s="191">
        <v>400</v>
      </c>
      <c r="AC17" s="268"/>
      <c r="AD17" s="269"/>
      <c r="AE17" s="158"/>
      <c r="AF17" s="158"/>
    </row>
    <row r="18" spans="1:32" s="22" customFormat="1" ht="12" customHeight="1" thickBot="1" x14ac:dyDescent="0.25">
      <c r="A18" s="30"/>
      <c r="B18" s="30"/>
      <c r="C18" s="30"/>
      <c r="D18" s="30"/>
      <c r="E18" s="30"/>
      <c r="F18" s="30"/>
      <c r="G18" s="276"/>
      <c r="H18" s="30"/>
      <c r="I18" s="30"/>
      <c r="J18" s="107"/>
      <c r="K18" s="107"/>
      <c r="L18" s="30"/>
      <c r="M18" s="30"/>
      <c r="N18" s="107"/>
      <c r="P18" s="131"/>
      <c r="Q18" s="236"/>
      <c r="R18" s="247"/>
      <c r="S18" s="248"/>
      <c r="T18" s="248"/>
      <c r="U18" s="248"/>
      <c r="V18" s="248"/>
      <c r="W18" s="248"/>
      <c r="X18" s="241"/>
      <c r="Y18" s="153"/>
      <c r="Z18" s="180"/>
      <c r="AA18" s="181"/>
      <c r="AB18" s="191"/>
      <c r="AC18" s="158"/>
      <c r="AD18" s="158"/>
      <c r="AE18" s="158"/>
      <c r="AF18" s="158"/>
    </row>
    <row r="19" spans="1:32" s="22" customFormat="1" x14ac:dyDescent="0.2">
      <c r="A19" s="30"/>
      <c r="B19" s="73" t="s">
        <v>1</v>
      </c>
      <c r="C19" s="73" t="s">
        <v>21</v>
      </c>
      <c r="D19" s="27"/>
      <c r="E19" s="27"/>
      <c r="F19" s="27"/>
      <c r="G19" s="276"/>
      <c r="H19" s="27"/>
      <c r="I19" s="27"/>
      <c r="J19" s="103"/>
      <c r="K19" s="103"/>
      <c r="L19" s="30"/>
      <c r="M19" s="30"/>
      <c r="N19" s="103"/>
      <c r="P19" s="133"/>
      <c r="Q19" s="229" t="s">
        <v>211</v>
      </c>
      <c r="R19" s="207"/>
      <c r="S19" s="230"/>
      <c r="T19" s="230"/>
      <c r="U19" s="207"/>
      <c r="V19" s="207"/>
      <c r="W19" s="207"/>
      <c r="X19" s="209"/>
      <c r="Y19" s="153"/>
      <c r="Z19" s="182"/>
      <c r="AA19" s="183"/>
      <c r="AB19" s="191"/>
      <c r="AC19" s="158"/>
      <c r="AD19" s="158"/>
      <c r="AE19" s="158"/>
      <c r="AF19" s="158"/>
    </row>
    <row r="20" spans="1:32" s="22" customFormat="1" x14ac:dyDescent="0.2">
      <c r="A20" s="30"/>
      <c r="B20" s="73"/>
      <c r="C20" s="74" t="s">
        <v>5</v>
      </c>
      <c r="D20" s="27" t="s">
        <v>44</v>
      </c>
      <c r="E20" s="27"/>
      <c r="F20" s="27"/>
      <c r="G20" s="276" t="s">
        <v>185</v>
      </c>
      <c r="H20" s="27"/>
      <c r="I20" s="27" t="s">
        <v>19</v>
      </c>
      <c r="J20" s="103"/>
      <c r="K20" s="103" t="s">
        <v>49</v>
      </c>
      <c r="L20" s="30"/>
      <c r="M20" s="30"/>
      <c r="N20" s="108" t="s">
        <v>240</v>
      </c>
      <c r="P20" s="135"/>
      <c r="Q20" s="220"/>
      <c r="R20" s="231" t="s">
        <v>44</v>
      </c>
      <c r="S20" s="232">
        <f>Z20</f>
        <v>636.65</v>
      </c>
      <c r="T20" s="175">
        <v>619</v>
      </c>
      <c r="U20" s="153">
        <f>4*33</f>
        <v>132</v>
      </c>
      <c r="V20" s="233">
        <f>SUM(T20,U20)</f>
        <v>751</v>
      </c>
      <c r="W20" s="211">
        <f>S20/V20</f>
        <v>0.84773635153129157</v>
      </c>
      <c r="X20" s="212" t="s">
        <v>196</v>
      </c>
      <c r="Y20" s="153"/>
      <c r="Z20" s="177">
        <f>(AA20*0.07)+AA20</f>
        <v>636.65</v>
      </c>
      <c r="AA20" s="179">
        <v>595</v>
      </c>
      <c r="AB20" s="190">
        <v>619</v>
      </c>
      <c r="AC20" s="268"/>
      <c r="AD20" s="269"/>
      <c r="AE20" s="158"/>
      <c r="AF20" s="158"/>
    </row>
    <row r="21" spans="1:32" s="22" customFormat="1" x14ac:dyDescent="0.2">
      <c r="A21" s="30"/>
      <c r="B21" s="73"/>
      <c r="C21" s="74" t="s">
        <v>6</v>
      </c>
      <c r="D21" s="27" t="s">
        <v>45</v>
      </c>
      <c r="E21" s="27"/>
      <c r="F21" s="27"/>
      <c r="G21" s="276" t="s">
        <v>185</v>
      </c>
      <c r="H21" s="27"/>
      <c r="I21" s="27" t="s">
        <v>19</v>
      </c>
      <c r="J21" s="103"/>
      <c r="K21" s="103" t="s">
        <v>49</v>
      </c>
      <c r="L21" s="30"/>
      <c r="M21" s="30"/>
      <c r="N21" s="108" t="s">
        <v>241</v>
      </c>
      <c r="P21" s="135"/>
      <c r="Q21" s="220"/>
      <c r="R21" s="231" t="s">
        <v>45</v>
      </c>
      <c r="S21" s="232">
        <f>Z21</f>
        <v>846.37</v>
      </c>
      <c r="T21" s="175">
        <v>800</v>
      </c>
      <c r="U21" s="153"/>
      <c r="V21" s="233">
        <f>SUM(T21,U21)</f>
        <v>800</v>
      </c>
      <c r="W21" s="214">
        <f>S21/V21</f>
        <v>1.0579624999999999</v>
      </c>
      <c r="X21" s="212"/>
      <c r="Y21" s="153"/>
      <c r="Z21" s="177">
        <f>(AA21*0.07)+AA21</f>
        <v>846.37</v>
      </c>
      <c r="AA21" s="178">
        <v>791</v>
      </c>
      <c r="AB21" s="190">
        <v>800</v>
      </c>
      <c r="AC21" s="268"/>
      <c r="AD21" s="269"/>
      <c r="AE21" s="158"/>
      <c r="AF21" s="158"/>
    </row>
    <row r="22" spans="1:32" s="22" customFormat="1" x14ac:dyDescent="0.2">
      <c r="A22" s="30"/>
      <c r="B22" s="73"/>
      <c r="C22" s="74" t="s">
        <v>7</v>
      </c>
      <c r="D22" s="27" t="s">
        <v>46</v>
      </c>
      <c r="E22" s="27"/>
      <c r="F22" s="27"/>
      <c r="G22" s="276" t="s">
        <v>185</v>
      </c>
      <c r="H22" s="27"/>
      <c r="I22" s="27" t="s">
        <v>19</v>
      </c>
      <c r="J22" s="103"/>
      <c r="K22" s="103" t="s">
        <v>49</v>
      </c>
      <c r="L22" s="30"/>
      <c r="M22" s="30"/>
      <c r="N22" s="108" t="s">
        <v>242</v>
      </c>
      <c r="P22" s="135"/>
      <c r="Q22" s="220"/>
      <c r="R22" s="231" t="s">
        <v>46</v>
      </c>
      <c r="S22" s="232">
        <f>Z22</f>
        <v>807.85</v>
      </c>
      <c r="T22" s="175">
        <v>627</v>
      </c>
      <c r="U22" s="153">
        <v>164</v>
      </c>
      <c r="V22" s="233">
        <f>SUM(T22,U22)</f>
        <v>791</v>
      </c>
      <c r="W22" s="214">
        <f>S22/V22</f>
        <v>1.0213021491782555</v>
      </c>
      <c r="X22" s="212" t="s">
        <v>197</v>
      </c>
      <c r="Y22" s="153"/>
      <c r="Z22" s="177">
        <f>(AA22*0.07)+AA22</f>
        <v>807.85</v>
      </c>
      <c r="AA22" s="178">
        <v>755</v>
      </c>
      <c r="AB22" s="190">
        <v>627</v>
      </c>
      <c r="AC22" s="268"/>
      <c r="AD22" s="269"/>
      <c r="AE22" s="158"/>
      <c r="AF22" s="158"/>
    </row>
    <row r="23" spans="1:32" s="22" customFormat="1" x14ac:dyDescent="0.2">
      <c r="A23" s="30"/>
      <c r="B23" s="73"/>
      <c r="C23" s="74" t="s">
        <v>8</v>
      </c>
      <c r="D23" s="27" t="s">
        <v>47</v>
      </c>
      <c r="E23" s="27"/>
      <c r="F23" s="27"/>
      <c r="G23" s="276" t="s">
        <v>185</v>
      </c>
      <c r="H23" s="27"/>
      <c r="I23" s="27" t="s">
        <v>19</v>
      </c>
      <c r="J23" s="103"/>
      <c r="K23" s="103" t="s">
        <v>49</v>
      </c>
      <c r="L23" s="30"/>
      <c r="M23" s="30"/>
      <c r="N23" s="108" t="s">
        <v>243</v>
      </c>
      <c r="P23" s="131"/>
      <c r="Q23" s="220"/>
      <c r="R23" s="231" t="s">
        <v>47</v>
      </c>
      <c r="S23" s="232">
        <f>Z23</f>
        <v>735.09</v>
      </c>
      <c r="T23" s="175">
        <v>600</v>
      </c>
      <c r="U23" s="153">
        <f>4*33</f>
        <v>132</v>
      </c>
      <c r="V23" s="233">
        <f>SUM(T23,U23)</f>
        <v>732</v>
      </c>
      <c r="W23" s="214">
        <f>S23/V23</f>
        <v>1.0042213114754099</v>
      </c>
      <c r="X23" s="212" t="s">
        <v>198</v>
      </c>
      <c r="Y23" s="153"/>
      <c r="Z23" s="177">
        <f>(AA23*0.07)+AA23</f>
        <v>735.09</v>
      </c>
      <c r="AA23" s="178">
        <v>687</v>
      </c>
      <c r="AB23" s="190">
        <v>600</v>
      </c>
      <c r="AC23" s="268"/>
      <c r="AD23" s="269"/>
      <c r="AE23" s="158"/>
      <c r="AF23" s="158"/>
    </row>
    <row r="24" spans="1:32" s="22" customFormat="1" x14ac:dyDescent="0.2">
      <c r="A24" s="30"/>
      <c r="B24" s="73"/>
      <c r="C24" s="74" t="s">
        <v>9</v>
      </c>
      <c r="D24" s="27" t="s">
        <v>48</v>
      </c>
      <c r="E24" s="27"/>
      <c r="F24" s="27"/>
      <c r="G24" s="276" t="s">
        <v>185</v>
      </c>
      <c r="H24" s="277"/>
      <c r="I24" s="27" t="s">
        <v>19</v>
      </c>
      <c r="J24" s="103"/>
      <c r="K24" s="103" t="s">
        <v>102</v>
      </c>
      <c r="L24" s="30"/>
      <c r="M24" s="30"/>
      <c r="N24" s="106" t="s">
        <v>244</v>
      </c>
      <c r="P24" s="131"/>
      <c r="Q24" s="220"/>
      <c r="R24" s="231" t="s">
        <v>48</v>
      </c>
      <c r="S24" s="234">
        <f>F24</f>
        <v>0</v>
      </c>
      <c r="T24" s="235">
        <v>579</v>
      </c>
      <c r="U24" s="153"/>
      <c r="V24" s="153"/>
      <c r="W24" s="214"/>
      <c r="X24" s="212"/>
      <c r="Y24" s="153"/>
      <c r="Z24" s="177">
        <f>(AA24*0.07)+AA24</f>
        <v>640.93000000000006</v>
      </c>
      <c r="AA24" s="178">
        <v>599</v>
      </c>
      <c r="AB24" s="190">
        <v>579</v>
      </c>
      <c r="AC24" s="158"/>
      <c r="AD24" s="269"/>
      <c r="AE24" s="158"/>
      <c r="AF24" s="158"/>
    </row>
    <row r="25" spans="1:32" s="22" customFormat="1" x14ac:dyDescent="0.2">
      <c r="A25" s="30"/>
      <c r="B25" s="73"/>
      <c r="C25" s="74"/>
      <c r="D25" s="27"/>
      <c r="E25" s="27"/>
      <c r="F25" s="27"/>
      <c r="G25" s="276"/>
      <c r="H25" s="277"/>
      <c r="I25" s="27"/>
      <c r="J25" s="103"/>
      <c r="K25" s="103"/>
      <c r="L25" s="30"/>
      <c r="M25" s="30"/>
      <c r="N25" s="106"/>
      <c r="P25" s="131"/>
      <c r="Q25" s="220"/>
      <c r="R25" s="25" t="s">
        <v>193</v>
      </c>
      <c r="S25" s="232">
        <v>641</v>
      </c>
      <c r="T25" s="175"/>
      <c r="U25" s="153">
        <v>750</v>
      </c>
      <c r="V25" s="233">
        <f>SUM(T25,U25)</f>
        <v>750</v>
      </c>
      <c r="W25" s="211">
        <f>S25/V25</f>
        <v>0.85466666666666669</v>
      </c>
      <c r="X25" s="212" t="s">
        <v>194</v>
      </c>
      <c r="Y25" s="153"/>
      <c r="Z25" s="184"/>
      <c r="AA25" s="178"/>
      <c r="AB25" s="190"/>
      <c r="AC25" s="268"/>
      <c r="AD25" s="269"/>
      <c r="AE25" s="158"/>
      <c r="AF25" s="158"/>
    </row>
    <row r="26" spans="1:32" s="22" customFormat="1" x14ac:dyDescent="0.2">
      <c r="A26" s="30"/>
      <c r="B26" s="30"/>
      <c r="C26" s="30"/>
      <c r="D26" s="30"/>
      <c r="E26" s="30"/>
      <c r="F26" s="30"/>
      <c r="G26" s="276"/>
      <c r="H26" s="30"/>
      <c r="I26" s="30"/>
      <c r="J26" s="107"/>
      <c r="K26" s="107"/>
      <c r="L26" s="30"/>
      <c r="M26" s="30"/>
      <c r="N26" s="107"/>
      <c r="P26" s="135"/>
      <c r="Q26" s="283"/>
      <c r="R26" s="25" t="s">
        <v>127</v>
      </c>
      <c r="S26" s="158">
        <v>0</v>
      </c>
      <c r="T26" s="175"/>
      <c r="U26" s="153">
        <v>0</v>
      </c>
      <c r="V26" s="233">
        <f>SUM(T26,U26)</f>
        <v>0</v>
      </c>
      <c r="W26" s="221" t="s">
        <v>205</v>
      </c>
      <c r="X26" s="212" t="s">
        <v>195</v>
      </c>
      <c r="Y26" s="153"/>
      <c r="Z26" s="180"/>
      <c r="AA26" s="181"/>
      <c r="AB26" s="190"/>
      <c r="AC26" s="268"/>
      <c r="AD26" s="270"/>
      <c r="AE26" s="158"/>
      <c r="AF26" s="158"/>
    </row>
    <row r="27" spans="1:32" s="22" customFormat="1" ht="13.5" thickBot="1" x14ac:dyDescent="0.25">
      <c r="A27" s="30"/>
      <c r="B27" s="73" t="s">
        <v>2</v>
      </c>
      <c r="C27" s="73" t="s">
        <v>22</v>
      </c>
      <c r="D27" s="27"/>
      <c r="E27" s="27"/>
      <c r="F27" s="27"/>
      <c r="G27" s="276"/>
      <c r="H27" s="27"/>
      <c r="I27" s="27"/>
      <c r="J27" s="103"/>
      <c r="K27" s="103"/>
      <c r="L27" s="30"/>
      <c r="M27" s="30"/>
      <c r="N27" s="103"/>
      <c r="P27" s="136"/>
      <c r="Q27" s="236"/>
      <c r="R27" s="237" t="s">
        <v>199</v>
      </c>
      <c r="S27" s="238">
        <f>SUM(S20,S21,S22,S23,S25,S26)</f>
        <v>3666.96</v>
      </c>
      <c r="T27" s="239">
        <f>SUM(T20,T21,T22,T23,T24)</f>
        <v>3225</v>
      </c>
      <c r="U27" s="240">
        <f>S27/T27</f>
        <v>1.1370418604651162</v>
      </c>
      <c r="V27" s="239">
        <f>SUM(V20:V26)</f>
        <v>3824</v>
      </c>
      <c r="W27" s="227">
        <f>S27/V27</f>
        <v>0.95893305439330545</v>
      </c>
      <c r="X27" s="241"/>
      <c r="Y27" s="153"/>
      <c r="Z27" s="184"/>
      <c r="AA27" s="178"/>
      <c r="AB27" s="191"/>
      <c r="AC27" s="268"/>
      <c r="AD27" s="269"/>
      <c r="AE27" s="158"/>
      <c r="AF27" s="158"/>
    </row>
    <row r="28" spans="1:32" s="22" customFormat="1" x14ac:dyDescent="0.2">
      <c r="A28" s="30"/>
      <c r="B28" s="73"/>
      <c r="C28" s="74" t="s">
        <v>5</v>
      </c>
      <c r="D28" s="27" t="s">
        <v>57</v>
      </c>
      <c r="E28" s="27"/>
      <c r="F28" s="27"/>
      <c r="G28" s="276" t="s">
        <v>185</v>
      </c>
      <c r="H28" s="277"/>
      <c r="I28" s="27" t="s">
        <v>19</v>
      </c>
      <c r="J28" s="103"/>
      <c r="K28" s="103" t="s">
        <v>34</v>
      </c>
      <c r="L28" s="30"/>
      <c r="M28" s="30"/>
      <c r="N28" s="106" t="s">
        <v>245</v>
      </c>
      <c r="P28" s="131"/>
      <c r="Q28" s="249" t="s">
        <v>210</v>
      </c>
      <c r="R28" s="206"/>
      <c r="S28" s="207"/>
      <c r="T28" s="208"/>
      <c r="U28" s="207"/>
      <c r="V28" s="208"/>
      <c r="W28" s="207"/>
      <c r="X28" s="209"/>
      <c r="Y28" s="153"/>
      <c r="Z28" s="177">
        <f t="shared" ref="Z28:Z36" si="0">(AA28*0.07)+AA28</f>
        <v>448.33</v>
      </c>
      <c r="AA28" s="185">
        <v>419</v>
      </c>
      <c r="AB28" s="189">
        <v>600</v>
      </c>
      <c r="AC28" s="269"/>
      <c r="AD28" s="158"/>
      <c r="AE28" s="158"/>
      <c r="AF28" s="158"/>
    </row>
    <row r="29" spans="1:32" s="22" customFormat="1" x14ac:dyDescent="0.2">
      <c r="A29" s="30"/>
      <c r="B29" s="73"/>
      <c r="C29" s="74" t="s">
        <v>6</v>
      </c>
      <c r="D29" s="27" t="s">
        <v>98</v>
      </c>
      <c r="E29" s="27"/>
      <c r="F29" s="27"/>
      <c r="G29" s="278" t="s">
        <v>185</v>
      </c>
      <c r="H29" s="277"/>
      <c r="I29" s="27" t="s">
        <v>19</v>
      </c>
      <c r="J29" s="103"/>
      <c r="K29" s="103" t="s">
        <v>34</v>
      </c>
      <c r="L29" s="30"/>
      <c r="M29" s="30"/>
      <c r="N29" s="106" t="s">
        <v>108</v>
      </c>
      <c r="P29" s="131"/>
      <c r="Q29" s="210"/>
      <c r="R29" s="203" t="s">
        <v>57</v>
      </c>
      <c r="S29" s="153">
        <v>448</v>
      </c>
      <c r="T29" s="153">
        <v>600</v>
      </c>
      <c r="U29" s="153">
        <v>0</v>
      </c>
      <c r="V29" s="153">
        <f t="shared" ref="V29:V37" si="1">SUM(T29:U29)</f>
        <v>600</v>
      </c>
      <c r="W29" s="211">
        <f t="shared" ref="W29:W37" si="2">S29/V29</f>
        <v>0.7466666666666667</v>
      </c>
      <c r="X29" s="212" t="s">
        <v>216</v>
      </c>
      <c r="Y29" s="153"/>
      <c r="Z29" s="177">
        <f t="shared" si="0"/>
        <v>799.29</v>
      </c>
      <c r="AA29" s="186">
        <v>747</v>
      </c>
      <c r="AB29" s="189">
        <v>750</v>
      </c>
      <c r="AC29" s="158"/>
      <c r="AD29" s="269"/>
      <c r="AE29" s="158"/>
      <c r="AF29" s="158"/>
    </row>
    <row r="30" spans="1:32" s="153" customFormat="1" ht="13.5" customHeight="1" x14ac:dyDescent="0.2">
      <c r="A30" s="158"/>
      <c r="B30" s="312"/>
      <c r="C30" s="154" t="s">
        <v>7</v>
      </c>
      <c r="D30" s="25" t="s">
        <v>165</v>
      </c>
      <c r="E30" s="25"/>
      <c r="F30" s="25"/>
      <c r="G30" s="279" t="s">
        <v>185</v>
      </c>
      <c r="H30" s="159"/>
      <c r="I30" s="25" t="s">
        <v>19</v>
      </c>
      <c r="J30" s="25"/>
      <c r="K30" s="25" t="s">
        <v>34</v>
      </c>
      <c r="L30" s="158"/>
      <c r="M30" s="158"/>
      <c r="N30" s="154" t="s">
        <v>246</v>
      </c>
      <c r="P30" s="151"/>
      <c r="Q30" s="213"/>
      <c r="R30" s="203" t="s">
        <v>98</v>
      </c>
      <c r="S30" s="153">
        <v>799</v>
      </c>
      <c r="T30" s="153">
        <v>750</v>
      </c>
      <c r="U30" s="153">
        <v>100</v>
      </c>
      <c r="V30" s="153">
        <f t="shared" si="1"/>
        <v>850</v>
      </c>
      <c r="W30" s="214">
        <f t="shared" si="2"/>
        <v>0.94</v>
      </c>
      <c r="X30" s="212" t="s">
        <v>217</v>
      </c>
      <c r="Z30" s="177">
        <f t="shared" si="0"/>
        <v>345.61</v>
      </c>
      <c r="AA30" s="186">
        <v>323</v>
      </c>
      <c r="AB30" s="192">
        <v>600</v>
      </c>
      <c r="AC30" s="158"/>
      <c r="AD30" s="269"/>
      <c r="AE30" s="158"/>
      <c r="AF30" s="158"/>
    </row>
    <row r="31" spans="1:32" s="22" customFormat="1" x14ac:dyDescent="0.2">
      <c r="A31" s="30"/>
      <c r="B31" s="73"/>
      <c r="C31" s="74" t="s">
        <v>8</v>
      </c>
      <c r="D31" s="27" t="s">
        <v>67</v>
      </c>
      <c r="E31" s="27"/>
      <c r="F31" s="27"/>
      <c r="G31" s="276" t="s">
        <v>185</v>
      </c>
      <c r="H31" s="277"/>
      <c r="I31" s="27" t="s">
        <v>19</v>
      </c>
      <c r="J31" s="103"/>
      <c r="K31" s="103" t="s">
        <v>34</v>
      </c>
      <c r="L31" s="30"/>
      <c r="M31" s="30"/>
      <c r="N31" s="106" t="s">
        <v>247</v>
      </c>
      <c r="P31" s="131"/>
      <c r="Q31" s="210"/>
      <c r="R31" s="203" t="s">
        <v>165</v>
      </c>
      <c r="S31" s="158">
        <v>346</v>
      </c>
      <c r="T31" s="153">
        <v>600</v>
      </c>
      <c r="U31" s="153"/>
      <c r="V31" s="153">
        <f t="shared" si="1"/>
        <v>600</v>
      </c>
      <c r="W31" s="211">
        <f t="shared" si="2"/>
        <v>0.57666666666666666</v>
      </c>
      <c r="X31" s="212"/>
      <c r="Y31" s="153"/>
      <c r="Z31" s="177">
        <f t="shared" si="0"/>
        <v>618.46</v>
      </c>
      <c r="AA31" s="185">
        <v>578</v>
      </c>
      <c r="AB31" s="190">
        <v>600</v>
      </c>
      <c r="AC31" s="158"/>
      <c r="AD31" s="269"/>
      <c r="AE31" s="158"/>
      <c r="AF31" s="158"/>
    </row>
    <row r="32" spans="1:32" s="22" customFormat="1" x14ac:dyDescent="0.2">
      <c r="A32" s="30"/>
      <c r="B32" s="73"/>
      <c r="C32" s="74" t="s">
        <v>10</v>
      </c>
      <c r="D32" s="27" t="s">
        <v>58</v>
      </c>
      <c r="E32" s="27"/>
      <c r="F32" s="27"/>
      <c r="G32" s="276" t="s">
        <v>185</v>
      </c>
      <c r="H32" s="277"/>
      <c r="I32" s="27" t="s">
        <v>19</v>
      </c>
      <c r="J32" s="103"/>
      <c r="K32" s="103" t="s">
        <v>34</v>
      </c>
      <c r="L32" s="30"/>
      <c r="M32" s="30"/>
      <c r="N32" s="106" t="s">
        <v>248</v>
      </c>
      <c r="P32" s="131"/>
      <c r="Q32" s="210"/>
      <c r="R32" s="203" t="s">
        <v>67</v>
      </c>
      <c r="S32" s="158">
        <v>618</v>
      </c>
      <c r="T32" s="153">
        <v>600</v>
      </c>
      <c r="U32" s="153">
        <v>100</v>
      </c>
      <c r="V32" s="153">
        <f t="shared" si="1"/>
        <v>700</v>
      </c>
      <c r="W32" s="211">
        <f t="shared" si="2"/>
        <v>0.8828571428571429</v>
      </c>
      <c r="X32" s="215" t="s">
        <v>218</v>
      </c>
      <c r="Y32" s="158"/>
      <c r="Z32" s="177">
        <f t="shared" si="0"/>
        <v>526.44000000000005</v>
      </c>
      <c r="AA32" s="185">
        <v>492</v>
      </c>
      <c r="AB32" s="189">
        <v>600</v>
      </c>
      <c r="AC32" s="158"/>
      <c r="AD32" s="269"/>
      <c r="AE32" s="158"/>
      <c r="AF32" s="158"/>
    </row>
    <row r="33" spans="1:32" s="22" customFormat="1" x14ac:dyDescent="0.2">
      <c r="A33" s="30"/>
      <c r="B33" s="73"/>
      <c r="C33" s="74" t="s">
        <v>11</v>
      </c>
      <c r="D33" s="27" t="s">
        <v>59</v>
      </c>
      <c r="E33" s="27"/>
      <c r="F33" s="27"/>
      <c r="G33" s="276" t="s">
        <v>185</v>
      </c>
      <c r="H33" s="277"/>
      <c r="I33" s="27" t="s">
        <v>19</v>
      </c>
      <c r="J33" s="27"/>
      <c r="K33" s="27" t="s">
        <v>34</v>
      </c>
      <c r="L33" s="30"/>
      <c r="M33" s="30"/>
      <c r="N33" s="74" t="s">
        <v>167</v>
      </c>
      <c r="P33" s="131"/>
      <c r="Q33" s="216"/>
      <c r="R33" s="203" t="s">
        <v>58</v>
      </c>
      <c r="S33" s="158">
        <v>526</v>
      </c>
      <c r="T33" s="153">
        <v>600</v>
      </c>
      <c r="U33" s="153">
        <v>100</v>
      </c>
      <c r="V33" s="153">
        <f t="shared" si="1"/>
        <v>700</v>
      </c>
      <c r="W33" s="211">
        <f t="shared" si="2"/>
        <v>0.75142857142857145</v>
      </c>
      <c r="X33" s="215" t="s">
        <v>219</v>
      </c>
      <c r="Y33" s="158"/>
      <c r="Z33" s="177">
        <f t="shared" si="0"/>
        <v>552.12</v>
      </c>
      <c r="AA33" s="186">
        <v>516</v>
      </c>
      <c r="AB33" s="189">
        <v>600</v>
      </c>
      <c r="AC33" s="158"/>
      <c r="AD33" s="269"/>
      <c r="AE33" s="158"/>
      <c r="AF33" s="158"/>
    </row>
    <row r="34" spans="1:32" s="22" customFormat="1" x14ac:dyDescent="0.2">
      <c r="A34" s="30"/>
      <c r="B34" s="73"/>
      <c r="C34" s="74" t="s">
        <v>50</v>
      </c>
      <c r="D34" s="27" t="s">
        <v>60</v>
      </c>
      <c r="E34" s="27"/>
      <c r="F34" s="27"/>
      <c r="G34" s="276" t="s">
        <v>185</v>
      </c>
      <c r="H34" s="277"/>
      <c r="I34" s="27" t="s">
        <v>19</v>
      </c>
      <c r="J34" s="103"/>
      <c r="K34" s="103" t="s">
        <v>100</v>
      </c>
      <c r="L34" s="30"/>
      <c r="M34" s="30"/>
      <c r="N34" s="106" t="s">
        <v>249</v>
      </c>
      <c r="P34" s="131"/>
      <c r="Q34" s="210"/>
      <c r="R34" s="203" t="s">
        <v>59</v>
      </c>
      <c r="S34" s="158">
        <v>552</v>
      </c>
      <c r="T34" s="153">
        <v>600</v>
      </c>
      <c r="U34" s="153">
        <v>0</v>
      </c>
      <c r="V34" s="153">
        <f t="shared" si="1"/>
        <v>600</v>
      </c>
      <c r="W34" s="211">
        <f t="shared" si="2"/>
        <v>0.92</v>
      </c>
      <c r="X34" s="215" t="s">
        <v>220</v>
      </c>
      <c r="Y34" s="158"/>
      <c r="Z34" s="177">
        <f t="shared" si="0"/>
        <v>558.54</v>
      </c>
      <c r="AA34" s="185">
        <v>522</v>
      </c>
      <c r="AB34" s="189">
        <v>500</v>
      </c>
      <c r="AC34" s="158"/>
      <c r="AD34" s="269"/>
      <c r="AE34" s="158"/>
      <c r="AF34" s="158"/>
    </row>
    <row r="35" spans="1:32" s="22" customFormat="1" x14ac:dyDescent="0.2">
      <c r="A35" s="30"/>
      <c r="B35" s="73"/>
      <c r="C35" s="74" t="s">
        <v>51</v>
      </c>
      <c r="D35" s="27" t="s">
        <v>61</v>
      </c>
      <c r="E35" s="27"/>
      <c r="F35" s="27"/>
      <c r="G35" s="276" t="s">
        <v>185</v>
      </c>
      <c r="H35" s="277"/>
      <c r="I35" s="27" t="s">
        <v>19</v>
      </c>
      <c r="J35" s="103"/>
      <c r="K35" s="103" t="s">
        <v>34</v>
      </c>
      <c r="L35" s="30"/>
      <c r="M35" s="30"/>
      <c r="N35" s="106" t="s">
        <v>250</v>
      </c>
      <c r="P35" s="131"/>
      <c r="Q35" s="210"/>
      <c r="R35" s="203" t="s">
        <v>60</v>
      </c>
      <c r="S35" s="158">
        <v>559</v>
      </c>
      <c r="T35" s="153">
        <v>500</v>
      </c>
      <c r="U35" s="153">
        <f>6*25</f>
        <v>150</v>
      </c>
      <c r="V35" s="153">
        <f t="shared" si="1"/>
        <v>650</v>
      </c>
      <c r="W35" s="214">
        <f t="shared" si="2"/>
        <v>0.86</v>
      </c>
      <c r="X35" s="212" t="s">
        <v>215</v>
      </c>
      <c r="Y35" s="153"/>
      <c r="Z35" s="177">
        <f t="shared" si="0"/>
        <v>467.59000000000003</v>
      </c>
      <c r="AA35" s="186">
        <v>437</v>
      </c>
      <c r="AB35" s="190">
        <v>472</v>
      </c>
      <c r="AC35" s="158"/>
      <c r="AD35" s="269"/>
      <c r="AE35" s="158"/>
      <c r="AF35" s="158"/>
    </row>
    <row r="36" spans="1:32" s="22" customFormat="1" x14ac:dyDescent="0.2">
      <c r="A36" s="30"/>
      <c r="B36" s="73"/>
      <c r="C36" s="74" t="s">
        <v>52</v>
      </c>
      <c r="D36" s="27" t="s">
        <v>62</v>
      </c>
      <c r="E36" s="27"/>
      <c r="F36" s="27"/>
      <c r="G36" s="276" t="s">
        <v>185</v>
      </c>
      <c r="H36" s="277"/>
      <c r="I36" s="27" t="s">
        <v>19</v>
      </c>
      <c r="J36" s="103"/>
      <c r="K36" s="103" t="s">
        <v>99</v>
      </c>
      <c r="L36" s="30"/>
      <c r="M36" s="30"/>
      <c r="N36" s="106" t="s">
        <v>251</v>
      </c>
      <c r="P36" s="135"/>
      <c r="Q36" s="217"/>
      <c r="R36" s="203" t="s">
        <v>61</v>
      </c>
      <c r="S36" s="158">
        <v>468</v>
      </c>
      <c r="T36" s="153">
        <v>472</v>
      </c>
      <c r="U36" s="153">
        <f>7*25</f>
        <v>175</v>
      </c>
      <c r="V36" s="153">
        <f t="shared" si="1"/>
        <v>647</v>
      </c>
      <c r="W36" s="211">
        <f t="shared" si="2"/>
        <v>0.72333848531684697</v>
      </c>
      <c r="X36" s="212" t="s">
        <v>213</v>
      </c>
      <c r="Y36" s="153"/>
      <c r="Z36" s="177">
        <f t="shared" si="0"/>
        <v>437.63</v>
      </c>
      <c r="AA36" s="186">
        <v>409</v>
      </c>
      <c r="AB36" s="190">
        <v>472</v>
      </c>
      <c r="AC36" s="158"/>
      <c r="AD36" s="269"/>
      <c r="AE36" s="158"/>
      <c r="AF36" s="158"/>
    </row>
    <row r="37" spans="1:32" s="22" customFormat="1" x14ac:dyDescent="0.2">
      <c r="A37" s="30"/>
      <c r="B37" s="73"/>
      <c r="C37" s="74"/>
      <c r="D37" s="339" t="s">
        <v>232</v>
      </c>
      <c r="E37" s="339"/>
      <c r="F37" s="339"/>
      <c r="G37" s="339"/>
      <c r="H37" s="339"/>
      <c r="I37" s="339"/>
      <c r="J37" s="103"/>
      <c r="K37" s="103"/>
      <c r="L37" s="30"/>
      <c r="M37" s="30"/>
      <c r="N37" s="106"/>
      <c r="P37" s="135"/>
      <c r="Q37" s="217" t="s">
        <v>207</v>
      </c>
      <c r="R37" s="203" t="s">
        <v>62</v>
      </c>
      <c r="S37" s="158">
        <v>438</v>
      </c>
      <c r="T37" s="153">
        <v>472</v>
      </c>
      <c r="U37" s="153">
        <v>-25</v>
      </c>
      <c r="V37" s="153">
        <f t="shared" si="1"/>
        <v>447</v>
      </c>
      <c r="W37" s="214">
        <f t="shared" si="2"/>
        <v>0.97986577181208057</v>
      </c>
      <c r="X37" s="212" t="s">
        <v>208</v>
      </c>
      <c r="Y37" s="153"/>
      <c r="Z37" s="184"/>
      <c r="AA37" s="187"/>
      <c r="AB37" s="190"/>
      <c r="AC37" s="158"/>
      <c r="AD37" s="269"/>
      <c r="AE37" s="158"/>
      <c r="AF37" s="158"/>
    </row>
    <row r="38" spans="1:32" s="22" customFormat="1" ht="12.75" customHeight="1" x14ac:dyDescent="0.2">
      <c r="A38" s="30"/>
      <c r="B38" s="73"/>
      <c r="C38" s="74" t="s">
        <v>53</v>
      </c>
      <c r="D38" s="27" t="s">
        <v>63</v>
      </c>
      <c r="E38" s="27"/>
      <c r="F38" s="27"/>
      <c r="G38" s="276" t="s">
        <v>185</v>
      </c>
      <c r="H38" s="277"/>
      <c r="I38" s="27" t="s">
        <v>19</v>
      </c>
      <c r="J38" s="103"/>
      <c r="K38" s="103" t="s">
        <v>100</v>
      </c>
      <c r="L38" s="30"/>
      <c r="M38" s="30"/>
      <c r="N38" s="106" t="s">
        <v>252</v>
      </c>
      <c r="P38" s="135"/>
      <c r="Q38" s="210"/>
      <c r="R38" s="25"/>
      <c r="S38" s="153"/>
      <c r="T38" s="153"/>
      <c r="U38" s="153"/>
      <c r="V38" s="153"/>
      <c r="W38" s="153"/>
      <c r="X38" s="212"/>
      <c r="Y38" s="153"/>
      <c r="Z38" s="177">
        <f>(AA38*0.07)+AA38</f>
        <v>512.53</v>
      </c>
      <c r="AA38" s="185">
        <v>479</v>
      </c>
      <c r="AB38" s="189">
        <v>500</v>
      </c>
      <c r="AC38" s="158"/>
      <c r="AD38" s="158"/>
      <c r="AE38" s="158"/>
      <c r="AF38" s="158"/>
    </row>
    <row r="39" spans="1:32" s="22" customFormat="1" x14ac:dyDescent="0.2">
      <c r="A39" s="30"/>
      <c r="B39" s="73"/>
      <c r="C39" s="74" t="s">
        <v>54</v>
      </c>
      <c r="D39" s="27" t="s">
        <v>64</v>
      </c>
      <c r="E39" s="27"/>
      <c r="F39" s="27"/>
      <c r="G39" s="276" t="s">
        <v>185</v>
      </c>
      <c r="H39" s="277"/>
      <c r="I39" s="27" t="s">
        <v>19</v>
      </c>
      <c r="J39" s="103"/>
      <c r="K39" s="103" t="s">
        <v>34</v>
      </c>
      <c r="L39" s="30"/>
      <c r="M39" s="30"/>
      <c r="N39" s="106" t="s">
        <v>253</v>
      </c>
      <c r="P39" s="135"/>
      <c r="Q39" s="210"/>
      <c r="R39" s="203" t="s">
        <v>63</v>
      </c>
      <c r="S39" s="153">
        <v>513</v>
      </c>
      <c r="T39" s="153">
        <v>500</v>
      </c>
      <c r="U39" s="153">
        <v>0</v>
      </c>
      <c r="V39" s="153">
        <f>SUM(T39:U39)</f>
        <v>500</v>
      </c>
      <c r="W39" s="214">
        <f>S39/V39</f>
        <v>1.026</v>
      </c>
      <c r="X39" s="212" t="s">
        <v>221</v>
      </c>
      <c r="Y39" s="153"/>
      <c r="Z39" s="177">
        <f>(AA39*0.07)+AA39</f>
        <v>618.46</v>
      </c>
      <c r="AA39" s="185">
        <v>578</v>
      </c>
      <c r="AB39" s="189">
        <v>600</v>
      </c>
      <c r="AC39" s="158"/>
      <c r="AD39" s="269"/>
      <c r="AE39" s="158"/>
      <c r="AF39" s="158"/>
    </row>
    <row r="40" spans="1:32" s="22" customFormat="1" x14ac:dyDescent="0.2">
      <c r="A40" s="30"/>
      <c r="B40" s="73"/>
      <c r="C40" s="74" t="s">
        <v>55</v>
      </c>
      <c r="D40" s="27" t="s">
        <v>65</v>
      </c>
      <c r="E40" s="27"/>
      <c r="F40" s="27"/>
      <c r="G40" s="276" t="s">
        <v>185</v>
      </c>
      <c r="H40" s="277"/>
      <c r="I40" s="27" t="s">
        <v>19</v>
      </c>
      <c r="J40" s="103"/>
      <c r="K40" s="103" t="s">
        <v>100</v>
      </c>
      <c r="L40" s="30"/>
      <c r="M40" s="30"/>
      <c r="N40" s="106" t="s">
        <v>254</v>
      </c>
      <c r="P40" s="143"/>
      <c r="Q40" s="210"/>
      <c r="R40" s="203" t="s">
        <v>64</v>
      </c>
      <c r="S40" s="153">
        <v>618</v>
      </c>
      <c r="T40" s="153">
        <v>600</v>
      </c>
      <c r="U40" s="153">
        <v>0</v>
      </c>
      <c r="V40" s="153">
        <f>SUM(T40:U40)</f>
        <v>600</v>
      </c>
      <c r="W40" s="214">
        <f>S40/V40</f>
        <v>1.03</v>
      </c>
      <c r="X40" s="212" t="s">
        <v>222</v>
      </c>
      <c r="Y40" s="153"/>
      <c r="Z40" s="177">
        <f>(AA40*0.07)+AA40</f>
        <v>537.14</v>
      </c>
      <c r="AA40" s="185">
        <v>502</v>
      </c>
      <c r="AB40" s="190">
        <v>500</v>
      </c>
      <c r="AC40" s="158"/>
      <c r="AD40" s="269"/>
      <c r="AE40" s="158"/>
      <c r="AF40" s="158"/>
    </row>
    <row r="41" spans="1:32" s="22" customFormat="1" x14ac:dyDescent="0.2">
      <c r="A41" s="30"/>
      <c r="B41" s="73"/>
      <c r="C41" s="74" t="s">
        <v>56</v>
      </c>
      <c r="D41" s="27" t="s">
        <v>66</v>
      </c>
      <c r="E41" s="27"/>
      <c r="F41" s="27"/>
      <c r="G41" s="276" t="s">
        <v>185</v>
      </c>
      <c r="H41" s="277"/>
      <c r="I41" s="27" t="s">
        <v>19</v>
      </c>
      <c r="J41" s="103"/>
      <c r="K41" s="103" t="s">
        <v>100</v>
      </c>
      <c r="L41" s="30"/>
      <c r="M41" s="30"/>
      <c r="N41" s="106" t="s">
        <v>255</v>
      </c>
      <c r="P41" s="135"/>
      <c r="Q41" s="210"/>
      <c r="R41" s="203" t="s">
        <v>65</v>
      </c>
      <c r="S41" s="153">
        <v>537</v>
      </c>
      <c r="T41" s="153">
        <v>500</v>
      </c>
      <c r="U41" s="153">
        <v>100</v>
      </c>
      <c r="V41" s="153">
        <f>SUM(T41:U41)</f>
        <v>600</v>
      </c>
      <c r="W41" s="214">
        <f>S41/V41</f>
        <v>0.89500000000000002</v>
      </c>
      <c r="X41" s="212" t="s">
        <v>223</v>
      </c>
      <c r="Y41" s="153"/>
      <c r="Z41" s="177">
        <f>(AA41*0.07)+AA41</f>
        <v>605.62</v>
      </c>
      <c r="AA41" s="185">
        <v>566</v>
      </c>
      <c r="AB41" s="190">
        <v>550</v>
      </c>
      <c r="AC41" s="158"/>
      <c r="AD41" s="269"/>
      <c r="AE41" s="158"/>
      <c r="AF41" s="158"/>
    </row>
    <row r="42" spans="1:32" ht="13.5" customHeight="1" x14ac:dyDescent="0.2">
      <c r="G42" s="107"/>
      <c r="H42" s="107"/>
      <c r="I42" s="107"/>
      <c r="J42" s="107"/>
      <c r="K42" s="107"/>
      <c r="L42" s="104"/>
      <c r="M42" s="105"/>
      <c r="N42" s="107"/>
      <c r="O42" s="132"/>
      <c r="P42" s="135"/>
      <c r="Q42" s="218"/>
      <c r="R42" s="203" t="s">
        <v>66</v>
      </c>
      <c r="S42" s="153">
        <v>606</v>
      </c>
      <c r="T42" s="153">
        <v>550</v>
      </c>
      <c r="U42" s="219">
        <f>4*25</f>
        <v>100</v>
      </c>
      <c r="V42" s="153">
        <f>SUM(T42:U42)</f>
        <v>650</v>
      </c>
      <c r="W42" s="214">
        <f>S42/V42</f>
        <v>0.93230769230769228</v>
      </c>
      <c r="X42" s="212" t="s">
        <v>214</v>
      </c>
      <c r="Y42" s="153"/>
      <c r="Z42" s="158"/>
      <c r="AA42" s="158"/>
      <c r="AB42" s="265"/>
      <c r="AC42" s="158"/>
      <c r="AD42" s="269"/>
      <c r="AE42" s="158"/>
      <c r="AF42" s="265"/>
    </row>
    <row r="43" spans="1:32" ht="14.25" x14ac:dyDescent="0.2">
      <c r="B43" s="313" t="s">
        <v>169</v>
      </c>
      <c r="C43" s="314"/>
      <c r="D43" s="31"/>
      <c r="E43" s="31"/>
      <c r="F43" s="31"/>
      <c r="G43" s="31"/>
      <c r="H43" s="31"/>
      <c r="I43" s="31"/>
      <c r="J43" s="31"/>
      <c r="K43" s="31"/>
      <c r="L43" s="31"/>
      <c r="M43" s="31"/>
      <c r="N43" s="32"/>
      <c r="Q43" s="283"/>
      <c r="R43" s="25" t="s">
        <v>206</v>
      </c>
      <c r="S43" s="219"/>
      <c r="T43" s="219"/>
      <c r="U43" s="219">
        <v>0</v>
      </c>
      <c r="V43" s="153">
        <f>SUM(T43:U43)</f>
        <v>0</v>
      </c>
      <c r="W43" s="221" t="s">
        <v>205</v>
      </c>
      <c r="X43" s="212" t="s">
        <v>209</v>
      </c>
      <c r="Y43" s="153"/>
      <c r="Z43" s="265"/>
      <c r="AA43" s="265"/>
      <c r="AB43" s="265"/>
      <c r="AC43" s="158"/>
      <c r="AD43" s="270"/>
      <c r="AE43" s="158"/>
      <c r="AF43" s="265"/>
    </row>
    <row r="44" spans="1:32" ht="5.25" customHeight="1" x14ac:dyDescent="0.2">
      <c r="B44" s="74"/>
      <c r="C44" s="74"/>
      <c r="D44" s="27"/>
      <c r="E44" s="27"/>
      <c r="F44" s="27"/>
      <c r="G44" s="27"/>
      <c r="H44" s="27"/>
      <c r="I44" s="27"/>
      <c r="J44" s="27"/>
      <c r="K44" s="27"/>
      <c r="L44" s="27"/>
      <c r="M44" s="27"/>
      <c r="N44" s="33"/>
      <c r="Q44" s="222"/>
      <c r="R44" s="219"/>
      <c r="S44" s="219"/>
      <c r="T44" s="219"/>
      <c r="U44" s="219"/>
      <c r="V44" s="219"/>
      <c r="W44" s="219"/>
      <c r="X44" s="223"/>
      <c r="Y44" s="219"/>
      <c r="Z44" s="265"/>
      <c r="AA44" s="265"/>
      <c r="AB44" s="265"/>
      <c r="AC44" s="265"/>
      <c r="AD44" s="265"/>
      <c r="AE44" s="265"/>
      <c r="AF44" s="265"/>
    </row>
    <row r="45" spans="1:32" ht="13.5" thickBot="1" x14ac:dyDescent="0.25">
      <c r="B45" s="164" t="s">
        <v>173</v>
      </c>
      <c r="C45" s="165" t="s">
        <v>148</v>
      </c>
      <c r="D45" s="25"/>
      <c r="E45" s="25"/>
      <c r="F45" s="25"/>
      <c r="G45" s="25"/>
      <c r="H45" s="113"/>
      <c r="I45" s="113"/>
      <c r="J45" s="113"/>
      <c r="K45" s="113"/>
      <c r="L45" s="113"/>
      <c r="M45" s="113"/>
      <c r="N45" s="112"/>
      <c r="Q45" s="224"/>
      <c r="R45" s="225" t="s">
        <v>199</v>
      </c>
      <c r="S45" s="226">
        <f>SUM(S29:S43)</f>
        <v>7028</v>
      </c>
      <c r="T45" s="226">
        <f>SUM(T29:T42)</f>
        <v>7344</v>
      </c>
      <c r="U45" s="226"/>
      <c r="V45" s="226">
        <f>SUM(V29:V43)</f>
        <v>8144</v>
      </c>
      <c r="W45" s="227">
        <f>S45/V45</f>
        <v>0.86296660117878188</v>
      </c>
      <c r="X45" s="228"/>
      <c r="Y45" s="219"/>
      <c r="Z45" s="265"/>
      <c r="AA45" s="265"/>
      <c r="AB45" s="265"/>
      <c r="AC45" s="265"/>
      <c r="AD45" s="269"/>
      <c r="AE45" s="265"/>
      <c r="AF45" s="265"/>
    </row>
    <row r="46" spans="1:32" s="155" customFormat="1" ht="6" customHeight="1" x14ac:dyDescent="0.2">
      <c r="B46" s="154"/>
      <c r="C46" s="56"/>
      <c r="D46" s="258"/>
      <c r="E46" s="258"/>
      <c r="F46" s="258"/>
      <c r="G46" s="258"/>
      <c r="H46" s="258"/>
      <c r="I46" s="258"/>
      <c r="J46" s="258"/>
      <c r="K46" s="258"/>
      <c r="L46" s="258"/>
      <c r="M46" s="46"/>
      <c r="N46" s="84"/>
      <c r="Z46" s="265"/>
      <c r="AA46" s="265"/>
      <c r="AB46" s="265"/>
      <c r="AC46" s="265"/>
      <c r="AD46" s="265"/>
      <c r="AE46" s="265"/>
      <c r="AF46" s="265"/>
    </row>
    <row r="47" spans="1:32" s="155" customFormat="1" x14ac:dyDescent="0.2">
      <c r="A47" s="163"/>
      <c r="B47" s="154"/>
      <c r="C47" s="56" t="s">
        <v>0</v>
      </c>
      <c r="D47" s="46" t="s">
        <v>143</v>
      </c>
      <c r="E47" s="62"/>
      <c r="F47" s="46"/>
      <c r="G47" s="46"/>
      <c r="H47" s="57"/>
      <c r="I47" s="46"/>
      <c r="J47" s="46"/>
      <c r="K47" s="45">
        <v>81291</v>
      </c>
      <c r="L47" s="42" t="s">
        <v>23</v>
      </c>
      <c r="M47" s="46"/>
      <c r="N47" s="47"/>
    </row>
    <row r="48" spans="1:32" s="155" customFormat="1" ht="25.15" customHeight="1" x14ac:dyDescent="0.2">
      <c r="B48" s="154"/>
      <c r="C48" s="56"/>
      <c r="D48" s="331" t="s">
        <v>256</v>
      </c>
      <c r="E48" s="331"/>
      <c r="F48" s="331"/>
      <c r="G48" s="331"/>
      <c r="H48" s="331"/>
      <c r="I48" s="331"/>
      <c r="J48" s="331"/>
      <c r="K48" s="331"/>
      <c r="L48" s="331"/>
      <c r="M48" s="46"/>
      <c r="N48" s="84">
        <f>K47*262.7</f>
        <v>21355145.699999999</v>
      </c>
    </row>
    <row r="49" spans="1:36" ht="6" customHeight="1" x14ac:dyDescent="0.2">
      <c r="B49" s="157"/>
      <c r="C49" s="111"/>
      <c r="D49" s="103"/>
      <c r="E49" s="103"/>
      <c r="F49" s="103"/>
      <c r="G49" s="103"/>
      <c r="H49" s="103"/>
      <c r="I49" s="103"/>
      <c r="J49" s="103"/>
      <c r="K49" s="103"/>
      <c r="L49" s="103"/>
      <c r="M49" s="103"/>
      <c r="N49" s="110"/>
    </row>
    <row r="50" spans="1:36" s="155" customFormat="1" x14ac:dyDescent="0.2">
      <c r="B50" s="154"/>
      <c r="C50" s="56" t="s">
        <v>1</v>
      </c>
      <c r="D50" s="46" t="s">
        <v>176</v>
      </c>
      <c r="E50" s="62"/>
      <c r="F50" s="46"/>
      <c r="G50" s="46"/>
      <c r="H50" s="57"/>
      <c r="I50" s="46"/>
      <c r="J50" s="46"/>
      <c r="K50" s="45">
        <v>96401</v>
      </c>
      <c r="L50" s="42" t="s">
        <v>23</v>
      </c>
      <c r="M50" s="46"/>
      <c r="N50" s="47"/>
    </row>
    <row r="51" spans="1:36" s="155" customFormat="1" ht="25.15" customHeight="1" x14ac:dyDescent="0.2">
      <c r="B51" s="154"/>
      <c r="C51" s="56"/>
      <c r="D51" s="331" t="s">
        <v>257</v>
      </c>
      <c r="E51" s="331"/>
      <c r="F51" s="331"/>
      <c r="G51" s="331"/>
      <c r="H51" s="331"/>
      <c r="I51" s="331"/>
      <c r="J51" s="331"/>
      <c r="K51" s="331"/>
      <c r="L51" s="331"/>
      <c r="M51" s="46"/>
      <c r="N51" s="84">
        <f>K50*265.78</f>
        <v>25621457.779999997</v>
      </c>
    </row>
    <row r="52" spans="1:36" ht="5.25" customHeight="1" x14ac:dyDescent="0.2">
      <c r="B52" s="74"/>
      <c r="C52" s="74"/>
      <c r="D52" s="27"/>
      <c r="E52" s="27"/>
      <c r="F52" s="27"/>
      <c r="G52" s="27"/>
      <c r="H52" s="27"/>
      <c r="I52" s="27"/>
      <c r="J52" s="27"/>
      <c r="K52" s="27"/>
      <c r="L52" s="27"/>
      <c r="M52" s="27"/>
      <c r="N52" s="33"/>
    </row>
    <row r="53" spans="1:36" x14ac:dyDescent="0.2">
      <c r="B53" s="164" t="s">
        <v>35</v>
      </c>
      <c r="C53" s="165" t="s">
        <v>29</v>
      </c>
      <c r="D53" s="25"/>
      <c r="E53" s="25"/>
      <c r="F53" s="25"/>
      <c r="G53" s="25"/>
      <c r="H53" s="25"/>
      <c r="I53" s="25"/>
      <c r="J53" s="25"/>
      <c r="K53" s="25"/>
      <c r="L53" s="25"/>
      <c r="M53" s="25"/>
      <c r="N53" s="34"/>
      <c r="X53" s="56"/>
      <c r="Y53" s="56"/>
      <c r="Z53" s="46"/>
      <c r="AA53" s="46"/>
      <c r="AB53" s="46"/>
      <c r="AC53" s="46"/>
      <c r="AD53" s="57"/>
      <c r="AE53" s="46"/>
      <c r="AF53" s="46"/>
      <c r="AG53" s="45"/>
      <c r="AH53" s="42"/>
      <c r="AI53" s="46"/>
      <c r="AJ53" s="47"/>
    </row>
    <row r="54" spans="1:36" x14ac:dyDescent="0.2">
      <c r="B54" s="154"/>
      <c r="C54" s="315" t="s">
        <v>25</v>
      </c>
      <c r="D54" s="25"/>
      <c r="E54" s="25"/>
      <c r="F54" s="25"/>
      <c r="G54" s="25"/>
      <c r="H54" s="25"/>
      <c r="I54" s="25"/>
      <c r="J54" s="25"/>
      <c r="K54" s="25"/>
      <c r="L54" s="25"/>
      <c r="M54" s="25"/>
      <c r="N54" s="34"/>
      <c r="X54" s="56"/>
      <c r="Y54" s="56"/>
      <c r="Z54" s="331"/>
      <c r="AA54" s="331"/>
      <c r="AB54" s="331"/>
      <c r="AC54" s="331"/>
      <c r="AD54" s="331"/>
      <c r="AE54" s="331"/>
      <c r="AF54" s="331"/>
      <c r="AG54" s="331"/>
      <c r="AH54" s="331"/>
      <c r="AI54" s="46"/>
      <c r="AJ54" s="84"/>
    </row>
    <row r="55" spans="1:36" ht="6" customHeight="1" x14ac:dyDescent="0.2">
      <c r="B55" s="157"/>
      <c r="C55" s="73"/>
      <c r="D55" s="27"/>
      <c r="E55" s="27"/>
      <c r="F55" s="27"/>
      <c r="G55" s="27"/>
      <c r="H55" s="27"/>
      <c r="I55" s="27"/>
      <c r="J55" s="27"/>
      <c r="K55" s="27"/>
      <c r="L55" s="27"/>
      <c r="M55" s="27"/>
      <c r="N55" s="33"/>
      <c r="X55" s="14"/>
      <c r="Y55" s="14"/>
      <c r="Z55" s="92"/>
      <c r="AA55" s="16"/>
      <c r="AB55" s="13"/>
      <c r="AC55" s="13"/>
      <c r="AD55" s="85"/>
      <c r="AE55" s="50"/>
      <c r="AF55" s="258"/>
      <c r="AG55" s="37"/>
      <c r="AH55" s="50"/>
      <c r="AI55" s="36"/>
      <c r="AJ55" s="34"/>
    </row>
    <row r="56" spans="1:36" x14ac:dyDescent="0.2">
      <c r="A56" s="30"/>
      <c r="B56" s="154"/>
      <c r="C56" s="56" t="s">
        <v>0</v>
      </c>
      <c r="D56" s="27" t="s">
        <v>168</v>
      </c>
      <c r="E56" s="46"/>
      <c r="F56" s="46"/>
      <c r="G56" s="46"/>
      <c r="H56" s="57"/>
      <c r="I56" s="46"/>
      <c r="J56" s="46"/>
      <c r="K56" s="45">
        <v>70887</v>
      </c>
      <c r="L56" s="42" t="s">
        <v>23</v>
      </c>
      <c r="M56" s="46"/>
      <c r="N56" s="47"/>
      <c r="X56" s="4"/>
      <c r="Y56" s="4"/>
      <c r="Z56" s="260"/>
      <c r="AA56" s="260"/>
      <c r="AB56" s="260"/>
      <c r="AC56" s="260"/>
      <c r="AD56" s="27"/>
      <c r="AE56" s="27"/>
      <c r="AF56" s="27"/>
      <c r="AG56" s="27"/>
      <c r="AH56" s="27"/>
      <c r="AI56" s="27"/>
      <c r="AJ56" s="33"/>
    </row>
    <row r="57" spans="1:36" x14ac:dyDescent="0.2">
      <c r="B57" s="154"/>
      <c r="C57" s="56"/>
      <c r="D57" s="331" t="s">
        <v>149</v>
      </c>
      <c r="E57" s="331"/>
      <c r="F57" s="331"/>
      <c r="G57" s="331"/>
      <c r="H57" s="331"/>
      <c r="I57" s="331"/>
      <c r="J57" s="331"/>
      <c r="K57" s="331"/>
      <c r="L57" s="331"/>
      <c r="M57" s="46"/>
      <c r="N57" s="47"/>
      <c r="X57" s="56"/>
      <c r="Y57" s="56"/>
      <c r="Z57" s="46"/>
      <c r="AA57" s="46"/>
      <c r="AB57" s="46"/>
      <c r="AC57" s="46"/>
      <c r="AD57" s="57"/>
      <c r="AE57" s="46"/>
      <c r="AF57" s="46"/>
      <c r="AG57" s="45"/>
      <c r="AH57" s="42"/>
      <c r="AI57" s="46"/>
      <c r="AJ57" s="47"/>
    </row>
    <row r="58" spans="1:36" s="24" customFormat="1" ht="25.5" x14ac:dyDescent="0.2">
      <c r="A58" s="280"/>
      <c r="B58" s="154"/>
      <c r="C58" s="154"/>
      <c r="D58" s="92" t="s">
        <v>24</v>
      </c>
      <c r="E58" s="253">
        <v>1</v>
      </c>
      <c r="F58" s="25" t="s">
        <v>275</v>
      </c>
      <c r="G58" s="25"/>
      <c r="H58" s="37">
        <v>4750</v>
      </c>
      <c r="I58" s="50" t="s">
        <v>23</v>
      </c>
      <c r="J58" s="258"/>
      <c r="K58" s="37">
        <f>SUM(E58*H58)</f>
        <v>4750</v>
      </c>
      <c r="L58" s="50" t="s">
        <v>23</v>
      </c>
      <c r="M58" s="36">
        <v>0.71</v>
      </c>
      <c r="N58" s="34">
        <f>SUM(E58*H58)/M58*242.05</f>
        <v>1619348.5915492959</v>
      </c>
      <c r="X58" s="56"/>
      <c r="Y58" s="56"/>
      <c r="Z58" s="331"/>
      <c r="AA58" s="331"/>
      <c r="AB58" s="331"/>
      <c r="AC58" s="331"/>
      <c r="AD58" s="331"/>
      <c r="AE58" s="331"/>
      <c r="AF58" s="331"/>
      <c r="AG58" s="331"/>
      <c r="AH58" s="331"/>
      <c r="AI58" s="46"/>
      <c r="AJ58" s="47"/>
    </row>
    <row r="59" spans="1:36" s="24" customFormat="1" ht="25.5" x14ac:dyDescent="0.2">
      <c r="A59" s="280"/>
      <c r="B59" s="154"/>
      <c r="C59" s="154"/>
      <c r="D59" s="92" t="s">
        <v>24</v>
      </c>
      <c r="E59" s="253">
        <v>1</v>
      </c>
      <c r="F59" s="25" t="s">
        <v>272</v>
      </c>
      <c r="G59" s="25"/>
      <c r="H59" s="37">
        <v>2350</v>
      </c>
      <c r="I59" s="50" t="s">
        <v>23</v>
      </c>
      <c r="J59" s="258"/>
      <c r="K59" s="37">
        <f>SUM(E59*H59)</f>
        <v>2350</v>
      </c>
      <c r="L59" s="50" t="s">
        <v>23</v>
      </c>
      <c r="M59" s="36">
        <v>0.71</v>
      </c>
      <c r="N59" s="34">
        <f>SUM(E59*H59)/M59*242.05</f>
        <v>801151.4084507043</v>
      </c>
      <c r="X59" s="56"/>
      <c r="Y59" s="56"/>
      <c r="Z59" s="258"/>
      <c r="AA59" s="258"/>
      <c r="AB59" s="258"/>
      <c r="AC59" s="258"/>
      <c r="AD59" s="258"/>
      <c r="AE59" s="258"/>
      <c r="AF59" s="258"/>
      <c r="AG59" s="258"/>
      <c r="AH59" s="258"/>
      <c r="AI59" s="46"/>
      <c r="AJ59" s="47"/>
    </row>
    <row r="60" spans="1:36" s="24" customFormat="1" ht="25.5" x14ac:dyDescent="0.2">
      <c r="A60" s="280"/>
      <c r="B60" s="154"/>
      <c r="C60" s="154"/>
      <c r="D60" s="92" t="s">
        <v>24</v>
      </c>
      <c r="E60" s="253">
        <v>1</v>
      </c>
      <c r="F60" s="25" t="s">
        <v>273</v>
      </c>
      <c r="G60" s="25"/>
      <c r="H60" s="37">
        <v>4650</v>
      </c>
      <c r="I60" s="50" t="s">
        <v>23</v>
      </c>
      <c r="J60" s="258"/>
      <c r="K60" s="37">
        <f>SUM(E60*H60)</f>
        <v>4650</v>
      </c>
      <c r="L60" s="50" t="s">
        <v>23</v>
      </c>
      <c r="M60" s="36">
        <v>0.71</v>
      </c>
      <c r="N60" s="34">
        <f>SUM(E60*H60)/M60*242.05</f>
        <v>1585257.0422535213</v>
      </c>
      <c r="X60" s="56"/>
      <c r="Y60" s="56"/>
      <c r="Z60" s="331"/>
      <c r="AA60" s="331"/>
      <c r="AB60" s="331"/>
      <c r="AC60" s="331"/>
      <c r="AD60" s="331"/>
      <c r="AE60" s="331"/>
      <c r="AF60" s="331"/>
      <c r="AG60" s="331"/>
      <c r="AH60" s="331"/>
      <c r="AI60" s="46"/>
      <c r="AJ60" s="47"/>
    </row>
    <row r="61" spans="1:36" s="24" customFormat="1" ht="25.5" x14ac:dyDescent="0.2">
      <c r="A61" s="280"/>
      <c r="B61" s="154"/>
      <c r="C61" s="154"/>
      <c r="D61" s="92" t="s">
        <v>24</v>
      </c>
      <c r="E61" s="253">
        <v>1</v>
      </c>
      <c r="F61" s="25" t="s">
        <v>274</v>
      </c>
      <c r="G61" s="25"/>
      <c r="H61" s="37">
        <v>5700</v>
      </c>
      <c r="I61" s="50" t="s">
        <v>23</v>
      </c>
      <c r="J61" s="258"/>
      <c r="K61" s="37">
        <f>SUM(E61*H61)</f>
        <v>5700</v>
      </c>
      <c r="L61" s="50" t="s">
        <v>23</v>
      </c>
      <c r="M61" s="36">
        <v>0.71</v>
      </c>
      <c r="N61" s="34">
        <f>SUM(E61*H61)/M61*242.05</f>
        <v>1943218.3098591552</v>
      </c>
      <c r="X61" s="56"/>
      <c r="Y61" s="56"/>
      <c r="Z61" s="331"/>
      <c r="AA61" s="331"/>
      <c r="AB61" s="331"/>
      <c r="AC61" s="331"/>
      <c r="AD61" s="331"/>
      <c r="AE61" s="331"/>
      <c r="AF61" s="331"/>
      <c r="AG61" s="331"/>
      <c r="AH61" s="331"/>
      <c r="AI61" s="46"/>
      <c r="AJ61" s="47"/>
    </row>
    <row r="62" spans="1:36" s="70" customFormat="1" ht="6" customHeight="1" x14ac:dyDescent="0.2">
      <c r="A62" s="316"/>
      <c r="B62" s="154"/>
      <c r="C62" s="154"/>
      <c r="D62" s="25"/>
      <c r="E62" s="253"/>
      <c r="F62" s="25"/>
      <c r="G62" s="25"/>
      <c r="H62" s="37"/>
      <c r="I62" s="25"/>
      <c r="J62" s="25"/>
      <c r="K62" s="37"/>
      <c r="L62" s="25"/>
      <c r="M62" s="36"/>
      <c r="N62" s="34"/>
      <c r="X62" s="14"/>
      <c r="Y62" s="14"/>
      <c r="Z62" s="92"/>
      <c r="AA62" s="16"/>
      <c r="AB62" s="13"/>
      <c r="AC62" s="13"/>
      <c r="AD62" s="85"/>
      <c r="AE62" s="50"/>
      <c r="AF62" s="258"/>
      <c r="AG62" s="37"/>
      <c r="AH62" s="50"/>
      <c r="AI62" s="36"/>
      <c r="AJ62" s="34"/>
    </row>
    <row r="63" spans="1:36" ht="14.25" x14ac:dyDescent="0.2">
      <c r="B63" s="313" t="s">
        <v>172</v>
      </c>
      <c r="C63" s="314"/>
      <c r="D63" s="31"/>
      <c r="E63" s="31"/>
      <c r="F63" s="31"/>
      <c r="G63" s="31"/>
      <c r="H63" s="31"/>
      <c r="I63" s="31"/>
      <c r="J63" s="31"/>
      <c r="K63" s="31"/>
      <c r="L63" s="31"/>
      <c r="M63" s="31"/>
      <c r="N63" s="32"/>
      <c r="X63" s="4"/>
      <c r="Y63" s="4"/>
      <c r="Z63" s="260"/>
      <c r="AA63" s="260"/>
      <c r="AB63" s="260"/>
      <c r="AC63" s="260"/>
      <c r="AD63" s="27"/>
      <c r="AE63" s="27"/>
      <c r="AF63" s="27"/>
      <c r="AG63" s="27"/>
      <c r="AH63" s="27"/>
      <c r="AI63" s="27"/>
      <c r="AJ63" s="33"/>
    </row>
    <row r="64" spans="1:36" x14ac:dyDescent="0.2">
      <c r="B64" s="164" t="s">
        <v>151</v>
      </c>
      <c r="C64" s="165" t="s">
        <v>152</v>
      </c>
      <c r="D64" s="25"/>
      <c r="E64" s="25"/>
      <c r="F64" s="25"/>
      <c r="G64" s="25"/>
      <c r="H64" s="25"/>
      <c r="I64" s="25"/>
      <c r="J64" s="25"/>
      <c r="K64" s="25"/>
      <c r="L64" s="25"/>
      <c r="M64" s="25"/>
      <c r="N64" s="34"/>
      <c r="X64" s="56"/>
      <c r="Y64" s="56"/>
      <c r="Z64" s="46"/>
      <c r="AA64" s="46"/>
      <c r="AB64" s="46"/>
      <c r="AC64" s="46"/>
      <c r="AD64" s="57"/>
      <c r="AE64" s="46"/>
      <c r="AF64" s="46"/>
      <c r="AG64" s="45"/>
      <c r="AH64" s="42"/>
      <c r="AI64" s="46"/>
      <c r="AJ64" s="47"/>
    </row>
    <row r="65" spans="1:36" ht="6" customHeight="1" x14ac:dyDescent="0.2">
      <c r="B65" s="148"/>
      <c r="C65" s="317"/>
      <c r="D65" s="148"/>
      <c r="E65" s="148"/>
      <c r="F65" s="148"/>
      <c r="G65" s="148"/>
      <c r="H65" s="148"/>
      <c r="I65" s="148"/>
      <c r="J65" s="148"/>
      <c r="K65" s="148"/>
      <c r="L65" s="148"/>
      <c r="M65" s="148"/>
      <c r="N65" s="148"/>
      <c r="X65" s="14"/>
      <c r="Y65" s="14"/>
      <c r="Z65" s="92"/>
      <c r="AA65" s="16"/>
      <c r="AB65" s="13"/>
      <c r="AC65" s="13"/>
      <c r="AD65" s="85"/>
      <c r="AE65" s="50"/>
      <c r="AF65" s="258"/>
      <c r="AG65" s="37"/>
      <c r="AH65" s="50"/>
      <c r="AI65" s="36"/>
      <c r="AJ65" s="34"/>
    </row>
    <row r="66" spans="1:36" x14ac:dyDescent="0.2">
      <c r="A66" s="163"/>
      <c r="B66" s="164" t="s">
        <v>147</v>
      </c>
      <c r="C66" s="165" t="s">
        <v>148</v>
      </c>
      <c r="D66" s="25"/>
      <c r="E66" s="25"/>
      <c r="F66" s="25"/>
      <c r="G66" s="25"/>
      <c r="H66" s="113"/>
      <c r="I66" s="113"/>
      <c r="J66" s="113"/>
      <c r="K66" s="113"/>
      <c r="L66" s="113"/>
      <c r="M66" s="113"/>
      <c r="N66" s="112"/>
      <c r="X66" s="4"/>
      <c r="Y66" s="4"/>
      <c r="Z66" s="260"/>
      <c r="AA66" s="260"/>
      <c r="AB66" s="260"/>
      <c r="AC66" s="260"/>
      <c r="AD66" s="27"/>
      <c r="AE66" s="27"/>
      <c r="AF66" s="27"/>
      <c r="AG66" s="27"/>
      <c r="AH66" s="27"/>
      <c r="AI66" s="27"/>
      <c r="AJ66" s="33"/>
    </row>
    <row r="67" spans="1:36" ht="6" customHeight="1" x14ac:dyDescent="0.2">
      <c r="B67" s="157"/>
      <c r="C67" s="111"/>
      <c r="D67" s="103"/>
      <c r="E67" s="103"/>
      <c r="F67" s="103"/>
      <c r="G67" s="103"/>
      <c r="H67" s="103"/>
      <c r="I67" s="103"/>
      <c r="J67" s="103"/>
      <c r="K67" s="103"/>
      <c r="L67" s="103"/>
      <c r="M67" s="103"/>
      <c r="N67" s="110"/>
      <c r="X67" s="56"/>
      <c r="Y67" s="56"/>
      <c r="Z67" s="46"/>
      <c r="AA67" s="46"/>
      <c r="AB67" s="46"/>
      <c r="AC67" s="46"/>
      <c r="AD67" s="57"/>
      <c r="AE67" s="46"/>
      <c r="AF67" s="46"/>
      <c r="AG67" s="45"/>
      <c r="AH67" s="42"/>
      <c r="AI67" s="46"/>
      <c r="AJ67" s="47"/>
    </row>
    <row r="68" spans="1:36" x14ac:dyDescent="0.2">
      <c r="B68" s="154"/>
      <c r="C68" s="56" t="s">
        <v>0</v>
      </c>
      <c r="D68" s="46" t="s">
        <v>150</v>
      </c>
      <c r="E68" s="62"/>
      <c r="F68" s="46"/>
      <c r="G68" s="46"/>
      <c r="H68" s="57"/>
      <c r="I68" s="46"/>
      <c r="J68" s="46"/>
      <c r="K68" s="45">
        <v>50000</v>
      </c>
      <c r="L68" s="42" t="s">
        <v>23</v>
      </c>
      <c r="M68" s="46"/>
      <c r="N68" s="47"/>
      <c r="X68" s="14"/>
      <c r="Y68" s="14"/>
      <c r="Z68" s="92"/>
      <c r="AA68" s="16"/>
      <c r="AB68" s="13"/>
      <c r="AC68" s="13"/>
      <c r="AD68" s="85"/>
      <c r="AE68" s="50"/>
      <c r="AF68" s="258"/>
      <c r="AG68" s="37"/>
      <c r="AH68" s="50"/>
      <c r="AI68" s="36"/>
      <c r="AJ68" s="34"/>
    </row>
    <row r="69" spans="1:36" x14ac:dyDescent="0.2">
      <c r="B69" s="154"/>
      <c r="C69" s="56"/>
      <c r="D69" s="331" t="s">
        <v>177</v>
      </c>
      <c r="E69" s="331"/>
      <c r="F69" s="331"/>
      <c r="G69" s="331"/>
      <c r="H69" s="331"/>
      <c r="I69" s="331"/>
      <c r="J69" s="331"/>
      <c r="K69" s="331"/>
      <c r="L69" s="331"/>
      <c r="M69" s="46"/>
      <c r="N69" s="84">
        <f>K68*274.69</f>
        <v>13734500</v>
      </c>
      <c r="X69" s="4"/>
      <c r="Y69" s="4"/>
      <c r="Z69" s="260"/>
      <c r="AA69" s="260"/>
      <c r="AB69" s="260"/>
      <c r="AC69" s="260"/>
      <c r="AD69" s="27"/>
      <c r="AE69" s="27"/>
      <c r="AF69" s="27"/>
      <c r="AG69" s="27"/>
      <c r="AH69" s="27"/>
      <c r="AI69" s="27"/>
      <c r="AJ69" s="33"/>
    </row>
    <row r="70" spans="1:36" ht="5.25" customHeight="1" x14ac:dyDescent="0.2">
      <c r="B70" s="74"/>
      <c r="C70" s="74"/>
      <c r="D70" s="27"/>
      <c r="E70" s="27"/>
      <c r="F70" s="27"/>
      <c r="G70" s="27"/>
      <c r="H70" s="27"/>
      <c r="I70" s="27"/>
      <c r="J70" s="27"/>
      <c r="K70" s="27"/>
      <c r="L70" s="27"/>
      <c r="M70" s="27"/>
      <c r="N70" s="33"/>
      <c r="X70" s="56"/>
      <c r="Y70" s="56"/>
      <c r="Z70" s="46"/>
      <c r="AA70" s="46"/>
      <c r="AB70" s="46"/>
      <c r="AC70" s="46"/>
      <c r="AD70" s="57"/>
      <c r="AE70" s="46"/>
      <c r="AF70" s="46"/>
      <c r="AG70" s="45"/>
      <c r="AH70" s="42"/>
      <c r="AI70" s="46"/>
      <c r="AJ70" s="47"/>
    </row>
    <row r="71" spans="1:36" x14ac:dyDescent="0.2">
      <c r="B71" s="164" t="s">
        <v>26</v>
      </c>
      <c r="C71" s="165" t="s">
        <v>29</v>
      </c>
      <c r="D71" s="25"/>
      <c r="E71" s="25"/>
      <c r="F71" s="25"/>
      <c r="G71" s="25"/>
      <c r="H71" s="25"/>
      <c r="I71" s="25"/>
      <c r="J71" s="25"/>
      <c r="K71" s="25"/>
      <c r="L71" s="25"/>
      <c r="M71" s="25"/>
      <c r="N71" s="34"/>
      <c r="X71" s="56"/>
      <c r="Y71" s="56"/>
      <c r="Z71" s="331"/>
      <c r="AA71" s="331"/>
      <c r="AB71" s="331"/>
      <c r="AC71" s="331"/>
      <c r="AD71" s="331"/>
      <c r="AE71" s="331"/>
      <c r="AF71" s="331"/>
      <c r="AG71" s="331"/>
      <c r="AH71" s="331"/>
      <c r="AI71" s="46"/>
      <c r="AJ71" s="47"/>
    </row>
    <row r="72" spans="1:36" x14ac:dyDescent="0.2">
      <c r="B72" s="154"/>
      <c r="C72" s="315" t="s">
        <v>25</v>
      </c>
      <c r="D72" s="25"/>
      <c r="E72" s="25"/>
      <c r="F72" s="25"/>
      <c r="G72" s="25"/>
      <c r="H72" s="25"/>
      <c r="I72" s="25"/>
      <c r="J72" s="25"/>
      <c r="K72" s="25"/>
      <c r="L72" s="25"/>
      <c r="M72" s="25"/>
      <c r="N72" s="34"/>
      <c r="X72" s="14"/>
      <c r="Y72" s="14"/>
      <c r="Z72" s="92"/>
      <c r="AA72" s="16"/>
      <c r="AB72" s="13"/>
      <c r="AC72" s="13"/>
      <c r="AD72" s="85"/>
      <c r="AE72" s="50"/>
      <c r="AF72" s="258"/>
      <c r="AG72" s="37"/>
      <c r="AH72" s="50"/>
      <c r="AI72" s="36"/>
      <c r="AJ72" s="34"/>
    </row>
    <row r="73" spans="1:36" ht="6.75" customHeight="1" x14ac:dyDescent="0.2">
      <c r="B73" s="154"/>
      <c r="C73" s="56"/>
      <c r="D73" s="46"/>
      <c r="E73" s="49"/>
      <c r="F73" s="46"/>
      <c r="G73" s="46"/>
      <c r="H73" s="43"/>
      <c r="I73" s="42"/>
      <c r="J73" s="42"/>
      <c r="K73" s="43"/>
      <c r="L73" s="42"/>
      <c r="M73" s="61"/>
      <c r="N73" s="44"/>
      <c r="X73" s="4"/>
      <c r="Y73" s="4"/>
      <c r="Z73" s="260"/>
      <c r="AA73" s="260"/>
      <c r="AB73" s="260"/>
      <c r="AC73" s="260"/>
      <c r="AD73" s="27"/>
      <c r="AE73" s="27"/>
      <c r="AF73" s="27"/>
      <c r="AG73" s="27"/>
      <c r="AH73" s="27"/>
      <c r="AI73" s="27"/>
      <c r="AJ73" s="33"/>
    </row>
    <row r="74" spans="1:36" x14ac:dyDescent="0.2">
      <c r="B74" s="154"/>
      <c r="C74" s="56" t="s">
        <v>0</v>
      </c>
      <c r="D74" s="46" t="s">
        <v>84</v>
      </c>
      <c r="E74" s="46"/>
      <c r="F74" s="46"/>
      <c r="G74" s="46"/>
      <c r="H74" s="57"/>
      <c r="I74" s="46"/>
      <c r="J74" s="46"/>
      <c r="K74" s="45">
        <v>56971</v>
      </c>
      <c r="L74" s="42" t="s">
        <v>23</v>
      </c>
      <c r="M74" s="46"/>
      <c r="N74" s="47"/>
      <c r="X74" s="56"/>
      <c r="Y74" s="56"/>
      <c r="Z74" s="46"/>
      <c r="AA74" s="46"/>
      <c r="AB74" s="46"/>
      <c r="AC74" s="46"/>
      <c r="AD74" s="57"/>
      <c r="AE74" s="46"/>
      <c r="AF74" s="46"/>
      <c r="AG74" s="45"/>
      <c r="AH74" s="42"/>
      <c r="AI74" s="46"/>
      <c r="AJ74" s="47"/>
    </row>
    <row r="75" spans="1:36" ht="79.5" customHeight="1" x14ac:dyDescent="0.2">
      <c r="B75" s="154"/>
      <c r="C75" s="56"/>
      <c r="D75" s="331" t="s">
        <v>231</v>
      </c>
      <c r="E75" s="331"/>
      <c r="F75" s="331"/>
      <c r="G75" s="331"/>
      <c r="H75" s="331"/>
      <c r="I75" s="331"/>
      <c r="J75" s="331"/>
      <c r="K75" s="331"/>
      <c r="L75" s="331"/>
      <c r="M75" s="46"/>
      <c r="N75" s="84">
        <f>262.7*55162*0.8</f>
        <v>11592845.92</v>
      </c>
      <c r="X75" s="56"/>
      <c r="Y75" s="56"/>
      <c r="Z75" s="331"/>
      <c r="AA75" s="331"/>
      <c r="AB75" s="331"/>
      <c r="AC75" s="331"/>
      <c r="AD75" s="331"/>
      <c r="AE75" s="331"/>
      <c r="AF75" s="331"/>
      <c r="AG75" s="331"/>
      <c r="AH75" s="331"/>
      <c r="AI75" s="46"/>
      <c r="AJ75" s="84"/>
    </row>
    <row r="76" spans="1:36" x14ac:dyDescent="0.2">
      <c r="B76" s="154"/>
      <c r="C76" s="56"/>
      <c r="D76" s="46" t="s">
        <v>24</v>
      </c>
      <c r="E76" s="49">
        <v>1</v>
      </c>
      <c r="F76" s="46" t="s">
        <v>71</v>
      </c>
      <c r="G76" s="46"/>
      <c r="H76" s="43">
        <v>800</v>
      </c>
      <c r="I76" s="42" t="s">
        <v>23</v>
      </c>
      <c r="J76" s="42"/>
      <c r="K76" s="87">
        <f t="shared" ref="K76:K80" si="3">SUM(E76*H76)</f>
        <v>800</v>
      </c>
      <c r="L76" s="42" t="s">
        <v>23</v>
      </c>
      <c r="M76" s="61">
        <v>0.74</v>
      </c>
      <c r="N76" s="34">
        <f>SUM(E76*H76)/M76*262.7</f>
        <v>284000</v>
      </c>
      <c r="X76" s="56"/>
      <c r="Y76" s="56"/>
      <c r="Z76" s="331"/>
      <c r="AA76" s="331"/>
      <c r="AB76" s="331"/>
      <c r="AC76" s="331"/>
      <c r="AD76" s="331"/>
      <c r="AE76" s="331"/>
      <c r="AF76" s="331"/>
      <c r="AG76" s="331"/>
      <c r="AH76" s="331"/>
      <c r="AI76" s="46"/>
      <c r="AJ76" s="47"/>
    </row>
    <row r="77" spans="1:36" ht="15" x14ac:dyDescent="0.25">
      <c r="B77" s="154"/>
      <c r="C77" s="60"/>
      <c r="D77" s="46"/>
      <c r="E77" s="49">
        <v>1</v>
      </c>
      <c r="F77" s="46" t="s">
        <v>32</v>
      </c>
      <c r="G77" s="46"/>
      <c r="H77" s="43">
        <v>800</v>
      </c>
      <c r="I77" s="42" t="s">
        <v>23</v>
      </c>
      <c r="J77" s="42"/>
      <c r="K77" s="87">
        <f t="shared" si="3"/>
        <v>800</v>
      </c>
      <c r="L77" s="42" t="s">
        <v>23</v>
      </c>
      <c r="M77" s="61">
        <v>0.74</v>
      </c>
      <c r="N77" s="34">
        <f t="shared" ref="N77:N80" si="4">SUM(E77*H77)/M77*262.7</f>
        <v>284000</v>
      </c>
      <c r="X77" s="14"/>
      <c r="Y77" s="14"/>
      <c r="Z77" s="92"/>
      <c r="AA77" s="16"/>
      <c r="AB77" s="13"/>
      <c r="AC77" s="13"/>
      <c r="AD77" s="85"/>
      <c r="AE77" s="50"/>
      <c r="AF77" s="258"/>
      <c r="AG77" s="37"/>
      <c r="AH77" s="50"/>
      <c r="AI77" s="36"/>
      <c r="AJ77" s="34"/>
    </row>
    <row r="78" spans="1:36" ht="15" x14ac:dyDescent="0.25">
      <c r="B78" s="154"/>
      <c r="C78" s="60"/>
      <c r="D78" s="46"/>
      <c r="E78" s="49">
        <v>1</v>
      </c>
      <c r="F78" s="46" t="s">
        <v>69</v>
      </c>
      <c r="G78" s="46"/>
      <c r="H78" s="43">
        <v>300</v>
      </c>
      <c r="I78" s="42" t="s">
        <v>23</v>
      </c>
      <c r="J78" s="42"/>
      <c r="K78" s="87">
        <f t="shared" si="3"/>
        <v>300</v>
      </c>
      <c r="L78" s="42" t="s">
        <v>23</v>
      </c>
      <c r="M78" s="61">
        <v>0.74</v>
      </c>
      <c r="N78" s="34">
        <f t="shared" si="4"/>
        <v>106500</v>
      </c>
    </row>
    <row r="79" spans="1:36" s="70" customFormat="1" ht="12.75" customHeight="1" x14ac:dyDescent="0.2">
      <c r="A79" s="316"/>
      <c r="B79" s="154"/>
      <c r="C79" s="154"/>
      <c r="D79" s="90"/>
      <c r="E79" s="89">
        <v>3</v>
      </c>
      <c r="F79" s="46" t="s">
        <v>88</v>
      </c>
      <c r="G79" s="90"/>
      <c r="H79" s="87">
        <v>800</v>
      </c>
      <c r="I79" s="90" t="s">
        <v>23</v>
      </c>
      <c r="J79" s="90"/>
      <c r="K79" s="87">
        <f t="shared" ref="K79" si="5">SUM(E79*H79)</f>
        <v>2400</v>
      </c>
      <c r="L79" s="90" t="s">
        <v>23</v>
      </c>
      <c r="M79" s="91">
        <v>0.74</v>
      </c>
      <c r="N79" s="34">
        <f t="shared" si="4"/>
        <v>852000</v>
      </c>
    </row>
    <row r="80" spans="1:36" s="70" customFormat="1" ht="12.75" customHeight="1" x14ac:dyDescent="0.2">
      <c r="A80" s="316"/>
      <c r="B80" s="154"/>
      <c r="C80" s="154"/>
      <c r="D80" s="90"/>
      <c r="E80" s="89">
        <v>1</v>
      </c>
      <c r="F80" s="25" t="s">
        <v>96</v>
      </c>
      <c r="G80" s="90"/>
      <c r="H80" s="87">
        <v>5500</v>
      </c>
      <c r="I80" s="90" t="s">
        <v>23</v>
      </c>
      <c r="J80" s="90"/>
      <c r="K80" s="87">
        <f t="shared" si="3"/>
        <v>5500</v>
      </c>
      <c r="L80" s="90" t="s">
        <v>23</v>
      </c>
      <c r="M80" s="91">
        <v>0.74</v>
      </c>
      <c r="N80" s="34">
        <f t="shared" si="4"/>
        <v>1952500</v>
      </c>
    </row>
    <row r="81" spans="1:14" ht="6" customHeight="1" x14ac:dyDescent="0.2">
      <c r="B81" s="74"/>
      <c r="C81" s="74"/>
      <c r="D81" s="27"/>
      <c r="E81" s="27"/>
      <c r="F81" s="27"/>
      <c r="G81" s="27"/>
      <c r="H81" s="27"/>
      <c r="I81" s="273"/>
      <c r="J81" s="27"/>
      <c r="K81" s="274"/>
      <c r="L81" s="27"/>
      <c r="M81" s="27"/>
      <c r="N81" s="33"/>
    </row>
    <row r="82" spans="1:14" s="22" customFormat="1" ht="25.15" customHeight="1" x14ac:dyDescent="0.2">
      <c r="A82" s="30"/>
      <c r="B82" s="154"/>
      <c r="C82" s="154" t="s">
        <v>1</v>
      </c>
      <c r="D82" s="340" t="s">
        <v>266</v>
      </c>
      <c r="E82" s="340"/>
      <c r="F82" s="340"/>
      <c r="G82" s="340"/>
      <c r="H82" s="340"/>
      <c r="I82" s="340"/>
      <c r="J82" s="340"/>
      <c r="K82" s="37">
        <v>201976</v>
      </c>
      <c r="L82" s="25" t="s">
        <v>23</v>
      </c>
      <c r="M82" s="36"/>
      <c r="N82" s="34"/>
    </row>
    <row r="83" spans="1:14" s="22" customFormat="1" ht="25.15" customHeight="1" x14ac:dyDescent="0.2">
      <c r="A83" s="30"/>
      <c r="B83" s="154"/>
      <c r="C83" s="154"/>
      <c r="D83" s="331" t="s">
        <v>265</v>
      </c>
      <c r="E83" s="331"/>
      <c r="F83" s="331"/>
      <c r="G83" s="331"/>
      <c r="H83" s="331"/>
      <c r="I83" s="331"/>
      <c r="J83" s="331"/>
      <c r="K83" s="331"/>
      <c r="L83" s="331"/>
      <c r="M83" s="36"/>
      <c r="N83" s="84">
        <f>274.69*0.8*((38948+17676)*2)</f>
        <v>24886474.495999999</v>
      </c>
    </row>
    <row r="84" spans="1:14" s="22" customFormat="1" ht="25.5" x14ac:dyDescent="0.2">
      <c r="A84" s="30"/>
      <c r="B84" s="154"/>
      <c r="C84" s="154"/>
      <c r="D84" s="92" t="s">
        <v>24</v>
      </c>
      <c r="E84" s="253">
        <v>1</v>
      </c>
      <c r="F84" s="25" t="s">
        <v>267</v>
      </c>
      <c r="G84" s="25"/>
      <c r="H84" s="37">
        <v>250</v>
      </c>
      <c r="I84" s="25" t="s">
        <v>23</v>
      </c>
      <c r="J84" s="25"/>
      <c r="K84" s="37">
        <f>SUM(E84*H84)</f>
        <v>250</v>
      </c>
      <c r="L84" s="25" t="s">
        <v>23</v>
      </c>
      <c r="M84" s="36">
        <v>0.68</v>
      </c>
      <c r="N84" s="34">
        <f t="shared" ref="N84:N85" si="6">SUM(E84*H84)/M84*274.69</f>
        <v>100988.97058823529</v>
      </c>
    </row>
    <row r="85" spans="1:14" s="13" customFormat="1" x14ac:dyDescent="0.2">
      <c r="A85" s="25"/>
      <c r="B85" s="154"/>
      <c r="C85" s="154"/>
      <c r="D85" s="25"/>
      <c r="E85" s="253">
        <v>0</v>
      </c>
      <c r="F85" s="25" t="s">
        <v>268</v>
      </c>
      <c r="G85" s="25"/>
      <c r="H85" s="37">
        <v>375</v>
      </c>
      <c r="I85" s="25" t="s">
        <v>23</v>
      </c>
      <c r="J85" s="25"/>
      <c r="K85" s="37">
        <f>SUM(E85*H85)</f>
        <v>0</v>
      </c>
      <c r="L85" s="25" t="s">
        <v>23</v>
      </c>
      <c r="M85" s="36">
        <v>0.68</v>
      </c>
      <c r="N85" s="34">
        <f t="shared" si="6"/>
        <v>0</v>
      </c>
    </row>
    <row r="86" spans="1:14" ht="6" customHeight="1" x14ac:dyDescent="0.2">
      <c r="B86" s="157"/>
      <c r="C86" s="73"/>
      <c r="D86" s="27"/>
      <c r="E86" s="27"/>
      <c r="F86" s="27"/>
      <c r="G86" s="27"/>
      <c r="H86" s="27"/>
      <c r="I86" s="27"/>
      <c r="J86" s="27"/>
      <c r="K86" s="27"/>
      <c r="L86" s="27"/>
      <c r="M86" s="27"/>
      <c r="N86" s="33"/>
    </row>
    <row r="87" spans="1:14" x14ac:dyDescent="0.2">
      <c r="B87" s="154"/>
      <c r="C87" s="56" t="s">
        <v>2</v>
      </c>
      <c r="D87" s="46" t="s">
        <v>44</v>
      </c>
      <c r="E87" s="46"/>
      <c r="F87" s="46"/>
      <c r="G87" s="46"/>
      <c r="H87" s="57"/>
      <c r="I87" s="46"/>
      <c r="J87" s="46"/>
      <c r="K87" s="45">
        <v>70406</v>
      </c>
      <c r="L87" s="42" t="s">
        <v>23</v>
      </c>
      <c r="M87" s="46"/>
      <c r="N87" s="47"/>
    </row>
    <row r="88" spans="1:14" ht="54" customHeight="1" x14ac:dyDescent="0.2">
      <c r="B88" s="154"/>
      <c r="C88" s="56"/>
      <c r="D88" s="331" t="s">
        <v>264</v>
      </c>
      <c r="E88" s="331"/>
      <c r="F88" s="331"/>
      <c r="G88" s="331"/>
      <c r="H88" s="331"/>
      <c r="I88" s="331"/>
      <c r="J88" s="331"/>
      <c r="K88" s="331"/>
      <c r="L88" s="331"/>
      <c r="M88" s="46"/>
      <c r="N88" s="84">
        <f>2450773*1.2</f>
        <v>2940927.6</v>
      </c>
    </row>
    <row r="89" spans="1:14" x14ac:dyDescent="0.2">
      <c r="B89" s="154"/>
      <c r="C89" s="58"/>
      <c r="D89" s="42" t="s">
        <v>24</v>
      </c>
      <c r="E89" s="48">
        <v>1</v>
      </c>
      <c r="F89" s="42" t="s">
        <v>68</v>
      </c>
      <c r="G89" s="42"/>
      <c r="H89" s="43">
        <v>1600</v>
      </c>
      <c r="I89" s="42" t="s">
        <v>23</v>
      </c>
      <c r="J89" s="42"/>
      <c r="K89" s="37">
        <f t="shared" ref="K89:K90" si="7">SUM(E89*H89)</f>
        <v>1600</v>
      </c>
      <c r="L89" s="42" t="s">
        <v>23</v>
      </c>
      <c r="M89" s="59">
        <v>0.71</v>
      </c>
      <c r="N89" s="34">
        <f>SUM(E89*H89)/M89*265.78</f>
        <v>598940.84507042251</v>
      </c>
    </row>
    <row r="90" spans="1:14" ht="15" x14ac:dyDescent="0.25">
      <c r="B90" s="154"/>
      <c r="C90" s="60"/>
      <c r="D90" s="46"/>
      <c r="E90" s="49">
        <v>1</v>
      </c>
      <c r="F90" s="46" t="s">
        <v>95</v>
      </c>
      <c r="G90" s="46"/>
      <c r="H90" s="43">
        <v>300</v>
      </c>
      <c r="I90" s="42" t="s">
        <v>23</v>
      </c>
      <c r="J90" s="42"/>
      <c r="K90" s="37">
        <f t="shared" si="7"/>
        <v>300</v>
      </c>
      <c r="L90" s="42" t="s">
        <v>23</v>
      </c>
      <c r="M90" s="61">
        <v>0.71</v>
      </c>
      <c r="N90" s="34">
        <f t="shared" ref="N90:N92" si="8">SUM(E90*H90)/M90*265.78</f>
        <v>112301.40845070421</v>
      </c>
    </row>
    <row r="91" spans="1:14" s="70" customFormat="1" x14ac:dyDescent="0.2">
      <c r="A91" s="316"/>
      <c r="B91" s="154"/>
      <c r="C91" s="154"/>
      <c r="D91" s="25"/>
      <c r="E91" s="253">
        <v>1</v>
      </c>
      <c r="F91" s="346" t="s">
        <v>92</v>
      </c>
      <c r="G91" s="346"/>
      <c r="H91" s="37">
        <v>900</v>
      </c>
      <c r="I91" s="25" t="s">
        <v>23</v>
      </c>
      <c r="J91" s="25"/>
      <c r="K91" s="37">
        <f>SUM(E91*H91)</f>
        <v>900</v>
      </c>
      <c r="L91" s="25" t="s">
        <v>23</v>
      </c>
      <c r="M91" s="36">
        <v>0.71</v>
      </c>
      <c r="N91" s="34">
        <f t="shared" si="8"/>
        <v>336904.22535211267</v>
      </c>
    </row>
    <row r="92" spans="1:14" s="70" customFormat="1" x14ac:dyDescent="0.2">
      <c r="A92" s="316"/>
      <c r="B92" s="154"/>
      <c r="C92" s="154"/>
      <c r="D92" s="25"/>
      <c r="E92" s="253">
        <v>3</v>
      </c>
      <c r="F92" s="25" t="s">
        <v>94</v>
      </c>
      <c r="G92" s="25"/>
      <c r="H92" s="37">
        <v>1000</v>
      </c>
      <c r="I92" s="25" t="s">
        <v>23</v>
      </c>
      <c r="J92" s="25"/>
      <c r="K92" s="37">
        <f>SUM(E92*H92)</f>
        <v>3000</v>
      </c>
      <c r="L92" s="25" t="s">
        <v>23</v>
      </c>
      <c r="M92" s="36">
        <v>0.71</v>
      </c>
      <c r="N92" s="34">
        <f t="shared" si="8"/>
        <v>1123014.0845070423</v>
      </c>
    </row>
    <row r="93" spans="1:14" s="24" customFormat="1" x14ac:dyDescent="0.2">
      <c r="A93" s="280"/>
      <c r="B93" s="154"/>
      <c r="C93" s="154"/>
      <c r="D93" s="92"/>
      <c r="E93" s="253">
        <v>4</v>
      </c>
      <c r="F93" s="25" t="s">
        <v>88</v>
      </c>
      <c r="G93" s="25"/>
      <c r="H93" s="37">
        <v>750</v>
      </c>
      <c r="I93" s="50" t="s">
        <v>23</v>
      </c>
      <c r="J93" s="258"/>
      <c r="K93" s="37">
        <f>SUM(E93*H93)</f>
        <v>3000</v>
      </c>
      <c r="L93" s="50" t="s">
        <v>23</v>
      </c>
      <c r="M93" s="36">
        <v>0.71</v>
      </c>
      <c r="N93" s="34">
        <f>SUM(E93*H93)/M93*265.78</f>
        <v>1123014.0845070423</v>
      </c>
    </row>
    <row r="94" spans="1:14" ht="6" customHeight="1" x14ac:dyDescent="0.2">
      <c r="B94" s="157"/>
      <c r="C94" s="73"/>
      <c r="D94" s="27"/>
      <c r="E94" s="27"/>
      <c r="F94" s="27"/>
      <c r="G94" s="27"/>
      <c r="H94" s="27"/>
      <c r="I94" s="27"/>
      <c r="J94" s="27"/>
      <c r="K94" s="275"/>
      <c r="L94" s="27"/>
      <c r="M94" s="27"/>
      <c r="N94" s="33"/>
    </row>
    <row r="95" spans="1:14" x14ac:dyDescent="0.2">
      <c r="B95" s="154"/>
      <c r="C95" s="56" t="s">
        <v>3</v>
      </c>
      <c r="D95" s="46" t="s">
        <v>66</v>
      </c>
      <c r="E95" s="62"/>
      <c r="F95" s="46"/>
      <c r="G95" s="46"/>
      <c r="H95" s="57"/>
      <c r="I95" s="46"/>
      <c r="J95" s="46"/>
      <c r="K95" s="45">
        <v>63142</v>
      </c>
      <c r="L95" s="42" t="s">
        <v>23</v>
      </c>
      <c r="M95" s="46"/>
      <c r="N95" s="47"/>
    </row>
    <row r="96" spans="1:14" ht="54" customHeight="1" x14ac:dyDescent="0.2">
      <c r="B96" s="154"/>
      <c r="C96" s="56"/>
      <c r="D96" s="331" t="s">
        <v>182</v>
      </c>
      <c r="E96" s="331"/>
      <c r="F96" s="331"/>
      <c r="G96" s="331"/>
      <c r="H96" s="331"/>
      <c r="I96" s="331"/>
      <c r="J96" s="331"/>
      <c r="K96" s="331"/>
      <c r="L96" s="331"/>
      <c r="M96" s="46"/>
      <c r="N96" s="84">
        <f>4420546*1.5</f>
        <v>6630819</v>
      </c>
    </row>
    <row r="97" spans="1:14" s="70" customFormat="1" ht="12.75" customHeight="1" x14ac:dyDescent="0.2">
      <c r="A97" s="316"/>
      <c r="B97" s="154"/>
      <c r="C97" s="154"/>
      <c r="D97" s="46" t="s">
        <v>24</v>
      </c>
      <c r="E97" s="253">
        <v>1</v>
      </c>
      <c r="F97" s="25" t="s">
        <v>90</v>
      </c>
      <c r="G97" s="25"/>
      <c r="H97" s="37">
        <v>825</v>
      </c>
      <c r="I97" s="90" t="s">
        <v>23</v>
      </c>
      <c r="J97" s="90"/>
      <c r="K97" s="87">
        <f t="shared" ref="K97:K99" si="9">SUM(E97*H97)</f>
        <v>825</v>
      </c>
      <c r="L97" s="90" t="s">
        <v>23</v>
      </c>
      <c r="M97" s="91">
        <v>0.74</v>
      </c>
      <c r="N97" s="34">
        <f>SUM(E97*H97)/M97*262.7</f>
        <v>292874.99999999994</v>
      </c>
    </row>
    <row r="98" spans="1:14" s="70" customFormat="1" ht="12.75" customHeight="1" x14ac:dyDescent="0.2">
      <c r="A98" s="316"/>
      <c r="B98" s="154"/>
      <c r="C98" s="154"/>
      <c r="D98" s="90"/>
      <c r="E98" s="253">
        <v>3</v>
      </c>
      <c r="F98" s="25" t="s">
        <v>93</v>
      </c>
      <c r="G98" s="25"/>
      <c r="H98" s="37">
        <v>375</v>
      </c>
      <c r="I98" s="90" t="s">
        <v>23</v>
      </c>
      <c r="J98" s="90"/>
      <c r="K98" s="87">
        <f t="shared" si="9"/>
        <v>1125</v>
      </c>
      <c r="L98" s="90" t="s">
        <v>23</v>
      </c>
      <c r="M98" s="91">
        <v>0.74</v>
      </c>
      <c r="N98" s="34">
        <f t="shared" ref="N98:N99" si="10">SUM(E98*H98)/M98*262.7</f>
        <v>399374.99999999994</v>
      </c>
    </row>
    <row r="99" spans="1:14" s="70" customFormat="1" ht="12.75" customHeight="1" x14ac:dyDescent="0.2">
      <c r="A99" s="316"/>
      <c r="B99" s="154"/>
      <c r="C99" s="154"/>
      <c r="D99" s="90"/>
      <c r="E99" s="89">
        <v>1</v>
      </c>
      <c r="F99" s="90" t="s">
        <v>97</v>
      </c>
      <c r="G99" s="90"/>
      <c r="H99" s="87">
        <v>800</v>
      </c>
      <c r="I99" s="90" t="s">
        <v>23</v>
      </c>
      <c r="J99" s="90"/>
      <c r="K99" s="87">
        <f t="shared" si="9"/>
        <v>800</v>
      </c>
      <c r="L99" s="90" t="s">
        <v>23</v>
      </c>
      <c r="M99" s="91">
        <v>0.74</v>
      </c>
      <c r="N99" s="34">
        <f t="shared" si="10"/>
        <v>284000</v>
      </c>
    </row>
    <row r="100" spans="1:14" s="24" customFormat="1" x14ac:dyDescent="0.2">
      <c r="A100" s="280"/>
      <c r="B100" s="154"/>
      <c r="C100" s="154"/>
      <c r="D100" s="92"/>
      <c r="E100" s="253">
        <v>4</v>
      </c>
      <c r="F100" s="25" t="s">
        <v>88</v>
      </c>
      <c r="G100" s="25"/>
      <c r="H100" s="37">
        <v>800</v>
      </c>
      <c r="I100" s="50" t="s">
        <v>23</v>
      </c>
      <c r="J100" s="258"/>
      <c r="K100" s="37">
        <f>SUM(E100*H100)</f>
        <v>3200</v>
      </c>
      <c r="L100" s="50" t="s">
        <v>23</v>
      </c>
      <c r="M100" s="36">
        <v>0.74</v>
      </c>
      <c r="N100" s="34">
        <f>SUM(E100*H100)/M100*262.7</f>
        <v>1136000</v>
      </c>
    </row>
    <row r="101" spans="1:14" ht="6" customHeight="1" x14ac:dyDescent="0.2">
      <c r="B101" s="157"/>
      <c r="C101" s="73"/>
      <c r="D101" s="27"/>
      <c r="E101" s="27"/>
      <c r="F101" s="27"/>
      <c r="G101" s="27"/>
      <c r="H101" s="27"/>
      <c r="I101" s="27"/>
      <c r="J101" s="27"/>
      <c r="K101" s="275"/>
      <c r="L101" s="27"/>
      <c r="M101" s="27"/>
      <c r="N101" s="33"/>
    </row>
    <row r="102" spans="1:14" x14ac:dyDescent="0.2">
      <c r="B102" s="154"/>
      <c r="C102" s="56" t="s">
        <v>4</v>
      </c>
      <c r="D102" s="46" t="s">
        <v>81</v>
      </c>
      <c r="E102" s="46"/>
      <c r="F102" s="46"/>
      <c r="G102" s="46"/>
      <c r="H102" s="57"/>
      <c r="I102" s="46"/>
      <c r="J102" s="46"/>
      <c r="K102" s="45">
        <v>86607</v>
      </c>
      <c r="L102" s="42" t="s">
        <v>23</v>
      </c>
      <c r="M102" s="46"/>
      <c r="N102" s="47"/>
    </row>
    <row r="103" spans="1:14" ht="41.25" customHeight="1" x14ac:dyDescent="0.2">
      <c r="B103" s="154"/>
      <c r="C103" s="56"/>
      <c r="D103" s="331" t="s">
        <v>179</v>
      </c>
      <c r="E103" s="331"/>
      <c r="F103" s="331"/>
      <c r="G103" s="331"/>
      <c r="H103" s="331"/>
      <c r="I103" s="331"/>
      <c r="J103" s="331"/>
      <c r="K103" s="331"/>
      <c r="L103" s="331"/>
      <c r="M103" s="46"/>
      <c r="N103" s="84">
        <f>1836842*1.2</f>
        <v>2204210.4</v>
      </c>
    </row>
    <row r="104" spans="1:14" x14ac:dyDescent="0.2">
      <c r="B104" s="154"/>
      <c r="C104" s="58"/>
      <c r="D104" s="42" t="s">
        <v>24</v>
      </c>
      <c r="E104" s="48">
        <v>4</v>
      </c>
      <c r="F104" s="42" t="s">
        <v>70</v>
      </c>
      <c r="G104" s="42"/>
      <c r="H104" s="43">
        <v>375</v>
      </c>
      <c r="I104" s="42" t="s">
        <v>23</v>
      </c>
      <c r="J104" s="42"/>
      <c r="K104" s="37">
        <f t="shared" ref="K104:K105" si="11">SUM(E104*H104)</f>
        <v>1500</v>
      </c>
      <c r="L104" s="42" t="s">
        <v>23</v>
      </c>
      <c r="M104" s="59">
        <v>0.71</v>
      </c>
      <c r="N104" s="34">
        <f>SUM(E104*H104)/M104*265.78</f>
        <v>561507.04225352115</v>
      </c>
    </row>
    <row r="105" spans="1:14" ht="15" x14ac:dyDescent="0.25">
      <c r="B105" s="154"/>
      <c r="C105" s="60"/>
      <c r="D105" s="46"/>
      <c r="E105" s="49">
        <v>1</v>
      </c>
      <c r="F105" s="46" t="s">
        <v>95</v>
      </c>
      <c r="G105" s="46"/>
      <c r="H105" s="43">
        <v>300</v>
      </c>
      <c r="I105" s="42" t="s">
        <v>23</v>
      </c>
      <c r="J105" s="42"/>
      <c r="K105" s="37">
        <f t="shared" si="11"/>
        <v>300</v>
      </c>
      <c r="L105" s="42" t="s">
        <v>23</v>
      </c>
      <c r="M105" s="61">
        <v>0.71</v>
      </c>
      <c r="N105" s="34">
        <f t="shared" ref="N105:N107" si="12">SUM(E105*H105)/M105*265.78</f>
        <v>112301.40845070421</v>
      </c>
    </row>
    <row r="106" spans="1:14" s="70" customFormat="1" x14ac:dyDescent="0.2">
      <c r="A106" s="316"/>
      <c r="B106" s="154"/>
      <c r="C106" s="154"/>
      <c r="D106" s="25"/>
      <c r="E106" s="253">
        <v>4</v>
      </c>
      <c r="F106" s="25" t="s">
        <v>88</v>
      </c>
      <c r="G106" s="25"/>
      <c r="H106" s="37">
        <v>750</v>
      </c>
      <c r="I106" s="25" t="s">
        <v>23</v>
      </c>
      <c r="J106" s="25"/>
      <c r="K106" s="37">
        <f>SUM(E106*H106)</f>
        <v>3000</v>
      </c>
      <c r="L106" s="25" t="s">
        <v>23</v>
      </c>
      <c r="M106" s="36">
        <v>0.71</v>
      </c>
      <c r="N106" s="34">
        <f t="shared" si="12"/>
        <v>1123014.0845070423</v>
      </c>
    </row>
    <row r="107" spans="1:14" s="70" customFormat="1" x14ac:dyDescent="0.2">
      <c r="A107" s="316"/>
      <c r="B107" s="154"/>
      <c r="C107" s="154"/>
      <c r="D107" s="25"/>
      <c r="E107" s="253">
        <v>1</v>
      </c>
      <c r="F107" s="25" t="s">
        <v>92</v>
      </c>
      <c r="G107" s="25"/>
      <c r="H107" s="37">
        <v>900</v>
      </c>
      <c r="I107" s="25" t="s">
        <v>23</v>
      </c>
      <c r="J107" s="25"/>
      <c r="K107" s="37">
        <f>SUM(E107*H107)</f>
        <v>900</v>
      </c>
      <c r="L107" s="25" t="s">
        <v>23</v>
      </c>
      <c r="M107" s="36">
        <v>0.71</v>
      </c>
      <c r="N107" s="34">
        <f t="shared" si="12"/>
        <v>336904.22535211267</v>
      </c>
    </row>
    <row r="108" spans="1:14" ht="6" customHeight="1" x14ac:dyDescent="0.2">
      <c r="B108" s="157"/>
      <c r="C108" s="73"/>
      <c r="D108" s="27"/>
      <c r="E108" s="27"/>
      <c r="F108" s="27"/>
      <c r="G108" s="27"/>
      <c r="H108" s="27"/>
      <c r="I108" s="27"/>
      <c r="J108" s="27"/>
      <c r="K108" s="275"/>
      <c r="L108" s="27"/>
      <c r="M108" s="27"/>
      <c r="N108" s="33"/>
    </row>
    <row r="109" spans="1:14" x14ac:dyDescent="0.2">
      <c r="B109" s="154"/>
      <c r="C109" s="56" t="s">
        <v>86</v>
      </c>
      <c r="D109" s="46" t="s">
        <v>82</v>
      </c>
      <c r="E109" s="46"/>
      <c r="F109" s="46"/>
      <c r="G109" s="46"/>
      <c r="H109" s="57"/>
      <c r="I109" s="46"/>
      <c r="J109" s="46"/>
      <c r="K109" s="45">
        <v>51254</v>
      </c>
      <c r="L109" s="42" t="s">
        <v>23</v>
      </c>
      <c r="M109" s="46"/>
      <c r="N109" s="47"/>
    </row>
    <row r="110" spans="1:14" ht="54" customHeight="1" x14ac:dyDescent="0.2">
      <c r="B110" s="154"/>
      <c r="C110" s="56"/>
      <c r="D110" s="331" t="s">
        <v>181</v>
      </c>
      <c r="E110" s="331"/>
      <c r="F110" s="331"/>
      <c r="G110" s="331"/>
      <c r="H110" s="331"/>
      <c r="I110" s="331"/>
      <c r="J110" s="331"/>
      <c r="K110" s="331"/>
      <c r="L110" s="331"/>
      <c r="M110" s="46"/>
      <c r="N110" s="47">
        <f>3631852*1.2</f>
        <v>4358222.3999999994</v>
      </c>
    </row>
    <row r="111" spans="1:14" x14ac:dyDescent="0.2">
      <c r="B111" s="154"/>
      <c r="C111" s="56"/>
      <c r="D111" s="46" t="s">
        <v>24</v>
      </c>
      <c r="E111" s="49">
        <v>1</v>
      </c>
      <c r="F111" s="46" t="s">
        <v>83</v>
      </c>
      <c r="G111" s="46"/>
      <c r="H111" s="43">
        <v>1200</v>
      </c>
      <c r="I111" s="42" t="s">
        <v>23</v>
      </c>
      <c r="J111" s="42"/>
      <c r="K111" s="87">
        <f t="shared" ref="K111:K113" si="13">SUM(E111*H111)</f>
        <v>1200</v>
      </c>
      <c r="L111" s="42" t="s">
        <v>23</v>
      </c>
      <c r="M111" s="61">
        <v>0.74</v>
      </c>
      <c r="N111" s="34">
        <f>SUM(E111*H111)/M111*262.7</f>
        <v>426000</v>
      </c>
    </row>
    <row r="112" spans="1:14" x14ac:dyDescent="0.2">
      <c r="B112" s="154"/>
      <c r="C112" s="56"/>
      <c r="D112" s="46"/>
      <c r="E112" s="49">
        <v>1</v>
      </c>
      <c r="F112" s="46" t="s">
        <v>69</v>
      </c>
      <c r="G112" s="46"/>
      <c r="H112" s="43">
        <v>300</v>
      </c>
      <c r="I112" s="42" t="s">
        <v>23</v>
      </c>
      <c r="J112" s="42"/>
      <c r="K112" s="87">
        <f t="shared" si="13"/>
        <v>300</v>
      </c>
      <c r="L112" s="42" t="s">
        <v>23</v>
      </c>
      <c r="M112" s="61">
        <v>0.74</v>
      </c>
      <c r="N112" s="34">
        <f t="shared" ref="N112:N113" si="14">SUM(E112*H112)/M112*262.7</f>
        <v>106500</v>
      </c>
    </row>
    <row r="113" spans="1:14" s="70" customFormat="1" ht="12.75" customHeight="1" x14ac:dyDescent="0.2">
      <c r="A113" s="316"/>
      <c r="B113" s="154"/>
      <c r="C113" s="154"/>
      <c r="D113" s="90"/>
      <c r="E113" s="89">
        <v>6</v>
      </c>
      <c r="F113" s="46" t="s">
        <v>88</v>
      </c>
      <c r="G113" s="90"/>
      <c r="H113" s="87">
        <v>800</v>
      </c>
      <c r="I113" s="90" t="s">
        <v>23</v>
      </c>
      <c r="J113" s="90"/>
      <c r="K113" s="87">
        <f t="shared" si="13"/>
        <v>4800</v>
      </c>
      <c r="L113" s="90" t="s">
        <v>23</v>
      </c>
      <c r="M113" s="91">
        <v>0.74</v>
      </c>
      <c r="N113" s="34">
        <f t="shared" si="14"/>
        <v>1704000</v>
      </c>
    </row>
    <row r="114" spans="1:14" ht="6" customHeight="1" x14ac:dyDescent="0.2">
      <c r="B114" s="157"/>
      <c r="C114" s="73"/>
      <c r="D114" s="27"/>
      <c r="E114" s="27"/>
      <c r="F114" s="27"/>
      <c r="G114" s="27"/>
      <c r="H114" s="27"/>
      <c r="I114" s="27"/>
      <c r="J114" s="27"/>
      <c r="K114" s="275"/>
      <c r="L114" s="27"/>
      <c r="M114" s="27"/>
      <c r="N114" s="33"/>
    </row>
    <row r="115" spans="1:14" x14ac:dyDescent="0.2">
      <c r="B115" s="154"/>
      <c r="C115" s="56" t="s">
        <v>80</v>
      </c>
      <c r="D115" s="46" t="s">
        <v>41</v>
      </c>
      <c r="E115" s="46"/>
      <c r="F115" s="46"/>
      <c r="G115" s="46"/>
      <c r="H115" s="57"/>
      <c r="I115" s="46"/>
      <c r="J115" s="46"/>
      <c r="K115" s="45">
        <v>201357</v>
      </c>
      <c r="L115" s="42" t="s">
        <v>23</v>
      </c>
      <c r="M115" s="46"/>
      <c r="N115" s="47"/>
    </row>
    <row r="116" spans="1:14" ht="30.75" customHeight="1" x14ac:dyDescent="0.2">
      <c r="B116" s="154"/>
      <c r="C116" s="56"/>
      <c r="D116" s="345" t="s">
        <v>85</v>
      </c>
      <c r="E116" s="345"/>
      <c r="F116" s="345"/>
      <c r="G116" s="345"/>
      <c r="H116" s="345"/>
      <c r="I116" s="345"/>
      <c r="J116" s="345"/>
      <c r="K116" s="345"/>
      <c r="L116" s="345"/>
      <c r="M116" s="46"/>
      <c r="N116" s="47">
        <f>3057950*1.2</f>
        <v>3669540</v>
      </c>
    </row>
    <row r="117" spans="1:14" s="24" customFormat="1" ht="25.5" x14ac:dyDescent="0.2">
      <c r="A117" s="280"/>
      <c r="B117" s="154"/>
      <c r="C117" s="154"/>
      <c r="D117" s="92" t="s">
        <v>24</v>
      </c>
      <c r="E117" s="253">
        <v>3</v>
      </c>
      <c r="F117" s="25" t="s">
        <v>89</v>
      </c>
      <c r="G117" s="25"/>
      <c r="H117" s="37">
        <v>375</v>
      </c>
      <c r="I117" s="25" t="s">
        <v>23</v>
      </c>
      <c r="J117" s="25"/>
      <c r="K117" s="37">
        <f>SUM(E117*H117)</f>
        <v>1125</v>
      </c>
      <c r="L117" s="25" t="s">
        <v>23</v>
      </c>
      <c r="M117" s="36">
        <v>0.68</v>
      </c>
      <c r="N117" s="34">
        <f t="shared" ref="N117:N118" si="15">SUM(E117*H117)/M117*274.69</f>
        <v>454450.3676470588</v>
      </c>
    </row>
    <row r="118" spans="1:14" s="70" customFormat="1" x14ac:dyDescent="0.2">
      <c r="A118" s="316"/>
      <c r="B118" s="154"/>
      <c r="C118" s="154"/>
      <c r="D118" s="25"/>
      <c r="E118" s="253">
        <v>5</v>
      </c>
      <c r="F118" s="25" t="s">
        <v>91</v>
      </c>
      <c r="G118" s="25"/>
      <c r="H118" s="37">
        <v>1000</v>
      </c>
      <c r="I118" s="25" t="s">
        <v>23</v>
      </c>
      <c r="J118" s="25"/>
      <c r="K118" s="37">
        <f>SUM(E118*H118)</f>
        <v>5000</v>
      </c>
      <c r="L118" s="25" t="s">
        <v>23</v>
      </c>
      <c r="M118" s="36">
        <v>0.68</v>
      </c>
      <c r="N118" s="34">
        <f t="shared" si="15"/>
        <v>2019779.4117647056</v>
      </c>
    </row>
    <row r="119" spans="1:14" s="155" customFormat="1" ht="6" customHeight="1" x14ac:dyDescent="0.2">
      <c r="B119" s="157"/>
      <c r="C119" s="73"/>
      <c r="D119" s="27"/>
      <c r="E119" s="27"/>
      <c r="F119" s="27"/>
      <c r="G119" s="27"/>
      <c r="H119" s="27"/>
      <c r="I119" s="27"/>
      <c r="J119" s="27"/>
      <c r="K119" s="275"/>
      <c r="L119" s="27"/>
      <c r="M119" s="27"/>
      <c r="N119" s="33"/>
    </row>
    <row r="120" spans="1:14" x14ac:dyDescent="0.2">
      <c r="B120" s="154"/>
      <c r="C120" s="56" t="s">
        <v>126</v>
      </c>
      <c r="D120" s="46" t="s">
        <v>132</v>
      </c>
      <c r="E120" s="46"/>
      <c r="F120" s="46"/>
      <c r="G120" s="46"/>
      <c r="H120" s="341">
        <v>2005</v>
      </c>
      <c r="I120" s="341"/>
      <c r="J120" s="46"/>
      <c r="K120" s="45">
        <v>67036</v>
      </c>
      <c r="L120" s="42" t="s">
        <v>23</v>
      </c>
      <c r="M120" s="46"/>
      <c r="N120" s="47"/>
    </row>
    <row r="121" spans="1:14" ht="30.6" customHeight="1" x14ac:dyDescent="0.2">
      <c r="B121" s="154"/>
      <c r="C121" s="56"/>
      <c r="D121" s="331" t="s">
        <v>259</v>
      </c>
      <c r="E121" s="331"/>
      <c r="F121" s="331"/>
      <c r="G121" s="331"/>
      <c r="H121" s="331"/>
      <c r="I121" s="331"/>
      <c r="J121" s="331"/>
      <c r="K121" s="331"/>
      <c r="L121" s="331"/>
      <c r="M121" s="46"/>
      <c r="N121" s="84">
        <f>K120*47.5+K120*6.47</f>
        <v>3617932.92</v>
      </c>
    </row>
    <row r="122" spans="1:14" ht="6" customHeight="1" x14ac:dyDescent="0.2">
      <c r="B122" s="157"/>
      <c r="C122" s="73"/>
      <c r="D122" s="27"/>
      <c r="E122" s="27"/>
      <c r="F122" s="27"/>
      <c r="G122" s="27"/>
      <c r="H122" s="27"/>
      <c r="I122" s="27"/>
      <c r="J122" s="27"/>
      <c r="K122" s="27"/>
      <c r="L122" s="27"/>
      <c r="M122" s="27"/>
      <c r="N122" s="33"/>
    </row>
    <row r="123" spans="1:14" x14ac:dyDescent="0.2">
      <c r="B123" s="154"/>
      <c r="C123" s="56" t="s">
        <v>129</v>
      </c>
      <c r="D123" s="46" t="s">
        <v>134</v>
      </c>
      <c r="E123" s="46"/>
      <c r="F123" s="46"/>
      <c r="G123" s="46"/>
      <c r="H123" s="57"/>
      <c r="I123" s="46">
        <v>2015</v>
      </c>
      <c r="J123" s="46"/>
      <c r="K123" s="45">
        <v>91300</v>
      </c>
      <c r="L123" s="42" t="s">
        <v>23</v>
      </c>
      <c r="M123" s="46"/>
      <c r="N123" s="47"/>
    </row>
    <row r="124" spans="1:14" s="24" customFormat="1" ht="25.5" x14ac:dyDescent="0.2">
      <c r="A124" s="280"/>
      <c r="B124" s="154"/>
      <c r="C124" s="154"/>
      <c r="D124" s="92" t="s">
        <v>24</v>
      </c>
      <c r="E124" s="253">
        <v>4</v>
      </c>
      <c r="F124" s="25" t="s">
        <v>268</v>
      </c>
      <c r="G124" s="25"/>
      <c r="H124" s="37">
        <v>800</v>
      </c>
      <c r="I124" s="50" t="s">
        <v>23</v>
      </c>
      <c r="J124" s="258"/>
      <c r="K124" s="37">
        <f>SUM(E124*H124)</f>
        <v>3200</v>
      </c>
      <c r="L124" s="50" t="s">
        <v>23</v>
      </c>
      <c r="M124" s="36">
        <v>0.74</v>
      </c>
      <c r="N124" s="34">
        <f>SUM(E124*H124)/M124*262.7</f>
        <v>1136000</v>
      </c>
    </row>
    <row r="125" spans="1:14" ht="6" customHeight="1" x14ac:dyDescent="0.2">
      <c r="B125" s="157"/>
      <c r="C125" s="73"/>
      <c r="D125" s="27"/>
      <c r="E125" s="27"/>
      <c r="F125" s="27"/>
      <c r="G125" s="27"/>
      <c r="H125" s="27"/>
      <c r="I125" s="27"/>
      <c r="J125" s="27"/>
      <c r="K125" s="27"/>
      <c r="L125" s="27"/>
      <c r="M125" s="27"/>
      <c r="N125" s="33"/>
    </row>
    <row r="126" spans="1:14" x14ac:dyDescent="0.2">
      <c r="B126" s="154"/>
      <c r="C126" s="56" t="s">
        <v>153</v>
      </c>
      <c r="D126" s="46" t="s">
        <v>135</v>
      </c>
      <c r="E126" s="46"/>
      <c r="F126" s="46"/>
      <c r="G126" s="46"/>
      <c r="H126" s="57"/>
      <c r="I126" s="46">
        <v>2008</v>
      </c>
      <c r="J126" s="46"/>
      <c r="K126" s="45">
        <v>67036</v>
      </c>
      <c r="L126" s="42" t="s">
        <v>23</v>
      </c>
      <c r="M126" s="46"/>
      <c r="N126" s="47"/>
    </row>
    <row r="127" spans="1:14" ht="30.6" customHeight="1" x14ac:dyDescent="0.2">
      <c r="B127" s="154"/>
      <c r="C127" s="56"/>
      <c r="D127" s="331" t="s">
        <v>258</v>
      </c>
      <c r="E127" s="331"/>
      <c r="F127" s="331"/>
      <c r="G127" s="331"/>
      <c r="H127" s="331"/>
      <c r="I127" s="331"/>
      <c r="J127" s="331"/>
      <c r="K127" s="331"/>
      <c r="L127" s="331"/>
      <c r="M127" s="46"/>
      <c r="N127" s="84">
        <f>K126*47.5+K126*6.47</f>
        <v>3617932.92</v>
      </c>
    </row>
    <row r="128" spans="1:14" s="24" customFormat="1" ht="25.5" x14ac:dyDescent="0.2">
      <c r="A128" s="280"/>
      <c r="B128" s="154"/>
      <c r="C128" s="154"/>
      <c r="D128" s="92" t="s">
        <v>24</v>
      </c>
      <c r="E128" s="253">
        <v>4</v>
      </c>
      <c r="F128" s="25" t="s">
        <v>88</v>
      </c>
      <c r="G128" s="25"/>
      <c r="H128" s="37">
        <v>800</v>
      </c>
      <c r="I128" s="50" t="s">
        <v>23</v>
      </c>
      <c r="J128" s="258"/>
      <c r="K128" s="37">
        <f>SUM(E128*H128)</f>
        <v>3200</v>
      </c>
      <c r="L128" s="50" t="s">
        <v>23</v>
      </c>
      <c r="M128" s="36">
        <v>0.74</v>
      </c>
      <c r="N128" s="34">
        <f>SUM(E128*H128)/M128*262.7</f>
        <v>1136000</v>
      </c>
    </row>
    <row r="129" spans="1:14" ht="6" customHeight="1" x14ac:dyDescent="0.2">
      <c r="B129" s="157"/>
      <c r="C129" s="73"/>
      <c r="D129" s="27"/>
      <c r="E129" s="27"/>
      <c r="F129" s="27"/>
      <c r="G129" s="27"/>
      <c r="H129" s="27"/>
      <c r="I129" s="27"/>
      <c r="J129" s="27"/>
      <c r="K129" s="27"/>
      <c r="L129" s="27"/>
      <c r="M129" s="27"/>
      <c r="N129" s="33"/>
    </row>
    <row r="130" spans="1:14" x14ac:dyDescent="0.2">
      <c r="B130" s="154"/>
      <c r="C130" s="56" t="s">
        <v>130</v>
      </c>
      <c r="D130" s="46" t="s">
        <v>136</v>
      </c>
      <c r="E130" s="46"/>
      <c r="F130" s="46"/>
      <c r="G130" s="46"/>
      <c r="H130" s="57"/>
      <c r="I130" s="46">
        <v>2004</v>
      </c>
      <c r="J130" s="46"/>
      <c r="K130" s="45">
        <v>67036</v>
      </c>
      <c r="L130" s="42" t="s">
        <v>23</v>
      </c>
      <c r="M130" s="46"/>
      <c r="N130" s="47"/>
    </row>
    <row r="131" spans="1:14" ht="30.6" customHeight="1" x14ac:dyDescent="0.2">
      <c r="B131" s="154"/>
      <c r="C131" s="56"/>
      <c r="D131" s="331" t="s">
        <v>258</v>
      </c>
      <c r="E131" s="331"/>
      <c r="F131" s="331"/>
      <c r="G131" s="331"/>
      <c r="H131" s="331"/>
      <c r="I131" s="331"/>
      <c r="J131" s="331"/>
      <c r="K131" s="331"/>
      <c r="L131" s="331"/>
      <c r="M131" s="46"/>
      <c r="N131" s="84">
        <f>K130*47.5+K130*6.47</f>
        <v>3617932.92</v>
      </c>
    </row>
    <row r="132" spans="1:14" s="24" customFormat="1" ht="25.5" x14ac:dyDescent="0.2">
      <c r="A132" s="280"/>
      <c r="B132" s="154"/>
      <c r="C132" s="154"/>
      <c r="D132" s="92" t="s">
        <v>24</v>
      </c>
      <c r="E132" s="253">
        <v>4</v>
      </c>
      <c r="F132" s="25" t="s">
        <v>268</v>
      </c>
      <c r="G132" s="25"/>
      <c r="H132" s="37">
        <v>800</v>
      </c>
      <c r="I132" s="50" t="s">
        <v>23</v>
      </c>
      <c r="J132" s="258"/>
      <c r="K132" s="37">
        <f>SUM(E132*H132)</f>
        <v>3200</v>
      </c>
      <c r="L132" s="50" t="s">
        <v>23</v>
      </c>
      <c r="M132" s="36">
        <v>0.74</v>
      </c>
      <c r="N132" s="34">
        <f>SUM(E132*H132)/M132*262.7</f>
        <v>1136000</v>
      </c>
    </row>
    <row r="133" spans="1:14" ht="6" customHeight="1" x14ac:dyDescent="0.2">
      <c r="B133" s="157"/>
      <c r="C133" s="73"/>
      <c r="D133" s="27"/>
      <c r="E133" s="27"/>
      <c r="F133" s="27"/>
      <c r="G133" s="27"/>
      <c r="H133" s="27"/>
      <c r="I133" s="27"/>
      <c r="J133" s="27"/>
      <c r="K133" s="27"/>
      <c r="L133" s="27"/>
      <c r="M133" s="27"/>
      <c r="N133" s="33"/>
    </row>
    <row r="134" spans="1:14" x14ac:dyDescent="0.2">
      <c r="B134" s="154"/>
      <c r="C134" s="56" t="s">
        <v>131</v>
      </c>
      <c r="D134" s="46" t="s">
        <v>146</v>
      </c>
      <c r="E134" s="46"/>
      <c r="F134" s="46"/>
      <c r="G134" s="46"/>
      <c r="H134" s="57"/>
      <c r="I134" s="324" t="s">
        <v>269</v>
      </c>
      <c r="J134" s="46"/>
      <c r="K134" s="45">
        <v>55386</v>
      </c>
      <c r="L134" s="42" t="s">
        <v>23</v>
      </c>
      <c r="M134" s="46"/>
      <c r="N134" s="47"/>
    </row>
    <row r="135" spans="1:14" ht="30.6" customHeight="1" x14ac:dyDescent="0.2">
      <c r="B135" s="154"/>
      <c r="C135" s="56"/>
      <c r="D135" s="331" t="s">
        <v>258</v>
      </c>
      <c r="E135" s="331"/>
      <c r="F135" s="331"/>
      <c r="G135" s="331"/>
      <c r="H135" s="331"/>
      <c r="I135" s="331"/>
      <c r="J135" s="331"/>
      <c r="K135" s="331"/>
      <c r="L135" s="331"/>
      <c r="M135" s="46"/>
      <c r="N135" s="84">
        <f>K134*47.5+K134*6.47</f>
        <v>2989182.42</v>
      </c>
    </row>
    <row r="136" spans="1:14" s="24" customFormat="1" ht="25.5" x14ac:dyDescent="0.2">
      <c r="A136" s="280"/>
      <c r="B136" s="154"/>
      <c r="C136" s="154"/>
      <c r="D136" s="92" t="s">
        <v>24</v>
      </c>
      <c r="E136" s="253">
        <v>4</v>
      </c>
      <c r="F136" s="25" t="s">
        <v>88</v>
      </c>
      <c r="G136" s="25"/>
      <c r="H136" s="37">
        <v>800</v>
      </c>
      <c r="I136" s="50" t="s">
        <v>23</v>
      </c>
      <c r="J136" s="258"/>
      <c r="K136" s="37">
        <f>SUM(E136*H136)</f>
        <v>3200</v>
      </c>
      <c r="L136" s="50" t="s">
        <v>23</v>
      </c>
      <c r="M136" s="36">
        <v>0.74</v>
      </c>
      <c r="N136" s="34">
        <f>SUM(E136*H136)/M136*262.7</f>
        <v>1136000</v>
      </c>
    </row>
    <row r="137" spans="1:14" ht="6" customHeight="1" x14ac:dyDescent="0.2">
      <c r="B137" s="157"/>
      <c r="C137" s="73"/>
      <c r="D137" s="27"/>
      <c r="E137" s="27"/>
      <c r="F137" s="27"/>
      <c r="G137" s="27"/>
      <c r="H137" s="27"/>
      <c r="I137" s="27"/>
      <c r="J137" s="27"/>
      <c r="K137" s="27"/>
      <c r="L137" s="27"/>
      <c r="M137" s="27"/>
      <c r="N137" s="33"/>
    </row>
    <row r="138" spans="1:14" x14ac:dyDescent="0.2">
      <c r="B138" s="154"/>
      <c r="C138" s="56" t="s">
        <v>138</v>
      </c>
      <c r="D138" s="46" t="s">
        <v>47</v>
      </c>
      <c r="E138" s="46"/>
      <c r="F138" s="46"/>
      <c r="G138" s="46"/>
      <c r="H138" s="57"/>
      <c r="I138" s="46">
        <v>2009</v>
      </c>
      <c r="J138" s="46"/>
      <c r="K138" s="45">
        <v>73400</v>
      </c>
      <c r="L138" s="42" t="s">
        <v>23</v>
      </c>
      <c r="M138" s="46"/>
      <c r="N138" s="47"/>
    </row>
    <row r="139" spans="1:14" ht="30.6" customHeight="1" x14ac:dyDescent="0.2">
      <c r="B139" s="154"/>
      <c r="C139" s="56"/>
      <c r="D139" s="331" t="s">
        <v>258</v>
      </c>
      <c r="E139" s="331"/>
      <c r="F139" s="331"/>
      <c r="G139" s="331"/>
      <c r="H139" s="331"/>
      <c r="I139" s="331"/>
      <c r="J139" s="331"/>
      <c r="K139" s="331"/>
      <c r="L139" s="331"/>
      <c r="M139" s="46"/>
      <c r="N139" s="84">
        <f>K138*47.5+K138*6.47</f>
        <v>3961398</v>
      </c>
    </row>
    <row r="140" spans="1:14" s="24" customFormat="1" ht="25.5" x14ac:dyDescent="0.2">
      <c r="A140" s="280"/>
      <c r="B140" s="154"/>
      <c r="C140" s="154"/>
      <c r="D140" s="92" t="s">
        <v>24</v>
      </c>
      <c r="E140" s="253">
        <v>4</v>
      </c>
      <c r="F140" s="25" t="s">
        <v>88</v>
      </c>
      <c r="G140" s="25"/>
      <c r="H140" s="37">
        <v>750</v>
      </c>
      <c r="I140" s="50" t="s">
        <v>23</v>
      </c>
      <c r="J140" s="258"/>
      <c r="K140" s="37">
        <f>SUM(E140*H140)</f>
        <v>3000</v>
      </c>
      <c r="L140" s="50" t="s">
        <v>23</v>
      </c>
      <c r="M140" s="36">
        <v>0.71</v>
      </c>
      <c r="N140" s="34">
        <f>SUM(E140*H140)/M140*265.78</f>
        <v>1123014.0845070423</v>
      </c>
    </row>
    <row r="141" spans="1:14" ht="6" customHeight="1" x14ac:dyDescent="0.2">
      <c r="B141" s="157"/>
      <c r="C141" s="73"/>
      <c r="D141" s="27"/>
      <c r="E141" s="27"/>
      <c r="F141" s="27"/>
      <c r="G141" s="27"/>
      <c r="H141" s="27"/>
      <c r="I141" s="27"/>
      <c r="J141" s="27"/>
      <c r="K141" s="27"/>
      <c r="L141" s="27"/>
      <c r="M141" s="27"/>
      <c r="N141" s="33"/>
    </row>
    <row r="142" spans="1:14" x14ac:dyDescent="0.2">
      <c r="B142" s="154"/>
      <c r="C142" s="56" t="s">
        <v>139</v>
      </c>
      <c r="D142" s="46" t="s">
        <v>42</v>
      </c>
      <c r="E142" s="46"/>
      <c r="F142" s="46"/>
      <c r="G142" s="46"/>
      <c r="H142" s="57"/>
      <c r="I142" s="46">
        <v>2001</v>
      </c>
      <c r="J142" s="46"/>
      <c r="K142" s="45">
        <v>230000</v>
      </c>
      <c r="L142" s="42" t="s">
        <v>23</v>
      </c>
      <c r="M142" s="46"/>
      <c r="N142" s="47"/>
    </row>
    <row r="143" spans="1:14" ht="30.6" customHeight="1" x14ac:dyDescent="0.2">
      <c r="B143" s="154"/>
      <c r="C143" s="56"/>
      <c r="D143" s="331" t="s">
        <v>258</v>
      </c>
      <c r="E143" s="331"/>
      <c r="F143" s="331"/>
      <c r="G143" s="331"/>
      <c r="H143" s="331"/>
      <c r="I143" s="331"/>
      <c r="J143" s="331"/>
      <c r="K143" s="331"/>
      <c r="L143" s="331"/>
      <c r="M143" s="46"/>
      <c r="N143" s="84">
        <f>K142*47.5+K142*6.47</f>
        <v>12413100</v>
      </c>
    </row>
    <row r="144" spans="1:14" s="24" customFormat="1" ht="25.5" x14ac:dyDescent="0.2">
      <c r="A144" s="280"/>
      <c r="B144" s="154"/>
      <c r="C144" s="154"/>
      <c r="D144" s="92" t="s">
        <v>24</v>
      </c>
      <c r="E144" s="253">
        <v>4</v>
      </c>
      <c r="F144" s="25" t="s">
        <v>88</v>
      </c>
      <c r="G144" s="25"/>
      <c r="H144" s="37">
        <v>750</v>
      </c>
      <c r="I144" s="50" t="s">
        <v>23</v>
      </c>
      <c r="J144" s="258"/>
      <c r="K144" s="37">
        <f>SUM(E144*H144)</f>
        <v>3000</v>
      </c>
      <c r="L144" s="50" t="s">
        <v>23</v>
      </c>
      <c r="M144" s="36">
        <v>0.68</v>
      </c>
      <c r="N144" s="34">
        <f>SUM(E144*H144)/M144*274.69</f>
        <v>1211867.6470588234</v>
      </c>
    </row>
    <row r="145" spans="1:14" s="24" customFormat="1" ht="5.25" customHeight="1" x14ac:dyDescent="0.2">
      <c r="A145" s="280"/>
      <c r="B145" s="154"/>
      <c r="C145" s="154"/>
      <c r="D145" s="92"/>
      <c r="E145" s="35"/>
      <c r="F145" s="35"/>
      <c r="G145" s="35"/>
      <c r="H145" s="35"/>
      <c r="I145" s="35"/>
      <c r="J145" s="35"/>
      <c r="K145" s="35"/>
      <c r="L145" s="35"/>
      <c r="M145" s="36"/>
      <c r="N145" s="34"/>
    </row>
    <row r="146" spans="1:14" ht="14.25" x14ac:dyDescent="0.2">
      <c r="B146" s="313" t="s">
        <v>27</v>
      </c>
      <c r="C146" s="314"/>
      <c r="D146" s="31"/>
      <c r="E146" s="31"/>
      <c r="F146" s="31"/>
      <c r="G146" s="31"/>
      <c r="H146" s="31"/>
      <c r="I146" s="31"/>
      <c r="J146" s="31"/>
      <c r="K146" s="31"/>
      <c r="L146" s="31"/>
      <c r="M146" s="31"/>
      <c r="N146" s="32"/>
    </row>
    <row r="147" spans="1:14" ht="5.25" customHeight="1" x14ac:dyDescent="0.2">
      <c r="B147" s="74"/>
      <c r="C147" s="74"/>
      <c r="D147" s="27"/>
      <c r="E147" s="27"/>
      <c r="F147" s="27"/>
      <c r="G147" s="27"/>
      <c r="H147" s="27"/>
      <c r="I147" s="27"/>
      <c r="J147" s="27"/>
      <c r="K147" s="27"/>
      <c r="L147" s="27"/>
      <c r="M147" s="27"/>
      <c r="N147" s="33"/>
    </row>
    <row r="148" spans="1:14" x14ac:dyDescent="0.2">
      <c r="B148" s="164" t="s">
        <v>3</v>
      </c>
      <c r="C148" s="318" t="s">
        <v>30</v>
      </c>
      <c r="D148" s="25"/>
      <c r="E148" s="25"/>
      <c r="F148" s="25"/>
      <c r="G148" s="25"/>
      <c r="H148" s="25"/>
      <c r="I148" s="25"/>
      <c r="J148" s="25"/>
      <c r="K148" s="25"/>
      <c r="L148" s="25"/>
      <c r="M148" s="25"/>
      <c r="N148" s="34"/>
    </row>
    <row r="149" spans="1:14" ht="6" customHeight="1" x14ac:dyDescent="0.2">
      <c r="B149" s="157"/>
      <c r="C149" s="73"/>
      <c r="D149" s="27"/>
      <c r="E149" s="27"/>
      <c r="F149" s="27"/>
      <c r="G149" s="27"/>
      <c r="H149" s="27"/>
      <c r="I149" s="27"/>
      <c r="J149" s="27"/>
      <c r="K149" s="27"/>
      <c r="L149" s="27"/>
      <c r="M149" s="27"/>
      <c r="N149" s="33"/>
    </row>
    <row r="150" spans="1:14" x14ac:dyDescent="0.2">
      <c r="B150" s="154"/>
      <c r="C150" s="114" t="s">
        <v>0</v>
      </c>
      <c r="D150" s="115" t="s">
        <v>155</v>
      </c>
      <c r="E150" s="115"/>
      <c r="F150" s="115"/>
      <c r="G150" s="115"/>
      <c r="H150" s="115"/>
      <c r="I150" s="115"/>
      <c r="J150" s="115"/>
      <c r="K150" s="116">
        <v>15000</v>
      </c>
      <c r="L150" s="115" t="s">
        <v>23</v>
      </c>
      <c r="M150" s="117"/>
      <c r="N150" s="123"/>
    </row>
    <row r="151" spans="1:14" x14ac:dyDescent="0.2">
      <c r="B151" s="154"/>
      <c r="C151" s="129"/>
      <c r="D151" s="342" t="s">
        <v>156</v>
      </c>
      <c r="E151" s="342"/>
      <c r="F151" s="342"/>
      <c r="G151" s="342"/>
      <c r="H151" s="342"/>
      <c r="I151" s="342"/>
      <c r="J151" s="342"/>
      <c r="K151" s="342"/>
      <c r="L151" s="342"/>
      <c r="M151" s="130"/>
      <c r="N151" s="124">
        <f>K150*222.39</f>
        <v>3335850</v>
      </c>
    </row>
    <row r="152" spans="1:14" ht="6" customHeight="1" x14ac:dyDescent="0.2">
      <c r="B152" s="154"/>
      <c r="C152" s="129"/>
      <c r="D152" s="259"/>
      <c r="E152" s="259"/>
      <c r="F152" s="259"/>
      <c r="G152" s="259"/>
      <c r="H152" s="259"/>
      <c r="I152" s="259"/>
      <c r="J152" s="259"/>
      <c r="K152" s="259"/>
      <c r="L152" s="259"/>
      <c r="M152" s="130"/>
      <c r="N152" s="124"/>
    </row>
    <row r="153" spans="1:14" x14ac:dyDescent="0.2">
      <c r="B153" s="154"/>
      <c r="C153" s="114" t="s">
        <v>1</v>
      </c>
      <c r="D153" s="115" t="s">
        <v>75</v>
      </c>
      <c r="E153" s="115"/>
      <c r="F153" s="115"/>
      <c r="G153" s="115"/>
      <c r="H153" s="115"/>
      <c r="I153" s="115"/>
      <c r="J153" s="115"/>
      <c r="K153" s="116">
        <v>38335</v>
      </c>
      <c r="L153" s="115" t="s">
        <v>23</v>
      </c>
      <c r="M153" s="117"/>
      <c r="N153" s="118"/>
    </row>
    <row r="154" spans="1:14" ht="15.75" customHeight="1" x14ac:dyDescent="0.2">
      <c r="B154" s="154"/>
      <c r="C154" s="114"/>
      <c r="D154" s="343" t="s">
        <v>101</v>
      </c>
      <c r="E154" s="343"/>
      <c r="F154" s="343"/>
      <c r="G154" s="343"/>
      <c r="H154" s="343"/>
      <c r="I154" s="343"/>
      <c r="J154" s="343"/>
      <c r="K154" s="343"/>
      <c r="L154" s="343"/>
      <c r="M154" s="119"/>
      <c r="N154" s="120">
        <f>1358207*1.2</f>
        <v>1629848.4</v>
      </c>
    </row>
    <row r="155" spans="1:14" ht="6" customHeight="1" x14ac:dyDescent="0.2">
      <c r="B155" s="157"/>
      <c r="C155" s="111"/>
      <c r="D155" s="103"/>
      <c r="E155" s="103"/>
      <c r="F155" s="103"/>
      <c r="G155" s="103"/>
      <c r="H155" s="103"/>
      <c r="I155" s="103"/>
      <c r="J155" s="103"/>
      <c r="K155" s="103"/>
      <c r="L155" s="103"/>
      <c r="M155" s="103"/>
      <c r="N155" s="110"/>
    </row>
    <row r="156" spans="1:14" s="95" customFormat="1" x14ac:dyDescent="0.2">
      <c r="A156" s="319"/>
      <c r="B156" s="320"/>
      <c r="C156" s="114" t="s">
        <v>2</v>
      </c>
      <c r="D156" s="115" t="s">
        <v>262</v>
      </c>
      <c r="E156" s="115"/>
      <c r="F156" s="115"/>
      <c r="G156" s="115"/>
      <c r="H156" s="115"/>
      <c r="I156" s="115"/>
      <c r="J156" s="115"/>
      <c r="K156" s="116">
        <v>25583</v>
      </c>
      <c r="L156" s="115" t="s">
        <v>23</v>
      </c>
      <c r="M156" s="117"/>
      <c r="N156" s="123"/>
    </row>
    <row r="157" spans="1:14" s="95" customFormat="1" ht="27.75" customHeight="1" x14ac:dyDescent="0.2">
      <c r="A157" s="319"/>
      <c r="B157" s="320"/>
      <c r="C157" s="107"/>
      <c r="D157" s="344" t="s">
        <v>79</v>
      </c>
      <c r="E157" s="344"/>
      <c r="F157" s="344"/>
      <c r="G157" s="344"/>
      <c r="H157" s="344"/>
      <c r="I157" s="344"/>
      <c r="J157" s="344"/>
      <c r="K157" s="344"/>
      <c r="L157" s="344"/>
      <c r="M157" s="107"/>
      <c r="N157" s="124">
        <f>1812808*1.2</f>
        <v>2175369.6</v>
      </c>
    </row>
    <row r="158" spans="1:14" s="95" customFormat="1" ht="5.25" customHeight="1" x14ac:dyDescent="0.2">
      <c r="A158" s="319"/>
      <c r="B158" s="320"/>
      <c r="C158" s="262"/>
      <c r="D158" s="113"/>
      <c r="E158" s="113"/>
      <c r="F158" s="113"/>
      <c r="G158" s="113"/>
      <c r="H158" s="113"/>
      <c r="I158" s="113"/>
      <c r="J158" s="113"/>
      <c r="K158" s="113"/>
      <c r="L158" s="113"/>
      <c r="M158" s="113"/>
      <c r="N158" s="112"/>
    </row>
    <row r="159" spans="1:14" x14ac:dyDescent="0.2">
      <c r="B159" s="154"/>
      <c r="C159" s="114" t="s">
        <v>3</v>
      </c>
      <c r="D159" s="115" t="s">
        <v>260</v>
      </c>
      <c r="E159" s="115"/>
      <c r="F159" s="115"/>
      <c r="G159" s="115"/>
      <c r="H159" s="115"/>
      <c r="I159" s="115"/>
      <c r="J159" s="115"/>
      <c r="K159" s="116">
        <v>23800</v>
      </c>
      <c r="L159" s="115" t="s">
        <v>23</v>
      </c>
      <c r="M159" s="117"/>
      <c r="N159" s="123"/>
    </row>
    <row r="160" spans="1:14" ht="30" customHeight="1" x14ac:dyDescent="0.2">
      <c r="B160" s="154"/>
      <c r="C160" s="114"/>
      <c r="D160" s="342" t="s">
        <v>77</v>
      </c>
      <c r="E160" s="342"/>
      <c r="F160" s="342"/>
      <c r="G160" s="342"/>
      <c r="H160" s="342"/>
      <c r="I160" s="342"/>
      <c r="J160" s="342"/>
      <c r="K160" s="342"/>
      <c r="L160" s="342"/>
      <c r="M160" s="127"/>
      <c r="N160" s="128">
        <f>1264849*1.2</f>
        <v>1517818.8</v>
      </c>
    </row>
    <row r="161" spans="1:14" ht="6" customHeight="1" x14ac:dyDescent="0.2">
      <c r="B161" s="157"/>
      <c r="C161" s="111"/>
      <c r="D161" s="103"/>
      <c r="E161" s="103"/>
      <c r="F161" s="103"/>
      <c r="G161" s="103"/>
      <c r="H161" s="103"/>
      <c r="I161" s="103"/>
      <c r="J161" s="103"/>
      <c r="K161" s="103"/>
      <c r="L161" s="103"/>
      <c r="M161" s="103"/>
      <c r="N161" s="110"/>
    </row>
    <row r="162" spans="1:14" x14ac:dyDescent="0.2">
      <c r="B162" s="154"/>
      <c r="C162" s="114" t="s">
        <v>4</v>
      </c>
      <c r="D162" s="115" t="s">
        <v>161</v>
      </c>
      <c r="E162" s="115"/>
      <c r="F162" s="115"/>
      <c r="G162" s="115"/>
      <c r="H162" s="115"/>
      <c r="I162" s="115"/>
      <c r="J162" s="115"/>
      <c r="K162" s="116">
        <v>7395</v>
      </c>
      <c r="L162" s="115" t="s">
        <v>23</v>
      </c>
      <c r="M162" s="117"/>
      <c r="N162" s="123"/>
    </row>
    <row r="163" spans="1:14" ht="27" customHeight="1" x14ac:dyDescent="0.2">
      <c r="B163" s="154"/>
      <c r="C163" s="129"/>
      <c r="D163" s="342" t="s">
        <v>77</v>
      </c>
      <c r="E163" s="342"/>
      <c r="F163" s="342"/>
      <c r="G163" s="342"/>
      <c r="H163" s="342"/>
      <c r="I163" s="342"/>
      <c r="J163" s="342"/>
      <c r="K163" s="342"/>
      <c r="L163" s="342"/>
      <c r="M163" s="130"/>
      <c r="N163" s="124">
        <f>524009*1.2</f>
        <v>628810.79999999993</v>
      </c>
    </row>
    <row r="164" spans="1:14" ht="6" customHeight="1" x14ac:dyDescent="0.2">
      <c r="B164" s="157"/>
      <c r="C164" s="111"/>
      <c r="D164" s="103"/>
      <c r="E164" s="103"/>
      <c r="F164" s="103"/>
      <c r="G164" s="103"/>
      <c r="H164" s="103"/>
      <c r="I164" s="103"/>
      <c r="J164" s="103"/>
      <c r="K164" s="103"/>
      <c r="L164" s="103"/>
      <c r="M164" s="103"/>
      <c r="N164" s="110"/>
    </row>
    <row r="165" spans="1:14" x14ac:dyDescent="0.2">
      <c r="B165" s="154"/>
      <c r="C165" s="114" t="s">
        <v>86</v>
      </c>
      <c r="D165" s="115" t="s">
        <v>261</v>
      </c>
      <c r="E165" s="115"/>
      <c r="F165" s="115"/>
      <c r="G165" s="115"/>
      <c r="H165" s="115"/>
      <c r="I165" s="115"/>
      <c r="J165" s="115"/>
      <c r="K165" s="116">
        <v>50000</v>
      </c>
      <c r="L165" s="115" t="s">
        <v>23</v>
      </c>
      <c r="M165" s="117"/>
      <c r="N165" s="123"/>
    </row>
    <row r="166" spans="1:14" ht="13.15" customHeight="1" x14ac:dyDescent="0.2">
      <c r="B166" s="154"/>
      <c r="C166" s="129"/>
      <c r="D166" s="342" t="s">
        <v>163</v>
      </c>
      <c r="E166" s="342"/>
      <c r="F166" s="342"/>
      <c r="G166" s="342"/>
      <c r="H166" s="342"/>
      <c r="I166" s="342"/>
      <c r="J166" s="342"/>
      <c r="K166" s="342"/>
      <c r="L166" s="342"/>
      <c r="M166" s="130"/>
      <c r="N166" s="124">
        <f>K165*147.21</f>
        <v>7360500</v>
      </c>
    </row>
    <row r="167" spans="1:14" ht="6" customHeight="1" thickBot="1" x14ac:dyDescent="0.25">
      <c r="B167" s="157"/>
      <c r="C167" s="73"/>
      <c r="D167" s="27"/>
      <c r="E167" s="27"/>
      <c r="F167" s="27"/>
      <c r="G167" s="27"/>
      <c r="H167" s="27"/>
      <c r="I167" s="27"/>
      <c r="J167" s="27"/>
      <c r="K167" s="27"/>
      <c r="L167" s="27"/>
      <c r="M167" s="27"/>
      <c r="N167" s="33"/>
    </row>
    <row r="168" spans="1:14" ht="13.5" thickBot="1" x14ac:dyDescent="0.25">
      <c r="B168" s="321" t="s">
        <v>33</v>
      </c>
      <c r="C168" s="322"/>
      <c r="D168" s="38"/>
      <c r="E168" s="38"/>
      <c r="F168" s="38"/>
      <c r="G168" s="38"/>
      <c r="H168" s="38"/>
      <c r="I168" s="38"/>
      <c r="J168" s="38"/>
      <c r="K168" s="38"/>
      <c r="L168" s="38"/>
      <c r="M168" s="38"/>
      <c r="N168" s="141">
        <f>SUM(N48:N167)</f>
        <v>192518547.31812924</v>
      </c>
    </row>
    <row r="169" spans="1:14" ht="5.25" customHeight="1" x14ac:dyDescent="0.2">
      <c r="B169" s="74"/>
      <c r="C169" s="74"/>
      <c r="D169" s="27"/>
      <c r="E169" s="27"/>
      <c r="F169" s="27"/>
      <c r="G169" s="27"/>
      <c r="H169" s="27"/>
      <c r="I169" s="27"/>
      <c r="J169" s="27"/>
      <c r="K169" s="27"/>
      <c r="L169" s="27"/>
      <c r="M169" s="27"/>
      <c r="N169" s="33"/>
    </row>
    <row r="170" spans="1:14" x14ac:dyDescent="0.2">
      <c r="B170" s="164" t="s">
        <v>4</v>
      </c>
      <c r="C170" s="318" t="s">
        <v>31</v>
      </c>
      <c r="D170" s="25"/>
      <c r="E170" s="25"/>
      <c r="F170" s="25"/>
      <c r="G170" s="25"/>
      <c r="H170" s="25"/>
      <c r="I170" s="25"/>
      <c r="J170" s="25"/>
      <c r="K170" s="25"/>
      <c r="L170" s="25"/>
      <c r="M170" s="25"/>
      <c r="N170" s="34"/>
    </row>
    <row r="171" spans="1:14" x14ac:dyDescent="0.2">
      <c r="B171" s="154"/>
      <c r="C171" s="315" t="s">
        <v>28</v>
      </c>
      <c r="D171" s="25"/>
      <c r="E171" s="25"/>
      <c r="F171" s="25"/>
      <c r="G171" s="25"/>
      <c r="H171" s="25"/>
      <c r="I171" s="25"/>
      <c r="J171" s="25"/>
      <c r="K171" s="25"/>
      <c r="L171" s="25"/>
      <c r="M171" s="25"/>
      <c r="N171" s="34"/>
    </row>
    <row r="172" spans="1:14" ht="6" customHeight="1" x14ac:dyDescent="0.2">
      <c r="B172" s="157"/>
      <c r="C172" s="73"/>
      <c r="D172" s="27"/>
      <c r="E172" s="27"/>
      <c r="F172" s="27"/>
      <c r="G172" s="27"/>
      <c r="H172" s="27"/>
      <c r="I172" s="27"/>
      <c r="J172" s="27"/>
      <c r="K172" s="27"/>
      <c r="L172" s="27"/>
      <c r="M172" s="27"/>
      <c r="N172" s="33"/>
    </row>
    <row r="173" spans="1:14" s="21" customFormat="1" x14ac:dyDescent="0.2">
      <c r="A173" s="323"/>
      <c r="B173" s="163"/>
      <c r="C173" s="52" t="s">
        <v>0</v>
      </c>
      <c r="D173" s="53" t="s">
        <v>72</v>
      </c>
      <c r="E173" s="50"/>
      <c r="F173" s="50"/>
      <c r="G173" s="50"/>
      <c r="H173" s="51"/>
      <c r="I173" s="50"/>
      <c r="J173" s="50"/>
      <c r="K173" s="51">
        <v>16000</v>
      </c>
      <c r="L173" s="50" t="s">
        <v>23</v>
      </c>
      <c r="M173" s="50"/>
      <c r="N173" s="54"/>
    </row>
    <row r="174" spans="1:14" s="21" customFormat="1" ht="13.15" customHeight="1" x14ac:dyDescent="0.2">
      <c r="A174" s="323"/>
      <c r="B174" s="163"/>
      <c r="C174" s="52"/>
      <c r="D174" s="55" t="s">
        <v>73</v>
      </c>
      <c r="E174" s="163"/>
      <c r="F174" s="76"/>
      <c r="G174" s="76"/>
      <c r="H174" s="76"/>
      <c r="I174" s="76"/>
      <c r="J174" s="76"/>
      <c r="K174" s="51"/>
      <c r="L174" s="50"/>
      <c r="M174" s="50"/>
      <c r="N174" s="54">
        <f>K173*350</f>
        <v>5600000</v>
      </c>
    </row>
    <row r="175" spans="1:14" ht="6" customHeight="1" x14ac:dyDescent="0.2">
      <c r="B175" s="157"/>
      <c r="C175" s="73"/>
      <c r="D175" s="27"/>
      <c r="E175" s="27"/>
      <c r="F175" s="27"/>
      <c r="G175" s="27"/>
      <c r="H175" s="27"/>
      <c r="I175" s="27"/>
      <c r="J175" s="27"/>
      <c r="K175" s="27"/>
      <c r="L175" s="27"/>
      <c r="M175" s="27"/>
      <c r="N175" s="33"/>
    </row>
    <row r="176" spans="1:14" x14ac:dyDescent="0.2">
      <c r="C176" s="52" t="s">
        <v>1</v>
      </c>
      <c r="D176" s="27" t="s">
        <v>40</v>
      </c>
      <c r="K176" s="51">
        <v>30000</v>
      </c>
      <c r="L176" s="50" t="s">
        <v>23</v>
      </c>
      <c r="N176" s="54"/>
    </row>
    <row r="177" spans="1:14" x14ac:dyDescent="0.2">
      <c r="C177" s="52"/>
      <c r="D177" s="27" t="s">
        <v>164</v>
      </c>
      <c r="K177" s="51"/>
      <c r="L177" s="50"/>
      <c r="N177" s="54">
        <f>5550000*1.2</f>
        <v>6660000</v>
      </c>
    </row>
    <row r="178" spans="1:14" ht="6" customHeight="1" x14ac:dyDescent="0.2">
      <c r="B178" s="157"/>
      <c r="C178" s="73"/>
      <c r="D178" s="27"/>
      <c r="E178" s="27"/>
      <c r="F178" s="27"/>
      <c r="G178" s="27"/>
      <c r="H178" s="27"/>
      <c r="I178" s="27"/>
      <c r="J178" s="27"/>
      <c r="K178" s="27"/>
      <c r="L178" s="27"/>
      <c r="M178" s="27"/>
      <c r="N178" s="33"/>
    </row>
    <row r="179" spans="1:14" x14ac:dyDescent="0.2">
      <c r="C179" s="52" t="s">
        <v>2</v>
      </c>
      <c r="D179" s="27" t="s">
        <v>41</v>
      </c>
      <c r="K179" s="51">
        <v>30000</v>
      </c>
      <c r="L179" s="50" t="s">
        <v>23</v>
      </c>
      <c r="N179" s="54"/>
    </row>
    <row r="180" spans="1:14" x14ac:dyDescent="0.2">
      <c r="C180" s="52"/>
      <c r="D180" s="27" t="s">
        <v>164</v>
      </c>
      <c r="K180" s="51"/>
      <c r="L180" s="50"/>
      <c r="N180" s="54">
        <f>5550000*1.2</f>
        <v>6660000</v>
      </c>
    </row>
    <row r="181" spans="1:14" ht="6" customHeight="1" x14ac:dyDescent="0.2">
      <c r="B181" s="157"/>
      <c r="C181" s="73"/>
      <c r="D181" s="27"/>
      <c r="E181" s="27"/>
      <c r="F181" s="27"/>
      <c r="G181" s="27"/>
      <c r="H181" s="27"/>
      <c r="I181" s="27"/>
      <c r="J181" s="27"/>
      <c r="K181" s="27"/>
      <c r="L181" s="27"/>
      <c r="M181" s="27"/>
      <c r="N181" s="33"/>
    </row>
    <row r="182" spans="1:14" x14ac:dyDescent="0.2">
      <c r="C182" s="52" t="s">
        <v>3</v>
      </c>
      <c r="D182" s="27" t="s">
        <v>42</v>
      </c>
      <c r="K182" s="51">
        <v>30000</v>
      </c>
      <c r="L182" s="50" t="s">
        <v>23</v>
      </c>
      <c r="N182" s="54"/>
    </row>
    <row r="183" spans="1:14" x14ac:dyDescent="0.2">
      <c r="C183" s="52"/>
      <c r="D183" s="27" t="s">
        <v>164</v>
      </c>
      <c r="K183" s="51"/>
      <c r="L183" s="50"/>
      <c r="N183" s="54">
        <f>5550000*1.2</f>
        <v>6660000</v>
      </c>
    </row>
    <row r="184" spans="1:14" ht="6" customHeight="1" x14ac:dyDescent="0.2">
      <c r="B184" s="157"/>
      <c r="C184" s="73"/>
      <c r="D184" s="27"/>
      <c r="E184" s="27"/>
      <c r="F184" s="27"/>
      <c r="G184" s="27"/>
      <c r="H184" s="27"/>
      <c r="I184" s="27"/>
      <c r="J184" s="27"/>
      <c r="K184" s="27"/>
      <c r="L184" s="27"/>
      <c r="M184" s="27"/>
      <c r="N184" s="33"/>
    </row>
    <row r="185" spans="1:14" x14ac:dyDescent="0.2">
      <c r="C185" s="52" t="s">
        <v>4</v>
      </c>
      <c r="D185" s="27" t="s">
        <v>40</v>
      </c>
      <c r="E185" s="27"/>
      <c r="F185" s="27"/>
      <c r="G185" s="27"/>
      <c r="H185" s="27"/>
      <c r="I185" s="27"/>
      <c r="J185" s="27"/>
      <c r="K185" s="51"/>
      <c r="L185" s="50"/>
      <c r="M185" s="27"/>
      <c r="N185" s="54"/>
    </row>
    <row r="186" spans="1:14" x14ac:dyDescent="0.2">
      <c r="C186" s="52"/>
      <c r="D186" s="93" t="s">
        <v>178</v>
      </c>
      <c r="F186" s="27"/>
      <c r="G186" s="27"/>
      <c r="H186" s="27"/>
      <c r="I186" s="27"/>
      <c r="J186" s="27"/>
      <c r="K186" s="51"/>
      <c r="L186" s="50"/>
      <c r="M186" s="27"/>
      <c r="N186" s="54">
        <f>140000*1.2</f>
        <v>168000</v>
      </c>
    </row>
    <row r="187" spans="1:14" ht="6" customHeight="1" x14ac:dyDescent="0.2">
      <c r="C187" s="52"/>
      <c r="D187" s="27"/>
      <c r="L187" s="50"/>
      <c r="N187" s="54"/>
    </row>
    <row r="188" spans="1:14" s="21" customFormat="1" x14ac:dyDescent="0.2">
      <c r="A188" s="323"/>
      <c r="B188" s="163"/>
      <c r="C188" s="52" t="s">
        <v>86</v>
      </c>
      <c r="D188" s="27" t="s">
        <v>45</v>
      </c>
      <c r="E188" s="27"/>
      <c r="F188" s="27"/>
      <c r="G188" s="27"/>
      <c r="H188" s="27"/>
      <c r="I188" s="27"/>
      <c r="J188" s="27"/>
      <c r="K188" s="51"/>
      <c r="L188" s="50"/>
      <c r="M188" s="27"/>
      <c r="N188" s="54"/>
    </row>
    <row r="189" spans="1:14" x14ac:dyDescent="0.2">
      <c r="C189" s="52"/>
      <c r="D189" s="27" t="s">
        <v>74</v>
      </c>
      <c r="F189" s="27"/>
      <c r="G189" s="27"/>
      <c r="H189" s="27"/>
      <c r="I189" s="27"/>
      <c r="J189" s="27"/>
      <c r="K189" s="51"/>
      <c r="L189" s="50"/>
      <c r="M189" s="27"/>
      <c r="N189" s="54">
        <f>500000*1.2</f>
        <v>600000</v>
      </c>
    </row>
    <row r="190" spans="1:14" ht="6" customHeight="1" x14ac:dyDescent="0.2">
      <c r="B190" s="157"/>
      <c r="C190" s="73"/>
      <c r="D190" s="27"/>
      <c r="E190" s="27"/>
      <c r="F190" s="27"/>
      <c r="G190" s="27"/>
      <c r="H190" s="27"/>
      <c r="I190" s="27"/>
      <c r="J190" s="27"/>
      <c r="K190" s="27"/>
      <c r="L190" s="27"/>
      <c r="M190" s="27"/>
      <c r="N190" s="33"/>
    </row>
    <row r="191" spans="1:14" x14ac:dyDescent="0.2">
      <c r="B191" s="154"/>
      <c r="C191" s="56" t="s">
        <v>80</v>
      </c>
      <c r="D191" s="46" t="s">
        <v>132</v>
      </c>
      <c r="E191" s="46"/>
      <c r="F191" s="46"/>
      <c r="G191" s="46"/>
      <c r="H191" s="341"/>
      <c r="I191" s="341"/>
      <c r="J191" s="46"/>
      <c r="K191" s="45">
        <v>67036</v>
      </c>
      <c r="L191" s="42" t="s">
        <v>23</v>
      </c>
      <c r="M191" s="46"/>
      <c r="N191" s="47"/>
    </row>
    <row r="192" spans="1:14" s="24" customFormat="1" ht="25.5" x14ac:dyDescent="0.2">
      <c r="A192" s="280"/>
      <c r="B192" s="154"/>
      <c r="C192" s="154"/>
      <c r="D192" s="92" t="s">
        <v>24</v>
      </c>
      <c r="E192" s="253">
        <v>4</v>
      </c>
      <c r="F192" s="25" t="s">
        <v>88</v>
      </c>
      <c r="G192" s="25"/>
      <c r="H192" s="37">
        <v>800</v>
      </c>
      <c r="I192" s="50" t="s">
        <v>23</v>
      </c>
      <c r="J192" s="258"/>
      <c r="K192" s="37">
        <f>SUM(E192*H192)</f>
        <v>3200</v>
      </c>
      <c r="L192" s="50" t="s">
        <v>23</v>
      </c>
      <c r="M192" s="36">
        <v>0.74</v>
      </c>
      <c r="N192" s="34">
        <f>SUM(E192*H192)/M192*262.7</f>
        <v>1136000</v>
      </c>
    </row>
    <row r="193" spans="1:36" ht="6" customHeight="1" x14ac:dyDescent="0.2"/>
    <row r="194" spans="1:36" x14ac:dyDescent="0.2">
      <c r="B194" s="154"/>
      <c r="C194" s="56" t="s">
        <v>126</v>
      </c>
      <c r="D194" s="46" t="s">
        <v>137</v>
      </c>
      <c r="E194" s="46"/>
      <c r="F194" s="46"/>
      <c r="G194" s="46"/>
      <c r="H194" s="57"/>
      <c r="I194" s="46"/>
      <c r="J194" s="46"/>
      <c r="K194" s="45">
        <v>77597</v>
      </c>
      <c r="L194" s="42" t="s">
        <v>23</v>
      </c>
      <c r="M194" s="46"/>
      <c r="N194" s="47"/>
    </row>
    <row r="195" spans="1:36" s="24" customFormat="1" ht="25.5" x14ac:dyDescent="0.2">
      <c r="A195" s="280"/>
      <c r="B195" s="154"/>
      <c r="C195" s="154"/>
      <c r="D195" s="92" t="s">
        <v>24</v>
      </c>
      <c r="E195" s="253">
        <v>4</v>
      </c>
      <c r="F195" s="25" t="s">
        <v>88</v>
      </c>
      <c r="G195" s="25"/>
      <c r="H195" s="37">
        <v>800</v>
      </c>
      <c r="I195" s="50" t="s">
        <v>23</v>
      </c>
      <c r="J195" s="258"/>
      <c r="K195" s="37">
        <f>SUM(E195*H195)</f>
        <v>3200</v>
      </c>
      <c r="L195" s="50" t="s">
        <v>23</v>
      </c>
      <c r="M195" s="36">
        <v>0.74</v>
      </c>
      <c r="N195" s="34">
        <f>SUM(E195*H195)/M195*262.7</f>
        <v>1136000</v>
      </c>
    </row>
    <row r="196" spans="1:36" ht="6" customHeight="1" x14ac:dyDescent="0.2"/>
    <row r="197" spans="1:36" x14ac:dyDescent="0.2">
      <c r="B197" s="154"/>
      <c r="C197" s="56" t="s">
        <v>129</v>
      </c>
      <c r="D197" s="46" t="s">
        <v>144</v>
      </c>
      <c r="E197" s="46"/>
      <c r="F197" s="46"/>
      <c r="G197" s="46"/>
      <c r="H197" s="57"/>
      <c r="I197" s="46"/>
      <c r="J197" s="46"/>
      <c r="K197" s="45">
        <v>78947</v>
      </c>
      <c r="L197" s="42" t="s">
        <v>23</v>
      </c>
      <c r="M197" s="46"/>
      <c r="N197" s="47"/>
    </row>
    <row r="198" spans="1:36" s="24" customFormat="1" ht="25.5" x14ac:dyDescent="0.2">
      <c r="A198" s="280"/>
      <c r="B198" s="154"/>
      <c r="C198" s="154"/>
      <c r="D198" s="92" t="s">
        <v>24</v>
      </c>
      <c r="E198" s="253">
        <v>4</v>
      </c>
      <c r="F198" s="25" t="s">
        <v>88</v>
      </c>
      <c r="G198" s="25"/>
      <c r="H198" s="37">
        <v>800</v>
      </c>
      <c r="I198" s="50" t="s">
        <v>23</v>
      </c>
      <c r="J198" s="258"/>
      <c r="K198" s="37">
        <f>SUM(E198*H198)</f>
        <v>3200</v>
      </c>
      <c r="L198" s="50" t="s">
        <v>23</v>
      </c>
      <c r="M198" s="36">
        <v>0.74</v>
      </c>
      <c r="N198" s="34">
        <f>SUM(E198*H198)/M198*262.7</f>
        <v>1136000</v>
      </c>
    </row>
    <row r="199" spans="1:36" ht="6" customHeight="1" x14ac:dyDescent="0.2">
      <c r="B199" s="157"/>
      <c r="C199" s="73"/>
      <c r="D199" s="27"/>
      <c r="E199" s="27"/>
      <c r="F199" s="27"/>
      <c r="G199" s="27"/>
      <c r="H199" s="27"/>
      <c r="I199" s="27"/>
      <c r="J199" s="27"/>
      <c r="K199" s="27"/>
      <c r="L199" s="27"/>
      <c r="M199" s="27"/>
      <c r="N199" s="33"/>
    </row>
    <row r="200" spans="1:36" x14ac:dyDescent="0.2">
      <c r="B200" s="154"/>
      <c r="C200" s="56" t="s">
        <v>153</v>
      </c>
      <c r="D200" s="46" t="s">
        <v>145</v>
      </c>
      <c r="E200" s="46"/>
      <c r="F200" s="46"/>
      <c r="G200" s="46"/>
      <c r="H200" s="57"/>
      <c r="I200" s="46"/>
      <c r="J200" s="46"/>
      <c r="K200" s="45">
        <v>85978</v>
      </c>
      <c r="L200" s="42" t="s">
        <v>23</v>
      </c>
      <c r="M200" s="46"/>
      <c r="N200" s="47"/>
    </row>
    <row r="201" spans="1:36" s="24" customFormat="1" ht="25.5" x14ac:dyDescent="0.2">
      <c r="A201" s="280"/>
      <c r="B201" s="154"/>
      <c r="C201" s="154"/>
      <c r="D201" s="92" t="s">
        <v>24</v>
      </c>
      <c r="E201" s="253">
        <v>4</v>
      </c>
      <c r="F201" s="25" t="s">
        <v>88</v>
      </c>
      <c r="G201" s="25"/>
      <c r="H201" s="37">
        <v>800</v>
      </c>
      <c r="I201" s="50" t="s">
        <v>23</v>
      </c>
      <c r="J201" s="258"/>
      <c r="K201" s="37">
        <f>SUM(E201*H201)</f>
        <v>3200</v>
      </c>
      <c r="L201" s="50" t="s">
        <v>23</v>
      </c>
      <c r="M201" s="36">
        <v>0.74</v>
      </c>
      <c r="N201" s="34">
        <f>SUM(E201*H201)/M201*262.7</f>
        <v>1136000</v>
      </c>
    </row>
    <row r="202" spans="1:36" s="280" customFormat="1" ht="6" customHeight="1" x14ac:dyDescent="0.2">
      <c r="B202" s="154"/>
      <c r="C202" s="154"/>
      <c r="D202" s="92"/>
      <c r="E202" s="253"/>
      <c r="F202" s="25"/>
      <c r="G202" s="25"/>
      <c r="H202" s="37"/>
      <c r="I202" s="50"/>
      <c r="J202" s="258"/>
      <c r="K202" s="37"/>
      <c r="L202" s="50"/>
      <c r="M202" s="36"/>
      <c r="N202" s="34"/>
    </row>
    <row r="203" spans="1:36" x14ac:dyDescent="0.2">
      <c r="B203" s="154"/>
      <c r="C203" s="56" t="s">
        <v>130</v>
      </c>
      <c r="D203" s="46" t="s">
        <v>41</v>
      </c>
      <c r="E203" s="46"/>
      <c r="F203" s="46"/>
      <c r="G203" s="46"/>
      <c r="H203" s="57"/>
      <c r="I203" s="46"/>
      <c r="J203" s="46"/>
      <c r="K203" s="45">
        <v>201357</v>
      </c>
      <c r="L203" s="42" t="s">
        <v>23</v>
      </c>
      <c r="M203" s="46"/>
      <c r="N203" s="47"/>
    </row>
    <row r="204" spans="1:36" s="24" customFormat="1" ht="25.5" x14ac:dyDescent="0.2">
      <c r="A204" s="280"/>
      <c r="B204" s="154"/>
      <c r="C204" s="154"/>
      <c r="D204" s="92" t="s">
        <v>24</v>
      </c>
      <c r="E204" s="253">
        <v>18</v>
      </c>
      <c r="F204" s="25" t="s">
        <v>88</v>
      </c>
      <c r="G204" s="25"/>
      <c r="H204" s="37">
        <v>750</v>
      </c>
      <c r="I204" s="50" t="s">
        <v>23</v>
      </c>
      <c r="J204" s="258"/>
      <c r="K204" s="37">
        <f>SUM(E204*H204)</f>
        <v>13500</v>
      </c>
      <c r="L204" s="50" t="s">
        <v>23</v>
      </c>
      <c r="M204" s="36">
        <v>0.68</v>
      </c>
      <c r="N204" s="34">
        <f>SUM(E204*H204)/M204*274.69</f>
        <v>5453404.4117647056</v>
      </c>
    </row>
    <row r="205" spans="1:36" ht="6" customHeight="1" x14ac:dyDescent="0.2">
      <c r="B205" s="157"/>
      <c r="C205" s="73"/>
      <c r="D205" s="27"/>
      <c r="E205" s="27"/>
      <c r="F205" s="27"/>
      <c r="G205" s="27"/>
      <c r="H205" s="27"/>
      <c r="I205" s="27"/>
      <c r="J205" s="27"/>
      <c r="K205" s="27"/>
      <c r="L205" s="27"/>
      <c r="M205" s="27"/>
      <c r="N205" s="33"/>
      <c r="X205" s="56"/>
      <c r="Y205" s="56"/>
      <c r="Z205" s="331"/>
      <c r="AA205" s="331"/>
      <c r="AB205" s="331"/>
      <c r="AC205" s="331"/>
      <c r="AD205" s="331"/>
      <c r="AE205" s="331"/>
      <c r="AF205" s="331"/>
      <c r="AG205" s="331"/>
      <c r="AH205" s="331"/>
      <c r="AI205" s="46"/>
      <c r="AJ205" s="84"/>
    </row>
    <row r="206" spans="1:36" x14ac:dyDescent="0.2">
      <c r="B206" s="154"/>
      <c r="C206" s="56" t="s">
        <v>131</v>
      </c>
      <c r="D206" s="46" t="s">
        <v>124</v>
      </c>
      <c r="E206" s="62"/>
      <c r="F206" s="46"/>
      <c r="G206" s="46"/>
      <c r="H206" s="57"/>
      <c r="I206" s="46"/>
      <c r="J206" s="46"/>
      <c r="K206" s="45">
        <v>65736</v>
      </c>
      <c r="L206" s="42" t="s">
        <v>23</v>
      </c>
      <c r="M206" s="46"/>
      <c r="N206" s="47"/>
      <c r="X206" s="14"/>
      <c r="Y206" s="14"/>
      <c r="Z206" s="92"/>
      <c r="AA206" s="16"/>
      <c r="AB206" s="13"/>
      <c r="AC206" s="13"/>
      <c r="AD206" s="85"/>
      <c r="AE206" s="50"/>
      <c r="AF206" s="258"/>
      <c r="AG206" s="37"/>
      <c r="AH206" s="50"/>
      <c r="AI206" s="36"/>
      <c r="AJ206" s="34"/>
    </row>
    <row r="207" spans="1:36" x14ac:dyDescent="0.2">
      <c r="B207" s="154"/>
      <c r="C207" s="56"/>
      <c r="D207" s="331" t="s">
        <v>263</v>
      </c>
      <c r="E207" s="331"/>
      <c r="F207" s="331"/>
      <c r="G207" s="331"/>
      <c r="H207" s="331"/>
      <c r="I207" s="331"/>
      <c r="J207" s="331"/>
      <c r="K207" s="331"/>
      <c r="L207" s="331"/>
      <c r="M207" s="46"/>
      <c r="N207" s="84">
        <f>K206*262.7</f>
        <v>17268847.199999999</v>
      </c>
      <c r="X207" s="4"/>
      <c r="Y207" s="4"/>
      <c r="Z207" s="260"/>
      <c r="AA207" s="260"/>
      <c r="AB207" s="260"/>
      <c r="AC207" s="260"/>
      <c r="AD207" s="27"/>
      <c r="AE207" s="27"/>
      <c r="AF207" s="27"/>
      <c r="AG207" s="27"/>
      <c r="AH207" s="27"/>
      <c r="AI207" s="27"/>
      <c r="AJ207" s="33"/>
    </row>
    <row r="208" spans="1:36" ht="6" customHeight="1" x14ac:dyDescent="0.2">
      <c r="B208" s="157"/>
      <c r="C208" s="73"/>
      <c r="D208" s="27"/>
      <c r="E208" s="27"/>
      <c r="F208" s="27"/>
      <c r="G208" s="27"/>
      <c r="H208" s="27"/>
      <c r="I208" s="27"/>
      <c r="J208" s="27"/>
      <c r="K208" s="27"/>
      <c r="L208" s="27"/>
      <c r="M208" s="27"/>
      <c r="N208" s="33"/>
      <c r="X208" s="56"/>
      <c r="Y208" s="56"/>
      <c r="Z208" s="46"/>
      <c r="AA208" s="46"/>
      <c r="AB208" s="46"/>
      <c r="AC208" s="46"/>
      <c r="AD208" s="57"/>
      <c r="AE208" s="46"/>
      <c r="AF208" s="46"/>
      <c r="AG208" s="45"/>
      <c r="AH208" s="42"/>
      <c r="AI208" s="46"/>
      <c r="AJ208" s="47"/>
    </row>
    <row r="209" spans="1:36" x14ac:dyDescent="0.2">
      <c r="B209" s="154"/>
      <c r="C209" s="56" t="s">
        <v>138</v>
      </c>
      <c r="D209" s="46" t="s">
        <v>127</v>
      </c>
      <c r="E209" s="62"/>
      <c r="F209" s="46"/>
      <c r="G209" s="46"/>
      <c r="H209" s="57"/>
      <c r="I209" s="46"/>
      <c r="J209" s="46"/>
      <c r="K209" s="45">
        <v>100254</v>
      </c>
      <c r="L209" s="42" t="s">
        <v>23</v>
      </c>
      <c r="M209" s="46"/>
      <c r="N209" s="47"/>
      <c r="X209" s="56"/>
      <c r="Y209" s="56"/>
      <c r="Z209" s="331"/>
      <c r="AA209" s="331"/>
      <c r="AB209" s="331"/>
      <c r="AC209" s="331"/>
      <c r="AD209" s="331"/>
      <c r="AE209" s="331"/>
      <c r="AF209" s="331"/>
      <c r="AG209" s="331"/>
      <c r="AH209" s="331"/>
      <c r="AI209" s="46"/>
      <c r="AJ209" s="84"/>
    </row>
    <row r="210" spans="1:36" x14ac:dyDescent="0.2">
      <c r="B210" s="154"/>
      <c r="C210" s="56"/>
      <c r="D210" s="331" t="s">
        <v>157</v>
      </c>
      <c r="E210" s="331"/>
      <c r="F210" s="331"/>
      <c r="G210" s="331"/>
      <c r="H210" s="331"/>
      <c r="I210" s="331"/>
      <c r="J210" s="331"/>
      <c r="K210" s="331"/>
      <c r="L210" s="331"/>
      <c r="M210" s="46"/>
      <c r="N210" s="84">
        <f>K209*265.78</f>
        <v>26645508.119999997</v>
      </c>
      <c r="X210" s="14"/>
      <c r="Y210" s="14"/>
      <c r="Z210" s="92"/>
      <c r="AA210" s="16"/>
      <c r="AB210" s="13"/>
      <c r="AC210" s="13"/>
      <c r="AD210" s="85"/>
      <c r="AE210" s="50"/>
      <c r="AF210" s="258"/>
      <c r="AG210" s="37"/>
      <c r="AH210" s="50"/>
      <c r="AI210" s="36"/>
      <c r="AJ210" s="34"/>
    </row>
    <row r="211" spans="1:36" ht="6" customHeight="1" x14ac:dyDescent="0.2">
      <c r="B211" s="157"/>
      <c r="C211" s="73"/>
      <c r="D211" s="27"/>
      <c r="E211" s="27"/>
      <c r="F211" s="27"/>
      <c r="G211" s="27"/>
      <c r="H211" s="27"/>
      <c r="I211" s="27"/>
      <c r="J211" s="27"/>
      <c r="K211" s="27"/>
      <c r="L211" s="27"/>
      <c r="M211" s="27"/>
      <c r="N211" s="33"/>
      <c r="X211" s="4"/>
      <c r="Y211" s="4"/>
      <c r="Z211" s="260"/>
      <c r="AA211" s="260"/>
      <c r="AB211" s="260"/>
      <c r="AC211" s="260"/>
      <c r="AD211" s="27"/>
      <c r="AE211" s="27"/>
      <c r="AF211" s="27"/>
      <c r="AG211" s="27"/>
      <c r="AH211" s="27"/>
      <c r="AI211" s="27"/>
      <c r="AJ211" s="33"/>
    </row>
    <row r="212" spans="1:36" x14ac:dyDescent="0.2">
      <c r="B212" s="154"/>
      <c r="C212" s="56" t="s">
        <v>139</v>
      </c>
      <c r="D212" s="46" t="s">
        <v>128</v>
      </c>
      <c r="E212" s="62"/>
      <c r="F212" s="46"/>
      <c r="G212" s="46"/>
      <c r="H212" s="57"/>
      <c r="I212" s="46"/>
      <c r="J212" s="46"/>
      <c r="K212" s="45">
        <v>144434</v>
      </c>
      <c r="L212" s="42" t="s">
        <v>23</v>
      </c>
      <c r="M212" s="46"/>
      <c r="N212" s="47"/>
      <c r="X212" s="56"/>
      <c r="Y212" s="56"/>
      <c r="Z212" s="46"/>
      <c r="AA212" s="46"/>
      <c r="AB212" s="46"/>
      <c r="AC212" s="46"/>
      <c r="AD212" s="57"/>
      <c r="AE212" s="46"/>
      <c r="AF212" s="46"/>
      <c r="AG212" s="45"/>
      <c r="AH212" s="42"/>
      <c r="AI212" s="46"/>
      <c r="AJ212" s="47"/>
    </row>
    <row r="213" spans="1:36" x14ac:dyDescent="0.2">
      <c r="B213" s="154"/>
      <c r="C213" s="56"/>
      <c r="D213" s="331" t="s">
        <v>276</v>
      </c>
      <c r="E213" s="331"/>
      <c r="F213" s="331"/>
      <c r="G213" s="331"/>
      <c r="H213" s="331"/>
      <c r="I213" s="331"/>
      <c r="J213" s="331"/>
      <c r="K213" s="331"/>
      <c r="L213" s="331"/>
      <c r="M213" s="46"/>
      <c r="N213" s="84">
        <f>K212*274.69</f>
        <v>39674575.460000001</v>
      </c>
      <c r="X213" s="56"/>
      <c r="Y213" s="56"/>
      <c r="Z213" s="331"/>
      <c r="AA213" s="331"/>
      <c r="AB213" s="331"/>
      <c r="AC213" s="331"/>
      <c r="AD213" s="331"/>
      <c r="AE213" s="331"/>
      <c r="AF213" s="331"/>
      <c r="AG213" s="331"/>
      <c r="AH213" s="331"/>
      <c r="AI213" s="46"/>
      <c r="AJ213" s="47"/>
    </row>
    <row r="214" spans="1:36" s="70" customFormat="1" x14ac:dyDescent="0.2">
      <c r="A214" s="316"/>
      <c r="B214" s="154"/>
      <c r="C214" s="154"/>
      <c r="D214" s="25"/>
      <c r="E214" s="253"/>
      <c r="F214" s="25"/>
      <c r="G214" s="25"/>
      <c r="H214" s="37"/>
      <c r="I214" s="25"/>
      <c r="J214" s="25"/>
      <c r="K214" s="37"/>
      <c r="L214" s="25"/>
      <c r="M214" s="36"/>
      <c r="N214" s="34"/>
    </row>
    <row r="215" spans="1:36" s="70" customFormat="1" x14ac:dyDescent="0.2">
      <c r="A215" s="316"/>
      <c r="B215" s="154"/>
      <c r="C215" s="154"/>
      <c r="D215" s="25"/>
      <c r="E215" s="253"/>
      <c r="F215" s="25"/>
      <c r="G215" s="25"/>
      <c r="H215" s="37"/>
      <c r="I215" s="25"/>
      <c r="J215" s="25"/>
      <c r="K215" s="37"/>
      <c r="L215" s="25"/>
      <c r="M215" s="36"/>
      <c r="N215" s="34"/>
    </row>
  </sheetData>
  <mergeCells count="45">
    <mergeCell ref="D48:L48"/>
    <mergeCell ref="B3:G3"/>
    <mergeCell ref="I3:K3"/>
    <mergeCell ref="B4:G6"/>
    <mergeCell ref="B7:F7"/>
    <mergeCell ref="D37:I37"/>
    <mergeCell ref="D51:L51"/>
    <mergeCell ref="Z54:AH54"/>
    <mergeCell ref="D57:L57"/>
    <mergeCell ref="Z60:AH60"/>
    <mergeCell ref="Z205:AH205"/>
    <mergeCell ref="Z58:AH58"/>
    <mergeCell ref="Z61:AH61"/>
    <mergeCell ref="D135:L135"/>
    <mergeCell ref="D96:L96"/>
    <mergeCell ref="D103:L103"/>
    <mergeCell ref="D110:L110"/>
    <mergeCell ref="D116:L116"/>
    <mergeCell ref="H120:I120"/>
    <mergeCell ref="D121:L121"/>
    <mergeCell ref="D75:L75"/>
    <mergeCell ref="Z75:AH75"/>
    <mergeCell ref="D210:L210"/>
    <mergeCell ref="D213:L213"/>
    <mergeCell ref="Z213:AH213"/>
    <mergeCell ref="D69:L69"/>
    <mergeCell ref="Z71:AH71"/>
    <mergeCell ref="D207:L207"/>
    <mergeCell ref="Z76:AH76"/>
    <mergeCell ref="D83:L83"/>
    <mergeCell ref="D88:L88"/>
    <mergeCell ref="F91:G91"/>
    <mergeCell ref="Z209:AH209"/>
    <mergeCell ref="D139:L139"/>
    <mergeCell ref="D143:L143"/>
    <mergeCell ref="D151:L151"/>
    <mergeCell ref="D127:L127"/>
    <mergeCell ref="D131:L131"/>
    <mergeCell ref="H191:I191"/>
    <mergeCell ref="D82:J82"/>
    <mergeCell ref="D157:L157"/>
    <mergeCell ref="D160:L160"/>
    <mergeCell ref="D163:L163"/>
    <mergeCell ref="D166:L166"/>
    <mergeCell ref="D154:L154"/>
  </mergeCells>
  <pageMargins left="0.7" right="0.45" top="0.75" bottom="0.75" header="0.3" footer="0.3"/>
  <pageSetup paperSize="17" orientation="landscape" cellComments="asDisplayed" r:id="rId1"/>
  <headerFooter alignWithMargins="0"/>
  <rowBreaks count="3" manualBreakCount="3">
    <brk id="42" max="16383" man="1"/>
    <brk id="100" max="16383" man="1"/>
    <brk id="145"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J215"/>
  <sheetViews>
    <sheetView workbookViewId="0"/>
    <sheetView workbookViewId="1">
      <selection activeCell="R8" sqref="R8"/>
    </sheetView>
  </sheetViews>
  <sheetFormatPr defaultRowHeight="12.75" x14ac:dyDescent="0.2"/>
  <cols>
    <col min="1" max="1" width="14.5703125" style="155" bestFit="1" customWidth="1"/>
    <col min="2" max="2" width="4" style="30" customWidth="1"/>
    <col min="3" max="3" width="2.85546875" style="30" customWidth="1"/>
    <col min="4" max="4" width="8.7109375" style="30"/>
    <col min="5" max="5" width="5.140625" style="30" customWidth="1"/>
    <col min="6" max="6" width="11.140625" style="30" customWidth="1"/>
    <col min="7" max="7" width="12.85546875" style="30" customWidth="1"/>
    <col min="8" max="8" width="6.140625" style="30" customWidth="1"/>
    <col min="9" max="9" width="10" style="30" customWidth="1"/>
    <col min="10" max="10" width="2.85546875" style="30" customWidth="1"/>
    <col min="11" max="11" width="11.140625" style="30" customWidth="1"/>
    <col min="12" max="12" width="5.5703125" style="30" customWidth="1"/>
    <col min="13" max="13" width="5.85546875" style="30" customWidth="1"/>
    <col min="14" max="14" width="11.85546875" style="30" customWidth="1"/>
    <col min="17" max="18" width="9" customWidth="1"/>
    <col min="21" max="21" width="12.140625" customWidth="1"/>
    <col min="24" max="25" width="25" customWidth="1"/>
    <col min="26" max="26" width="10" customWidth="1"/>
    <col min="28" max="28" width="14" customWidth="1"/>
    <col min="29" max="29" width="16" customWidth="1"/>
    <col min="30" max="30" width="10.42578125" customWidth="1"/>
  </cols>
  <sheetData>
    <row r="1" spans="1:32" s="63" customFormat="1" ht="12" x14ac:dyDescent="0.2">
      <c r="A1" s="285"/>
      <c r="B1" s="286"/>
      <c r="C1" s="287"/>
      <c r="D1" s="288"/>
      <c r="E1" s="288"/>
      <c r="F1" s="288"/>
      <c r="G1" s="288"/>
      <c r="H1" s="289"/>
      <c r="I1" s="288"/>
      <c r="J1" s="288"/>
      <c r="K1" s="288"/>
      <c r="L1" s="288"/>
      <c r="M1" s="288"/>
      <c r="N1" s="288"/>
    </row>
    <row r="2" spans="1:32" s="63" customFormat="1" thickBot="1" x14ac:dyDescent="0.25">
      <c r="A2" s="285"/>
      <c r="B2" s="286"/>
      <c r="C2" s="287"/>
      <c r="D2" s="288"/>
      <c r="E2" s="288"/>
      <c r="F2" s="288"/>
      <c r="G2" s="288"/>
      <c r="H2" s="289"/>
      <c r="I2" s="288"/>
      <c r="J2" s="288"/>
      <c r="K2" s="288"/>
      <c r="L2" s="288"/>
      <c r="M2" s="288"/>
      <c r="N2" s="288"/>
    </row>
    <row r="3" spans="1:32" s="67" customFormat="1" ht="15" customHeight="1" x14ac:dyDescent="0.25">
      <c r="A3" s="290"/>
      <c r="B3" s="332" t="s">
        <v>171</v>
      </c>
      <c r="C3" s="333"/>
      <c r="D3" s="333"/>
      <c r="E3" s="333"/>
      <c r="F3" s="333"/>
      <c r="G3" s="333"/>
      <c r="H3" s="291"/>
      <c r="I3" s="334" t="s">
        <v>103</v>
      </c>
      <c r="J3" s="334"/>
      <c r="K3" s="334"/>
      <c r="L3" s="292"/>
      <c r="M3" s="292"/>
      <c r="N3" s="293"/>
    </row>
    <row r="4" spans="1:32" s="67" customFormat="1" ht="15" customHeight="1" x14ac:dyDescent="0.25">
      <c r="A4" s="290"/>
      <c r="B4" s="335" t="s">
        <v>184</v>
      </c>
      <c r="C4" s="336"/>
      <c r="D4" s="336"/>
      <c r="E4" s="336"/>
      <c r="F4" s="336"/>
      <c r="G4" s="336"/>
      <c r="H4" s="101"/>
      <c r="I4" s="168"/>
      <c r="J4" s="168"/>
      <c r="K4" s="168"/>
      <c r="L4" s="168"/>
      <c r="M4" s="168"/>
      <c r="N4" s="102"/>
    </row>
    <row r="5" spans="1:32" s="67" customFormat="1" ht="15" customHeight="1" x14ac:dyDescent="0.25">
      <c r="A5" s="290"/>
      <c r="B5" s="335"/>
      <c r="C5" s="336"/>
      <c r="D5" s="336"/>
      <c r="E5" s="336"/>
      <c r="F5" s="336"/>
      <c r="G5" s="336"/>
      <c r="H5" s="294"/>
      <c r="I5" s="169"/>
      <c r="J5" s="169"/>
      <c r="K5" s="169"/>
      <c r="L5" s="295"/>
      <c r="M5" s="296"/>
      <c r="N5" s="297"/>
    </row>
    <row r="6" spans="1:32" s="67" customFormat="1" ht="15" customHeight="1" x14ac:dyDescent="0.25">
      <c r="A6" s="290"/>
      <c r="B6" s="335"/>
      <c r="C6" s="336"/>
      <c r="D6" s="336"/>
      <c r="E6" s="336"/>
      <c r="F6" s="336"/>
      <c r="G6" s="336"/>
      <c r="H6" s="298"/>
      <c r="I6" s="299"/>
      <c r="J6" s="299"/>
      <c r="K6" s="300"/>
      <c r="L6" s="299"/>
      <c r="M6" s="296"/>
      <c r="N6" s="297"/>
    </row>
    <row r="7" spans="1:32" s="72" customFormat="1" ht="20.25" customHeight="1" thickBot="1" x14ac:dyDescent="0.35">
      <c r="A7" s="301"/>
      <c r="B7" s="337" t="s">
        <v>170</v>
      </c>
      <c r="C7" s="338"/>
      <c r="D7" s="338"/>
      <c r="E7" s="338"/>
      <c r="F7" s="338"/>
      <c r="G7" s="302"/>
      <c r="H7" s="303"/>
      <c r="I7" s="304"/>
      <c r="J7" s="304"/>
      <c r="K7" s="304"/>
      <c r="L7" s="304"/>
      <c r="M7" s="304"/>
      <c r="N7" s="305"/>
    </row>
    <row r="8" spans="1:32" s="22" customFormat="1" ht="20.25" customHeight="1" x14ac:dyDescent="0.25">
      <c r="A8" s="30"/>
      <c r="B8" s="306" t="s">
        <v>12</v>
      </c>
      <c r="C8" s="307"/>
      <c r="D8" s="26"/>
      <c r="E8" s="26"/>
      <c r="F8" s="26"/>
      <c r="G8" s="26"/>
      <c r="H8" s="26"/>
      <c r="I8" s="26"/>
      <c r="J8" s="26"/>
      <c r="K8" s="26"/>
      <c r="L8" s="26"/>
      <c r="M8" s="26"/>
      <c r="N8" s="26"/>
    </row>
    <row r="9" spans="1:32" s="22" customFormat="1" x14ac:dyDescent="0.2">
      <c r="A9" s="30"/>
      <c r="B9" s="73" t="s">
        <v>0</v>
      </c>
      <c r="C9" s="73" t="s">
        <v>13</v>
      </c>
      <c r="D9" s="27"/>
      <c r="E9" s="27"/>
      <c r="F9" s="27" t="s">
        <v>39</v>
      </c>
      <c r="G9" s="27"/>
      <c r="H9" s="27"/>
      <c r="I9" s="27"/>
      <c r="J9" s="27"/>
      <c r="K9" s="27"/>
      <c r="L9" s="27"/>
      <c r="M9" s="27"/>
      <c r="N9" s="27"/>
    </row>
    <row r="10" spans="1:32" s="22" customFormat="1" x14ac:dyDescent="0.2">
      <c r="A10" s="30"/>
      <c r="B10" s="73" t="s">
        <v>1</v>
      </c>
      <c r="C10" s="73" t="s">
        <v>14</v>
      </c>
      <c r="D10" s="27"/>
      <c r="E10" s="27"/>
      <c r="F10" s="27" t="s">
        <v>233</v>
      </c>
      <c r="G10" s="27"/>
      <c r="H10" s="100"/>
      <c r="I10" s="100"/>
      <c r="J10" s="27"/>
      <c r="K10" s="27"/>
      <c r="L10" s="27"/>
      <c r="M10" s="27"/>
      <c r="N10" s="27"/>
    </row>
    <row r="11" spans="1:32" s="22" customFormat="1" ht="52.5" thickBot="1" x14ac:dyDescent="0.3">
      <c r="A11" s="30"/>
      <c r="B11" s="308" t="s">
        <v>15</v>
      </c>
      <c r="C11" s="307"/>
      <c r="D11" s="26"/>
      <c r="E11" s="26"/>
      <c r="F11" s="26"/>
      <c r="G11" s="309" t="s">
        <v>186</v>
      </c>
      <c r="H11" s="170"/>
      <c r="I11" s="28" t="s">
        <v>16</v>
      </c>
      <c r="J11" s="28"/>
      <c r="K11" s="28" t="s">
        <v>17</v>
      </c>
      <c r="L11" s="30"/>
      <c r="M11" s="30"/>
      <c r="N11" s="29" t="s">
        <v>234</v>
      </c>
      <c r="P11" s="138"/>
      <c r="S11" s="78" t="s">
        <v>224</v>
      </c>
      <c r="T11" s="78" t="s">
        <v>225</v>
      </c>
      <c r="U11" s="78" t="s">
        <v>226</v>
      </c>
      <c r="V11" s="78" t="s">
        <v>227</v>
      </c>
      <c r="W11" s="78" t="s">
        <v>228</v>
      </c>
      <c r="X11" s="78" t="s">
        <v>229</v>
      </c>
      <c r="Y11" s="78"/>
      <c r="Z11" s="176">
        <v>0.17</v>
      </c>
      <c r="AA11" s="176" t="s">
        <v>192</v>
      </c>
      <c r="AB11" s="188" t="s">
        <v>191</v>
      </c>
      <c r="AC11" s="266"/>
      <c r="AD11" s="266"/>
      <c r="AE11" s="266"/>
      <c r="AF11" s="158"/>
    </row>
    <row r="12" spans="1:32" s="202" customFormat="1" x14ac:dyDescent="0.2">
      <c r="A12" s="310"/>
      <c r="B12" s="311" t="s">
        <v>0</v>
      </c>
      <c r="C12" s="311" t="s">
        <v>18</v>
      </c>
      <c r="D12" s="196"/>
      <c r="E12" s="196"/>
      <c r="F12" s="196"/>
      <c r="G12" s="196"/>
      <c r="H12" s="196"/>
      <c r="I12" s="196"/>
      <c r="J12" s="196"/>
      <c r="K12" s="196"/>
      <c r="L12" s="310"/>
      <c r="M12" s="310"/>
      <c r="N12" s="196"/>
      <c r="P12" s="200"/>
      <c r="Q12" s="242" t="s">
        <v>212</v>
      </c>
      <c r="R12" s="243"/>
      <c r="S12" s="243"/>
      <c r="T12" s="243"/>
      <c r="U12" s="243"/>
      <c r="V12" s="243"/>
      <c r="W12" s="243"/>
      <c r="X12" s="244"/>
      <c r="Y12" s="281"/>
      <c r="Z12" s="197"/>
      <c r="AA12" s="198"/>
      <c r="AB12" s="199"/>
      <c r="AC12" s="267"/>
      <c r="AD12" s="267"/>
      <c r="AE12" s="267"/>
      <c r="AF12" s="267"/>
    </row>
    <row r="13" spans="1:32" s="22" customFormat="1" ht="12.75" customHeight="1" x14ac:dyDescent="0.2">
      <c r="A13" s="30"/>
      <c r="B13" s="73"/>
      <c r="C13" s="74" t="s">
        <v>5</v>
      </c>
      <c r="D13" s="27" t="s">
        <v>40</v>
      </c>
      <c r="E13" s="27"/>
      <c r="F13" s="27"/>
      <c r="G13" s="276" t="s">
        <v>185</v>
      </c>
      <c r="H13" s="27"/>
      <c r="I13" s="27" t="s">
        <v>19</v>
      </c>
      <c r="J13" s="103"/>
      <c r="K13" s="103" t="s">
        <v>20</v>
      </c>
      <c r="L13" s="30"/>
      <c r="M13" s="30"/>
      <c r="N13" s="106" t="s">
        <v>235</v>
      </c>
      <c r="P13" s="131"/>
      <c r="Q13" s="220"/>
      <c r="R13" s="245" t="s">
        <v>40</v>
      </c>
      <c r="S13" s="232">
        <f>Z13</f>
        <v>2281.5</v>
      </c>
      <c r="T13" s="175">
        <v>1800</v>
      </c>
      <c r="U13" s="153">
        <f>8*33</f>
        <v>264</v>
      </c>
      <c r="V13" s="233">
        <f>SUM(T13,U13)</f>
        <v>2064</v>
      </c>
      <c r="W13" s="214">
        <f>S13/V13</f>
        <v>1.1053779069767442</v>
      </c>
      <c r="X13" s="212" t="s">
        <v>201</v>
      </c>
      <c r="Y13" s="153"/>
      <c r="Z13" s="177">
        <f>(AA13*$Z$11)+AA13</f>
        <v>2281.5</v>
      </c>
      <c r="AA13" s="178">
        <v>1950</v>
      </c>
      <c r="AB13" s="189">
        <v>1800</v>
      </c>
      <c r="AC13" s="268"/>
      <c r="AD13" s="269"/>
      <c r="AE13" s="158"/>
      <c r="AF13" s="158"/>
    </row>
    <row r="14" spans="1:32" s="22" customFormat="1" ht="12.75" customHeight="1" x14ac:dyDescent="0.2">
      <c r="A14" s="30"/>
      <c r="B14" s="73"/>
      <c r="C14" s="74" t="s">
        <v>6</v>
      </c>
      <c r="D14" s="27" t="s">
        <v>41</v>
      </c>
      <c r="E14" s="27"/>
      <c r="F14" s="27"/>
      <c r="G14" s="276" t="s">
        <v>185</v>
      </c>
      <c r="H14" s="27"/>
      <c r="I14" s="27" t="s">
        <v>19</v>
      </c>
      <c r="J14" s="103"/>
      <c r="K14" s="103" t="s">
        <v>20</v>
      </c>
      <c r="L14" s="30"/>
      <c r="M14" s="30"/>
      <c r="N14" s="106" t="s">
        <v>236</v>
      </c>
      <c r="P14" s="131"/>
      <c r="Q14" s="220"/>
      <c r="R14" s="245" t="s">
        <v>41</v>
      </c>
      <c r="S14" s="232">
        <f>Z14</f>
        <v>1928.16</v>
      </c>
      <c r="T14" s="175">
        <v>1785</v>
      </c>
      <c r="U14" s="153">
        <v>0</v>
      </c>
      <c r="V14" s="233">
        <f>SUM(T14,U14)</f>
        <v>1785</v>
      </c>
      <c r="W14" s="211">
        <f>S14/V14</f>
        <v>1.080201680672269</v>
      </c>
      <c r="X14" s="212" t="s">
        <v>203</v>
      </c>
      <c r="Y14" s="153"/>
      <c r="Z14" s="177">
        <f t="shared" ref="Z14:Z16" si="0">(AA14*$Z$11)+AA14</f>
        <v>1928.16</v>
      </c>
      <c r="AA14" s="179">
        <v>1648</v>
      </c>
      <c r="AB14" s="190">
        <v>1785</v>
      </c>
      <c r="AC14" s="268"/>
      <c r="AD14" s="269"/>
      <c r="AE14" s="158"/>
      <c r="AF14" s="158"/>
    </row>
    <row r="15" spans="1:32" s="22" customFormat="1" ht="12.75" customHeight="1" x14ac:dyDescent="0.2">
      <c r="A15" s="30"/>
      <c r="B15" s="73"/>
      <c r="C15" s="74" t="s">
        <v>7</v>
      </c>
      <c r="D15" s="27" t="s">
        <v>42</v>
      </c>
      <c r="E15" s="27"/>
      <c r="F15" s="27"/>
      <c r="G15" s="276" t="s">
        <v>185</v>
      </c>
      <c r="H15" s="27"/>
      <c r="I15" s="27" t="s">
        <v>19</v>
      </c>
      <c r="J15" s="103"/>
      <c r="K15" s="103" t="s">
        <v>20</v>
      </c>
      <c r="L15" s="30"/>
      <c r="M15" s="30"/>
      <c r="N15" s="106" t="s">
        <v>237</v>
      </c>
      <c r="P15" s="131"/>
      <c r="Q15" s="220"/>
      <c r="R15" s="245" t="s">
        <v>42</v>
      </c>
      <c r="S15" s="232">
        <f>Z15</f>
        <v>1020.24</v>
      </c>
      <c r="T15" s="175">
        <v>970</v>
      </c>
      <c r="U15" s="153">
        <f>4*33</f>
        <v>132</v>
      </c>
      <c r="V15" s="233">
        <f>SUM(T15,U15)</f>
        <v>1102</v>
      </c>
      <c r="W15" s="214">
        <f>S15/V15</f>
        <v>0.92580762250453719</v>
      </c>
      <c r="X15" s="212" t="s">
        <v>202</v>
      </c>
      <c r="Y15" s="153"/>
      <c r="Z15" s="177">
        <f t="shared" si="0"/>
        <v>1020.24</v>
      </c>
      <c r="AA15" s="178">
        <v>872</v>
      </c>
      <c r="AB15" s="190">
        <v>970</v>
      </c>
      <c r="AC15" s="268"/>
      <c r="AD15" s="269"/>
      <c r="AE15" s="158"/>
      <c r="AF15" s="158"/>
    </row>
    <row r="16" spans="1:32" s="22" customFormat="1" ht="12.75" customHeight="1" x14ac:dyDescent="0.2">
      <c r="A16" s="30"/>
      <c r="B16" s="73"/>
      <c r="C16" s="74" t="s">
        <v>8</v>
      </c>
      <c r="D16" s="27" t="s">
        <v>87</v>
      </c>
      <c r="E16" s="27"/>
      <c r="F16" s="27"/>
      <c r="G16" s="276" t="s">
        <v>187</v>
      </c>
      <c r="H16" s="27"/>
      <c r="I16" s="27" t="s">
        <v>19</v>
      </c>
      <c r="J16" s="103"/>
      <c r="K16" s="103" t="s">
        <v>43</v>
      </c>
      <c r="L16" s="30"/>
      <c r="M16" s="30"/>
      <c r="N16" s="106" t="s">
        <v>238</v>
      </c>
      <c r="P16" s="131"/>
      <c r="Q16" s="282"/>
      <c r="R16" s="25" t="s">
        <v>128</v>
      </c>
      <c r="S16" s="158">
        <v>0</v>
      </c>
      <c r="T16" s="175"/>
      <c r="U16" s="153">
        <v>1200</v>
      </c>
      <c r="V16" s="233">
        <f>SUM(T16,U16)</f>
        <v>1200</v>
      </c>
      <c r="W16" s="221" t="s">
        <v>205</v>
      </c>
      <c r="X16" s="212" t="s">
        <v>200</v>
      </c>
      <c r="Y16" s="153"/>
      <c r="Z16" s="177">
        <f t="shared" si="0"/>
        <v>237.51</v>
      </c>
      <c r="AA16" s="178">
        <v>203</v>
      </c>
      <c r="AB16" s="190">
        <v>1085</v>
      </c>
      <c r="AC16" s="268"/>
      <c r="AD16" s="270"/>
      <c r="AE16" s="158"/>
      <c r="AF16" s="158"/>
    </row>
    <row r="17" spans="1:32" s="22" customFormat="1" x14ac:dyDescent="0.2">
      <c r="A17" s="30"/>
      <c r="B17" s="30"/>
      <c r="C17" s="74" t="s">
        <v>10</v>
      </c>
      <c r="D17" s="27" t="s">
        <v>168</v>
      </c>
      <c r="E17" s="30"/>
      <c r="F17" s="30"/>
      <c r="G17" s="276" t="s">
        <v>188</v>
      </c>
      <c r="H17" s="30"/>
      <c r="I17" s="27" t="s">
        <v>19</v>
      </c>
      <c r="J17" s="107"/>
      <c r="K17" s="103" t="s">
        <v>20</v>
      </c>
      <c r="L17" s="30"/>
      <c r="M17" s="30"/>
      <c r="N17" s="106" t="s">
        <v>239</v>
      </c>
      <c r="P17" s="131"/>
      <c r="Q17" s="220"/>
      <c r="R17" s="245" t="s">
        <v>199</v>
      </c>
      <c r="S17" s="246">
        <f>SUM(S13,S14,S15,S16)</f>
        <v>5229.8999999999996</v>
      </c>
      <c r="T17" s="233">
        <f>SUM(T13:T16)</f>
        <v>4555</v>
      </c>
      <c r="U17" s="214">
        <f>S17/T17</f>
        <v>1.1481668496158066</v>
      </c>
      <c r="V17" s="233">
        <f>SUM(V13:V16)</f>
        <v>6151</v>
      </c>
      <c r="W17" s="211">
        <f>S17/V17</f>
        <v>0.85025199154608999</v>
      </c>
      <c r="X17" s="212"/>
      <c r="Y17" s="153"/>
      <c r="Z17" s="180"/>
      <c r="AA17" s="181"/>
      <c r="AB17" s="191">
        <v>400</v>
      </c>
      <c r="AC17" s="268"/>
      <c r="AD17" s="269"/>
      <c r="AE17" s="158"/>
      <c r="AF17" s="158"/>
    </row>
    <row r="18" spans="1:32" s="22" customFormat="1" ht="12" customHeight="1" thickBot="1" x14ac:dyDescent="0.25">
      <c r="A18" s="30"/>
      <c r="B18" s="30"/>
      <c r="C18" s="30"/>
      <c r="D18" s="30"/>
      <c r="E18" s="30"/>
      <c r="F18" s="30"/>
      <c r="G18" s="276"/>
      <c r="H18" s="30"/>
      <c r="I18" s="30"/>
      <c r="J18" s="107"/>
      <c r="K18" s="107"/>
      <c r="L18" s="30"/>
      <c r="M18" s="30"/>
      <c r="N18" s="107"/>
      <c r="P18" s="131"/>
      <c r="Q18" s="236"/>
      <c r="R18" s="247"/>
      <c r="S18" s="248"/>
      <c r="T18" s="248"/>
      <c r="U18" s="248"/>
      <c r="V18" s="248"/>
      <c r="W18" s="248"/>
      <c r="X18" s="241"/>
      <c r="Y18" s="153"/>
      <c r="Z18" s="180"/>
      <c r="AA18" s="181"/>
      <c r="AB18" s="191"/>
      <c r="AC18" s="158"/>
      <c r="AD18" s="158"/>
      <c r="AE18" s="158"/>
      <c r="AF18" s="158"/>
    </row>
    <row r="19" spans="1:32" s="22" customFormat="1" x14ac:dyDescent="0.2">
      <c r="A19" s="30"/>
      <c r="B19" s="73" t="s">
        <v>1</v>
      </c>
      <c r="C19" s="73" t="s">
        <v>21</v>
      </c>
      <c r="D19" s="27"/>
      <c r="E19" s="27"/>
      <c r="F19" s="27"/>
      <c r="G19" s="276"/>
      <c r="H19" s="27"/>
      <c r="I19" s="27"/>
      <c r="J19" s="103"/>
      <c r="K19" s="103"/>
      <c r="L19" s="30"/>
      <c r="M19" s="30"/>
      <c r="N19" s="103"/>
      <c r="P19" s="133"/>
      <c r="Q19" s="229" t="s">
        <v>211</v>
      </c>
      <c r="R19" s="207"/>
      <c r="S19" s="230"/>
      <c r="T19" s="230"/>
      <c r="U19" s="207"/>
      <c r="V19" s="207"/>
      <c r="W19" s="207"/>
      <c r="X19" s="209"/>
      <c r="Y19" s="153"/>
      <c r="Z19" s="182"/>
      <c r="AA19" s="183"/>
      <c r="AB19" s="191"/>
      <c r="AC19" s="158"/>
      <c r="AD19" s="158"/>
      <c r="AE19" s="158"/>
      <c r="AF19" s="158"/>
    </row>
    <row r="20" spans="1:32" s="22" customFormat="1" x14ac:dyDescent="0.2">
      <c r="A20" s="30"/>
      <c r="B20" s="73"/>
      <c r="C20" s="74" t="s">
        <v>5</v>
      </c>
      <c r="D20" s="27" t="s">
        <v>44</v>
      </c>
      <c r="E20" s="27"/>
      <c r="F20" s="27"/>
      <c r="G20" s="276" t="s">
        <v>185</v>
      </c>
      <c r="H20" s="27"/>
      <c r="I20" s="27" t="s">
        <v>19</v>
      </c>
      <c r="J20" s="103"/>
      <c r="K20" s="103" t="s">
        <v>49</v>
      </c>
      <c r="L20" s="30"/>
      <c r="M20" s="30"/>
      <c r="N20" s="108" t="s">
        <v>240</v>
      </c>
      <c r="P20" s="135"/>
      <c r="Q20" s="220"/>
      <c r="R20" s="231" t="s">
        <v>44</v>
      </c>
      <c r="S20" s="232">
        <f>Z20</f>
        <v>696.15</v>
      </c>
      <c r="T20" s="175">
        <v>619</v>
      </c>
      <c r="U20" s="153">
        <f>4*33</f>
        <v>132</v>
      </c>
      <c r="V20" s="233">
        <f>SUM(T20,U20)</f>
        <v>751</v>
      </c>
      <c r="W20" s="211">
        <f>S20/V20</f>
        <v>0.92696404793608522</v>
      </c>
      <c r="X20" s="212" t="s">
        <v>196</v>
      </c>
      <c r="Y20" s="153"/>
      <c r="Z20" s="177">
        <f t="shared" ref="Z20:Z24" si="1">(AA20*$Z$11)+AA20</f>
        <v>696.15</v>
      </c>
      <c r="AA20" s="179">
        <v>595</v>
      </c>
      <c r="AB20" s="190">
        <v>619</v>
      </c>
      <c r="AC20" s="268"/>
      <c r="AD20" s="269"/>
      <c r="AE20" s="158"/>
      <c r="AF20" s="158"/>
    </row>
    <row r="21" spans="1:32" s="22" customFormat="1" x14ac:dyDescent="0.2">
      <c r="A21" s="30"/>
      <c r="B21" s="73"/>
      <c r="C21" s="74" t="s">
        <v>6</v>
      </c>
      <c r="D21" s="27" t="s">
        <v>45</v>
      </c>
      <c r="E21" s="27"/>
      <c r="F21" s="27"/>
      <c r="G21" s="276" t="s">
        <v>185</v>
      </c>
      <c r="H21" s="27"/>
      <c r="I21" s="27" t="s">
        <v>19</v>
      </c>
      <c r="J21" s="103"/>
      <c r="K21" s="103" t="s">
        <v>49</v>
      </c>
      <c r="L21" s="30"/>
      <c r="M21" s="30"/>
      <c r="N21" s="108" t="s">
        <v>241</v>
      </c>
      <c r="P21" s="135"/>
      <c r="Q21" s="220"/>
      <c r="R21" s="231" t="s">
        <v>45</v>
      </c>
      <c r="S21" s="232">
        <f>Z21</f>
        <v>925.47</v>
      </c>
      <c r="T21" s="175">
        <v>800</v>
      </c>
      <c r="U21" s="153"/>
      <c r="V21" s="233">
        <f>SUM(T21,U21)</f>
        <v>800</v>
      </c>
      <c r="W21" s="214">
        <f>S21/V21</f>
        <v>1.1568375</v>
      </c>
      <c r="X21" s="212"/>
      <c r="Y21" s="153"/>
      <c r="Z21" s="177">
        <f t="shared" si="1"/>
        <v>925.47</v>
      </c>
      <c r="AA21" s="178">
        <v>791</v>
      </c>
      <c r="AB21" s="190">
        <v>800</v>
      </c>
      <c r="AC21" s="268"/>
      <c r="AD21" s="269"/>
      <c r="AE21" s="158"/>
      <c r="AF21" s="158"/>
    </row>
    <row r="22" spans="1:32" s="22" customFormat="1" x14ac:dyDescent="0.2">
      <c r="A22" s="30"/>
      <c r="B22" s="73"/>
      <c r="C22" s="74" t="s">
        <v>7</v>
      </c>
      <c r="D22" s="27" t="s">
        <v>46</v>
      </c>
      <c r="E22" s="27"/>
      <c r="F22" s="27"/>
      <c r="G22" s="276" t="s">
        <v>185</v>
      </c>
      <c r="H22" s="27"/>
      <c r="I22" s="27" t="s">
        <v>19</v>
      </c>
      <c r="J22" s="103"/>
      <c r="K22" s="103" t="s">
        <v>49</v>
      </c>
      <c r="L22" s="30"/>
      <c r="M22" s="30"/>
      <c r="N22" s="108" t="s">
        <v>242</v>
      </c>
      <c r="P22" s="135"/>
      <c r="Q22" s="220"/>
      <c r="R22" s="231" t="s">
        <v>46</v>
      </c>
      <c r="S22" s="232">
        <f>Z22</f>
        <v>883.35</v>
      </c>
      <c r="T22" s="175">
        <v>627</v>
      </c>
      <c r="U22" s="153">
        <v>164</v>
      </c>
      <c r="V22" s="233">
        <f>SUM(T22,U22)</f>
        <v>791</v>
      </c>
      <c r="W22" s="214">
        <f>S22/V22</f>
        <v>1.1167509481668774</v>
      </c>
      <c r="X22" s="212" t="s">
        <v>197</v>
      </c>
      <c r="Y22" s="153"/>
      <c r="Z22" s="177">
        <f t="shared" si="1"/>
        <v>883.35</v>
      </c>
      <c r="AA22" s="178">
        <v>755</v>
      </c>
      <c r="AB22" s="190">
        <v>627</v>
      </c>
      <c r="AC22" s="268"/>
      <c r="AD22" s="269"/>
      <c r="AE22" s="158"/>
      <c r="AF22" s="158"/>
    </row>
    <row r="23" spans="1:32" s="22" customFormat="1" x14ac:dyDescent="0.2">
      <c r="A23" s="30"/>
      <c r="B23" s="73"/>
      <c r="C23" s="74" t="s">
        <v>8</v>
      </c>
      <c r="D23" s="27" t="s">
        <v>47</v>
      </c>
      <c r="E23" s="27"/>
      <c r="F23" s="27"/>
      <c r="G23" s="276" t="s">
        <v>185</v>
      </c>
      <c r="H23" s="27"/>
      <c r="I23" s="27" t="s">
        <v>19</v>
      </c>
      <c r="J23" s="103"/>
      <c r="K23" s="103" t="s">
        <v>49</v>
      </c>
      <c r="L23" s="30"/>
      <c r="M23" s="30"/>
      <c r="N23" s="108" t="s">
        <v>243</v>
      </c>
      <c r="P23" s="131"/>
      <c r="Q23" s="220"/>
      <c r="R23" s="231" t="s">
        <v>47</v>
      </c>
      <c r="S23" s="232">
        <f>Z23</f>
        <v>803.79</v>
      </c>
      <c r="T23" s="175">
        <v>600</v>
      </c>
      <c r="U23" s="153">
        <f>4*33</f>
        <v>132</v>
      </c>
      <c r="V23" s="233">
        <f>SUM(T23,U23)</f>
        <v>732</v>
      </c>
      <c r="W23" s="214">
        <f>S23/V23</f>
        <v>1.0980737704918033</v>
      </c>
      <c r="X23" s="212" t="s">
        <v>198</v>
      </c>
      <c r="Y23" s="153"/>
      <c r="Z23" s="177">
        <f t="shared" si="1"/>
        <v>803.79</v>
      </c>
      <c r="AA23" s="178">
        <v>687</v>
      </c>
      <c r="AB23" s="190">
        <v>600</v>
      </c>
      <c r="AC23" s="268"/>
      <c r="AD23" s="269"/>
      <c r="AE23" s="158"/>
      <c r="AF23" s="158"/>
    </row>
    <row r="24" spans="1:32" s="22" customFormat="1" x14ac:dyDescent="0.2">
      <c r="A24" s="30"/>
      <c r="B24" s="73"/>
      <c r="C24" s="74" t="s">
        <v>9</v>
      </c>
      <c r="D24" s="27" t="s">
        <v>48</v>
      </c>
      <c r="E24" s="27"/>
      <c r="F24" s="27"/>
      <c r="G24" s="276" t="s">
        <v>185</v>
      </c>
      <c r="H24" s="277"/>
      <c r="I24" s="27" t="s">
        <v>19</v>
      </c>
      <c r="J24" s="103"/>
      <c r="K24" s="103" t="s">
        <v>102</v>
      </c>
      <c r="L24" s="30"/>
      <c r="M24" s="30"/>
      <c r="N24" s="106" t="s">
        <v>244</v>
      </c>
      <c r="P24" s="131"/>
      <c r="Q24" s="220"/>
      <c r="R24" s="231" t="s">
        <v>48</v>
      </c>
      <c r="S24" s="234">
        <f>F24</f>
        <v>0</v>
      </c>
      <c r="T24" s="235">
        <v>579</v>
      </c>
      <c r="U24" s="153"/>
      <c r="V24" s="153"/>
      <c r="W24" s="214"/>
      <c r="X24" s="212"/>
      <c r="Y24" s="153"/>
      <c r="Z24" s="177">
        <f t="shared" si="1"/>
        <v>700.83</v>
      </c>
      <c r="AA24" s="178">
        <v>599</v>
      </c>
      <c r="AB24" s="190">
        <v>579</v>
      </c>
      <c r="AC24" s="158"/>
      <c r="AD24" s="269"/>
      <c r="AE24" s="158"/>
      <c r="AF24" s="158"/>
    </row>
    <row r="25" spans="1:32" s="22" customFormat="1" x14ac:dyDescent="0.2">
      <c r="A25" s="30"/>
      <c r="B25" s="73"/>
      <c r="C25" s="74"/>
      <c r="D25" s="27"/>
      <c r="E25" s="27"/>
      <c r="F25" s="27"/>
      <c r="G25" s="276"/>
      <c r="H25" s="277"/>
      <c r="I25" s="27"/>
      <c r="J25" s="103"/>
      <c r="K25" s="103"/>
      <c r="L25" s="30"/>
      <c r="M25" s="30"/>
      <c r="N25" s="106"/>
      <c r="P25" s="131"/>
      <c r="Q25" s="220"/>
      <c r="R25" s="25" t="s">
        <v>193</v>
      </c>
      <c r="S25" s="232">
        <f>Z24</f>
        <v>700.83</v>
      </c>
      <c r="T25" s="175"/>
      <c r="U25" s="153">
        <v>750</v>
      </c>
      <c r="V25" s="233">
        <f>SUM(T25,U25)</f>
        <v>750</v>
      </c>
      <c r="W25" s="211">
        <f>S25/V25</f>
        <v>0.93444000000000005</v>
      </c>
      <c r="X25" s="212" t="s">
        <v>194</v>
      </c>
      <c r="Y25" s="153"/>
      <c r="Z25" s="184"/>
      <c r="AA25" s="178"/>
      <c r="AB25" s="190"/>
      <c r="AC25" s="268"/>
      <c r="AD25" s="269"/>
      <c r="AE25" s="158"/>
      <c r="AF25" s="158"/>
    </row>
    <row r="26" spans="1:32" s="22" customFormat="1" x14ac:dyDescent="0.2">
      <c r="A26" s="30"/>
      <c r="B26" s="30"/>
      <c r="C26" s="30"/>
      <c r="D26" s="30"/>
      <c r="E26" s="30"/>
      <c r="F26" s="30"/>
      <c r="G26" s="276"/>
      <c r="H26" s="30"/>
      <c r="I26" s="30"/>
      <c r="J26" s="107"/>
      <c r="K26" s="107"/>
      <c r="L26" s="30"/>
      <c r="M26" s="30"/>
      <c r="N26" s="107"/>
      <c r="P26" s="135"/>
      <c r="Q26" s="283"/>
      <c r="R26" s="25" t="s">
        <v>127</v>
      </c>
      <c r="S26" s="158">
        <v>0</v>
      </c>
      <c r="T26" s="175"/>
      <c r="U26" s="153">
        <v>800</v>
      </c>
      <c r="V26" s="233">
        <f>SUM(T26,U26)</f>
        <v>800</v>
      </c>
      <c r="W26" s="221" t="s">
        <v>205</v>
      </c>
      <c r="X26" s="212" t="s">
        <v>195</v>
      </c>
      <c r="Y26" s="153"/>
      <c r="Z26" s="180"/>
      <c r="AA26" s="181"/>
      <c r="AB26" s="190"/>
      <c r="AC26" s="268"/>
      <c r="AD26" s="270"/>
      <c r="AE26" s="158"/>
      <c r="AF26" s="158"/>
    </row>
    <row r="27" spans="1:32" s="22" customFormat="1" ht="13.5" thickBot="1" x14ac:dyDescent="0.25">
      <c r="A27" s="30"/>
      <c r="B27" s="73" t="s">
        <v>2</v>
      </c>
      <c r="C27" s="73" t="s">
        <v>22</v>
      </c>
      <c r="D27" s="27"/>
      <c r="E27" s="27"/>
      <c r="F27" s="27"/>
      <c r="G27" s="276"/>
      <c r="H27" s="27"/>
      <c r="I27" s="27"/>
      <c r="J27" s="103"/>
      <c r="K27" s="103"/>
      <c r="L27" s="30"/>
      <c r="M27" s="30"/>
      <c r="N27" s="103"/>
      <c r="P27" s="136"/>
      <c r="Q27" s="236"/>
      <c r="R27" s="237" t="s">
        <v>199</v>
      </c>
      <c r="S27" s="238">
        <f>SUM(S20,S21,S22,S23,S25,S26)</f>
        <v>4009.5899999999997</v>
      </c>
      <c r="T27" s="239">
        <f>SUM(T20,T21,T22,T23,T24)</f>
        <v>3225</v>
      </c>
      <c r="U27" s="240">
        <f>S27/T27</f>
        <v>1.2432837209302325</v>
      </c>
      <c r="V27" s="239">
        <f>SUM(V20:V26)</f>
        <v>4624</v>
      </c>
      <c r="W27" s="227">
        <f>S27/V27</f>
        <v>0.86712586505190303</v>
      </c>
      <c r="X27" s="241"/>
      <c r="Y27" s="153"/>
      <c r="Z27" s="184"/>
      <c r="AA27" s="178"/>
      <c r="AB27" s="191"/>
      <c r="AC27" s="268"/>
      <c r="AD27" s="269"/>
      <c r="AE27" s="158"/>
      <c r="AF27" s="158"/>
    </row>
    <row r="28" spans="1:32" s="22" customFormat="1" x14ac:dyDescent="0.2">
      <c r="A28" s="30"/>
      <c r="B28" s="73"/>
      <c r="C28" s="74" t="s">
        <v>5</v>
      </c>
      <c r="D28" s="27" t="s">
        <v>57</v>
      </c>
      <c r="E28" s="27"/>
      <c r="F28" s="27"/>
      <c r="G28" s="276" t="s">
        <v>185</v>
      </c>
      <c r="H28" s="277"/>
      <c r="I28" s="27" t="s">
        <v>19</v>
      </c>
      <c r="J28" s="103"/>
      <c r="K28" s="103" t="s">
        <v>34</v>
      </c>
      <c r="L28" s="30"/>
      <c r="M28" s="30"/>
      <c r="N28" s="106" t="s">
        <v>245</v>
      </c>
      <c r="P28" s="131"/>
      <c r="Q28" s="249" t="s">
        <v>210</v>
      </c>
      <c r="R28" s="206"/>
      <c r="S28" s="207"/>
      <c r="T28" s="208"/>
      <c r="U28" s="207"/>
      <c r="V28" s="208"/>
      <c r="W28" s="207"/>
      <c r="X28" s="209"/>
      <c r="Y28" s="153"/>
      <c r="Z28" s="191"/>
      <c r="AA28" s="191"/>
      <c r="AB28" s="191"/>
      <c r="AC28" s="269"/>
      <c r="AD28" s="158"/>
      <c r="AE28" s="158"/>
      <c r="AF28" s="158"/>
    </row>
    <row r="29" spans="1:32" s="22" customFormat="1" x14ac:dyDescent="0.2">
      <c r="A29" s="30"/>
      <c r="B29" s="73"/>
      <c r="C29" s="74" t="s">
        <v>6</v>
      </c>
      <c r="D29" s="27" t="s">
        <v>98</v>
      </c>
      <c r="E29" s="27"/>
      <c r="F29" s="27"/>
      <c r="G29" s="278" t="s">
        <v>185</v>
      </c>
      <c r="H29" s="277"/>
      <c r="I29" s="27" t="s">
        <v>19</v>
      </c>
      <c r="J29" s="103"/>
      <c r="K29" s="103" t="s">
        <v>34</v>
      </c>
      <c r="L29" s="30"/>
      <c r="M29" s="30"/>
      <c r="N29" s="106" t="s">
        <v>108</v>
      </c>
      <c r="P29" s="131"/>
      <c r="Q29" s="210"/>
      <c r="R29" s="203" t="s">
        <v>57</v>
      </c>
      <c r="S29" s="246">
        <f>Z29</f>
        <v>490.23</v>
      </c>
      <c r="T29" s="153">
        <v>600</v>
      </c>
      <c r="U29" s="153">
        <v>0</v>
      </c>
      <c r="V29" s="153">
        <f t="shared" ref="V29:V37" si="2">SUM(T29:U29)</f>
        <v>600</v>
      </c>
      <c r="W29" s="211">
        <f t="shared" ref="W29:W37" si="3">S29/V29</f>
        <v>0.81705000000000005</v>
      </c>
      <c r="X29" s="212" t="s">
        <v>216</v>
      </c>
      <c r="Y29" s="153"/>
      <c r="Z29" s="177">
        <f t="shared" ref="Z29:Z42" si="4">(AA29*$Z$11)+AA29</f>
        <v>490.23</v>
      </c>
      <c r="AA29" s="185">
        <v>419</v>
      </c>
      <c r="AB29" s="189">
        <v>600</v>
      </c>
      <c r="AC29" s="158"/>
      <c r="AD29" s="269"/>
      <c r="AE29" s="158"/>
      <c r="AF29" s="158"/>
    </row>
    <row r="30" spans="1:32" s="153" customFormat="1" ht="13.5" customHeight="1" x14ac:dyDescent="0.2">
      <c r="A30" s="158"/>
      <c r="B30" s="312"/>
      <c r="C30" s="154" t="s">
        <v>7</v>
      </c>
      <c r="D30" s="25" t="s">
        <v>165</v>
      </c>
      <c r="E30" s="25"/>
      <c r="F30" s="25"/>
      <c r="G30" s="279" t="s">
        <v>185</v>
      </c>
      <c r="H30" s="159"/>
      <c r="I30" s="25" t="s">
        <v>19</v>
      </c>
      <c r="J30" s="25"/>
      <c r="K30" s="25" t="s">
        <v>34</v>
      </c>
      <c r="L30" s="158"/>
      <c r="M30" s="158"/>
      <c r="N30" s="154" t="s">
        <v>246</v>
      </c>
      <c r="P30" s="151"/>
      <c r="Q30" s="213"/>
      <c r="R30" s="203" t="s">
        <v>98</v>
      </c>
      <c r="S30" s="246">
        <f t="shared" ref="S30:S42" si="5">Z30</f>
        <v>873.99</v>
      </c>
      <c r="T30" s="153">
        <v>750</v>
      </c>
      <c r="U30" s="153">
        <v>100</v>
      </c>
      <c r="V30" s="153">
        <f t="shared" si="2"/>
        <v>850</v>
      </c>
      <c r="W30" s="214">
        <f t="shared" si="3"/>
        <v>1.0282235294117648</v>
      </c>
      <c r="X30" s="212" t="s">
        <v>217</v>
      </c>
      <c r="Z30" s="177">
        <f t="shared" si="4"/>
        <v>873.99</v>
      </c>
      <c r="AA30" s="186">
        <v>747</v>
      </c>
      <c r="AB30" s="189">
        <v>750</v>
      </c>
      <c r="AC30" s="158"/>
      <c r="AD30" s="269"/>
      <c r="AE30" s="158"/>
      <c r="AF30" s="158"/>
    </row>
    <row r="31" spans="1:32" s="22" customFormat="1" x14ac:dyDescent="0.2">
      <c r="A31" s="30"/>
      <c r="B31" s="73"/>
      <c r="C31" s="74" t="s">
        <v>8</v>
      </c>
      <c r="D31" s="27" t="s">
        <v>67</v>
      </c>
      <c r="E31" s="27"/>
      <c r="F31" s="27"/>
      <c r="G31" s="276" t="s">
        <v>185</v>
      </c>
      <c r="H31" s="277"/>
      <c r="I31" s="27" t="s">
        <v>19</v>
      </c>
      <c r="J31" s="103"/>
      <c r="K31" s="103" t="s">
        <v>34</v>
      </c>
      <c r="L31" s="30"/>
      <c r="M31" s="30"/>
      <c r="N31" s="106" t="s">
        <v>247</v>
      </c>
      <c r="P31" s="131"/>
      <c r="Q31" s="210"/>
      <c r="R31" s="203" t="s">
        <v>165</v>
      </c>
      <c r="S31" s="246">
        <f t="shared" si="5"/>
        <v>377.91</v>
      </c>
      <c r="T31" s="153">
        <v>600</v>
      </c>
      <c r="U31" s="153"/>
      <c r="V31" s="153">
        <f t="shared" si="2"/>
        <v>600</v>
      </c>
      <c r="W31" s="211">
        <f t="shared" si="3"/>
        <v>0.62985000000000002</v>
      </c>
      <c r="X31" s="212"/>
      <c r="Y31" s="153"/>
      <c r="Z31" s="177">
        <f t="shared" si="4"/>
        <v>377.91</v>
      </c>
      <c r="AA31" s="186">
        <v>323</v>
      </c>
      <c r="AB31" s="192">
        <v>600</v>
      </c>
      <c r="AC31" s="158"/>
      <c r="AD31" s="269"/>
      <c r="AE31" s="158"/>
      <c r="AF31" s="158"/>
    </row>
    <row r="32" spans="1:32" s="22" customFormat="1" x14ac:dyDescent="0.2">
      <c r="A32" s="30"/>
      <c r="B32" s="73"/>
      <c r="C32" s="74" t="s">
        <v>10</v>
      </c>
      <c r="D32" s="27" t="s">
        <v>58</v>
      </c>
      <c r="E32" s="27"/>
      <c r="F32" s="27"/>
      <c r="G32" s="276" t="s">
        <v>185</v>
      </c>
      <c r="H32" s="277"/>
      <c r="I32" s="27" t="s">
        <v>19</v>
      </c>
      <c r="J32" s="103"/>
      <c r="K32" s="103" t="s">
        <v>34</v>
      </c>
      <c r="L32" s="30"/>
      <c r="M32" s="30"/>
      <c r="N32" s="106" t="s">
        <v>248</v>
      </c>
      <c r="P32" s="131"/>
      <c r="Q32" s="210"/>
      <c r="R32" s="203" t="s">
        <v>67</v>
      </c>
      <c r="S32" s="246">
        <f t="shared" si="5"/>
        <v>676.26</v>
      </c>
      <c r="T32" s="153">
        <v>600</v>
      </c>
      <c r="U32" s="153">
        <v>100</v>
      </c>
      <c r="V32" s="153">
        <f t="shared" si="2"/>
        <v>700</v>
      </c>
      <c r="W32" s="211">
        <f t="shared" si="3"/>
        <v>0.96608571428571433</v>
      </c>
      <c r="X32" s="215" t="s">
        <v>218</v>
      </c>
      <c r="Y32" s="158"/>
      <c r="Z32" s="177">
        <f t="shared" si="4"/>
        <v>676.26</v>
      </c>
      <c r="AA32" s="185">
        <v>578</v>
      </c>
      <c r="AB32" s="190">
        <v>600</v>
      </c>
      <c r="AC32" s="158"/>
      <c r="AD32" s="269"/>
      <c r="AE32" s="158"/>
      <c r="AF32" s="158"/>
    </row>
    <row r="33" spans="1:32" s="22" customFormat="1" x14ac:dyDescent="0.2">
      <c r="A33" s="30"/>
      <c r="B33" s="73"/>
      <c r="C33" s="74" t="s">
        <v>11</v>
      </c>
      <c r="D33" s="27" t="s">
        <v>59</v>
      </c>
      <c r="E33" s="27"/>
      <c r="F33" s="27"/>
      <c r="G33" s="276" t="s">
        <v>185</v>
      </c>
      <c r="H33" s="277"/>
      <c r="I33" s="27" t="s">
        <v>19</v>
      </c>
      <c r="J33" s="27"/>
      <c r="K33" s="27" t="s">
        <v>34</v>
      </c>
      <c r="L33" s="30"/>
      <c r="M33" s="30"/>
      <c r="N33" s="74" t="s">
        <v>167</v>
      </c>
      <c r="P33" s="131"/>
      <c r="Q33" s="216"/>
      <c r="R33" s="203" t="s">
        <v>58</v>
      </c>
      <c r="S33" s="246">
        <f t="shared" si="5"/>
        <v>575.64</v>
      </c>
      <c r="T33" s="153">
        <v>600</v>
      </c>
      <c r="U33" s="153">
        <v>100</v>
      </c>
      <c r="V33" s="153">
        <f t="shared" si="2"/>
        <v>700</v>
      </c>
      <c r="W33" s="211">
        <f t="shared" si="3"/>
        <v>0.82234285714285715</v>
      </c>
      <c r="X33" s="215" t="s">
        <v>219</v>
      </c>
      <c r="Y33" s="158"/>
      <c r="Z33" s="177">
        <f t="shared" si="4"/>
        <v>575.64</v>
      </c>
      <c r="AA33" s="185">
        <v>492</v>
      </c>
      <c r="AB33" s="189">
        <v>600</v>
      </c>
      <c r="AC33" s="158"/>
      <c r="AD33" s="269"/>
      <c r="AE33" s="158"/>
      <c r="AF33" s="158"/>
    </row>
    <row r="34" spans="1:32" s="22" customFormat="1" x14ac:dyDescent="0.2">
      <c r="A34" s="30"/>
      <c r="B34" s="73"/>
      <c r="C34" s="74" t="s">
        <v>50</v>
      </c>
      <c r="D34" s="27" t="s">
        <v>60</v>
      </c>
      <c r="E34" s="27"/>
      <c r="F34" s="27"/>
      <c r="G34" s="276" t="s">
        <v>185</v>
      </c>
      <c r="H34" s="277"/>
      <c r="I34" s="27" t="s">
        <v>19</v>
      </c>
      <c r="J34" s="103"/>
      <c r="K34" s="103" t="s">
        <v>100</v>
      </c>
      <c r="L34" s="30"/>
      <c r="M34" s="30"/>
      <c r="N34" s="106" t="s">
        <v>249</v>
      </c>
      <c r="P34" s="131"/>
      <c r="Q34" s="210"/>
      <c r="R34" s="203" t="s">
        <v>59</v>
      </c>
      <c r="S34" s="246">
        <f t="shared" si="5"/>
        <v>603.72</v>
      </c>
      <c r="T34" s="153">
        <v>600</v>
      </c>
      <c r="U34" s="153">
        <v>0</v>
      </c>
      <c r="V34" s="153">
        <f t="shared" si="2"/>
        <v>600</v>
      </c>
      <c r="W34" s="211">
        <f t="shared" si="3"/>
        <v>1.0062</v>
      </c>
      <c r="X34" s="215" t="s">
        <v>220</v>
      </c>
      <c r="Y34" s="158"/>
      <c r="Z34" s="177">
        <f t="shared" si="4"/>
        <v>603.72</v>
      </c>
      <c r="AA34" s="186">
        <v>516</v>
      </c>
      <c r="AB34" s="189">
        <v>600</v>
      </c>
      <c r="AC34" s="158"/>
      <c r="AD34" s="269"/>
      <c r="AE34" s="158"/>
      <c r="AF34" s="158"/>
    </row>
    <row r="35" spans="1:32" s="22" customFormat="1" x14ac:dyDescent="0.2">
      <c r="A35" s="30"/>
      <c r="B35" s="73"/>
      <c r="C35" s="74" t="s">
        <v>51</v>
      </c>
      <c r="D35" s="27" t="s">
        <v>61</v>
      </c>
      <c r="E35" s="27"/>
      <c r="F35" s="27"/>
      <c r="G35" s="276" t="s">
        <v>185</v>
      </c>
      <c r="H35" s="277"/>
      <c r="I35" s="27" t="s">
        <v>19</v>
      </c>
      <c r="J35" s="103"/>
      <c r="K35" s="103" t="s">
        <v>34</v>
      </c>
      <c r="L35" s="30"/>
      <c r="M35" s="30"/>
      <c r="N35" s="106" t="s">
        <v>250</v>
      </c>
      <c r="P35" s="131"/>
      <c r="Q35" s="210"/>
      <c r="R35" s="203" t="s">
        <v>60</v>
      </c>
      <c r="S35" s="246">
        <f t="shared" si="5"/>
        <v>610.74</v>
      </c>
      <c r="T35" s="153">
        <v>500</v>
      </c>
      <c r="U35" s="153">
        <f>6*25</f>
        <v>150</v>
      </c>
      <c r="V35" s="153">
        <f t="shared" si="2"/>
        <v>650</v>
      </c>
      <c r="W35" s="214">
        <f t="shared" si="3"/>
        <v>0.93959999999999999</v>
      </c>
      <c r="X35" s="212" t="s">
        <v>215</v>
      </c>
      <c r="Y35" s="153"/>
      <c r="Z35" s="177">
        <f t="shared" si="4"/>
        <v>610.74</v>
      </c>
      <c r="AA35" s="185">
        <v>522</v>
      </c>
      <c r="AB35" s="189">
        <v>500</v>
      </c>
      <c r="AC35" s="158"/>
      <c r="AD35" s="269"/>
      <c r="AE35" s="158"/>
      <c r="AF35" s="158"/>
    </row>
    <row r="36" spans="1:32" s="22" customFormat="1" x14ac:dyDescent="0.2">
      <c r="A36" s="30"/>
      <c r="B36" s="73"/>
      <c r="C36" s="74" t="s">
        <v>52</v>
      </c>
      <c r="D36" s="27" t="s">
        <v>62</v>
      </c>
      <c r="E36" s="27"/>
      <c r="F36" s="27"/>
      <c r="G36" s="276" t="s">
        <v>185</v>
      </c>
      <c r="H36" s="277"/>
      <c r="I36" s="27" t="s">
        <v>19</v>
      </c>
      <c r="J36" s="103"/>
      <c r="K36" s="103" t="s">
        <v>99</v>
      </c>
      <c r="L36" s="30"/>
      <c r="M36" s="30"/>
      <c r="N36" s="106" t="s">
        <v>251</v>
      </c>
      <c r="P36" s="135"/>
      <c r="Q36" s="217"/>
      <c r="R36" s="203" t="s">
        <v>61</v>
      </c>
      <c r="S36" s="246">
        <f t="shared" si="5"/>
        <v>511.29</v>
      </c>
      <c r="T36" s="153">
        <v>472</v>
      </c>
      <c r="U36" s="153">
        <f>7*25</f>
        <v>175</v>
      </c>
      <c r="V36" s="153">
        <f t="shared" si="2"/>
        <v>647</v>
      </c>
      <c r="W36" s="211">
        <f t="shared" si="3"/>
        <v>0.79024729520865533</v>
      </c>
      <c r="X36" s="212" t="s">
        <v>213</v>
      </c>
      <c r="Y36" s="153"/>
      <c r="Z36" s="177">
        <f t="shared" si="4"/>
        <v>511.29</v>
      </c>
      <c r="AA36" s="186">
        <v>437</v>
      </c>
      <c r="AB36" s="190">
        <v>472</v>
      </c>
      <c r="AC36" s="158"/>
      <c r="AD36" s="269"/>
      <c r="AE36" s="158"/>
      <c r="AF36" s="158"/>
    </row>
    <row r="37" spans="1:32" s="22" customFormat="1" x14ac:dyDescent="0.2">
      <c r="A37" s="30"/>
      <c r="B37" s="73"/>
      <c r="C37" s="74"/>
      <c r="D37" s="339" t="s">
        <v>232</v>
      </c>
      <c r="E37" s="339"/>
      <c r="F37" s="339"/>
      <c r="G37" s="339"/>
      <c r="H37" s="339"/>
      <c r="I37" s="339"/>
      <c r="J37" s="103"/>
      <c r="K37" s="103"/>
      <c r="L37" s="30"/>
      <c r="M37" s="30"/>
      <c r="N37" s="106"/>
      <c r="P37" s="135"/>
      <c r="Q37" s="217" t="s">
        <v>207</v>
      </c>
      <c r="R37" s="203" t="s">
        <v>62</v>
      </c>
      <c r="S37" s="246">
        <f t="shared" si="5"/>
        <v>478.53</v>
      </c>
      <c r="T37" s="153">
        <v>472</v>
      </c>
      <c r="U37" s="153">
        <v>-25</v>
      </c>
      <c r="V37" s="153">
        <f t="shared" si="2"/>
        <v>447</v>
      </c>
      <c r="W37" s="214">
        <f t="shared" si="3"/>
        <v>1.0705369127516777</v>
      </c>
      <c r="X37" s="212" t="s">
        <v>208</v>
      </c>
      <c r="Y37" s="153"/>
      <c r="Z37" s="177">
        <f t="shared" si="4"/>
        <v>478.53</v>
      </c>
      <c r="AA37" s="186">
        <v>409</v>
      </c>
      <c r="AB37" s="190">
        <v>472</v>
      </c>
      <c r="AC37" s="158"/>
      <c r="AD37" s="269"/>
      <c r="AE37" s="158"/>
      <c r="AF37" s="158"/>
    </row>
    <row r="38" spans="1:32" s="22" customFormat="1" ht="12.75" customHeight="1" x14ac:dyDescent="0.2">
      <c r="A38" s="30"/>
      <c r="B38" s="73"/>
      <c r="C38" s="74" t="s">
        <v>53</v>
      </c>
      <c r="D38" s="27" t="s">
        <v>63</v>
      </c>
      <c r="E38" s="27"/>
      <c r="F38" s="27"/>
      <c r="G38" s="276" t="s">
        <v>185</v>
      </c>
      <c r="H38" s="277"/>
      <c r="I38" s="27" t="s">
        <v>19</v>
      </c>
      <c r="J38" s="103"/>
      <c r="K38" s="103" t="s">
        <v>100</v>
      </c>
      <c r="L38" s="30"/>
      <c r="M38" s="30"/>
      <c r="N38" s="106" t="s">
        <v>252</v>
      </c>
      <c r="P38" s="135"/>
      <c r="Q38" s="210"/>
      <c r="R38" s="25"/>
      <c r="S38" s="246">
        <f t="shared" si="5"/>
        <v>0</v>
      </c>
      <c r="T38" s="153"/>
      <c r="U38" s="153"/>
      <c r="V38" s="153"/>
      <c r="W38" s="153"/>
      <c r="X38" s="212"/>
      <c r="Y38" s="153"/>
      <c r="Z38" s="184"/>
      <c r="AA38" s="187"/>
      <c r="AB38" s="190"/>
      <c r="AC38" s="158"/>
      <c r="AD38" s="158"/>
      <c r="AE38" s="158"/>
      <c r="AF38" s="158"/>
    </row>
    <row r="39" spans="1:32" s="22" customFormat="1" x14ac:dyDescent="0.2">
      <c r="A39" s="30"/>
      <c r="B39" s="73"/>
      <c r="C39" s="74" t="s">
        <v>54</v>
      </c>
      <c r="D39" s="27" t="s">
        <v>64</v>
      </c>
      <c r="E39" s="27"/>
      <c r="F39" s="27"/>
      <c r="G39" s="276" t="s">
        <v>185</v>
      </c>
      <c r="H39" s="277"/>
      <c r="I39" s="27" t="s">
        <v>19</v>
      </c>
      <c r="J39" s="103"/>
      <c r="K39" s="103" t="s">
        <v>34</v>
      </c>
      <c r="L39" s="30"/>
      <c r="M39" s="30"/>
      <c r="N39" s="106" t="s">
        <v>253</v>
      </c>
      <c r="P39" s="135"/>
      <c r="Q39" s="210"/>
      <c r="R39" s="203" t="s">
        <v>63</v>
      </c>
      <c r="S39" s="246">
        <f t="shared" si="5"/>
        <v>560.43000000000006</v>
      </c>
      <c r="T39" s="153">
        <v>500</v>
      </c>
      <c r="U39" s="153">
        <v>0</v>
      </c>
      <c r="V39" s="153">
        <f>SUM(T39:U39)</f>
        <v>500</v>
      </c>
      <c r="W39" s="214">
        <f>S39/V39</f>
        <v>1.1208600000000002</v>
      </c>
      <c r="X39" s="212" t="s">
        <v>221</v>
      </c>
      <c r="Y39" s="153"/>
      <c r="Z39" s="177">
        <f t="shared" si="4"/>
        <v>560.43000000000006</v>
      </c>
      <c r="AA39" s="185">
        <v>479</v>
      </c>
      <c r="AB39" s="189">
        <v>500</v>
      </c>
      <c r="AC39" s="158"/>
      <c r="AD39" s="269"/>
      <c r="AE39" s="158"/>
      <c r="AF39" s="158"/>
    </row>
    <row r="40" spans="1:32" s="22" customFormat="1" x14ac:dyDescent="0.2">
      <c r="A40" s="30"/>
      <c r="B40" s="73"/>
      <c r="C40" s="74" t="s">
        <v>55</v>
      </c>
      <c r="D40" s="27" t="s">
        <v>65</v>
      </c>
      <c r="E40" s="27"/>
      <c r="F40" s="27"/>
      <c r="G40" s="276" t="s">
        <v>185</v>
      </c>
      <c r="H40" s="277"/>
      <c r="I40" s="27" t="s">
        <v>19</v>
      </c>
      <c r="J40" s="103"/>
      <c r="K40" s="103" t="s">
        <v>100</v>
      </c>
      <c r="L40" s="30"/>
      <c r="M40" s="30"/>
      <c r="N40" s="106" t="s">
        <v>254</v>
      </c>
      <c r="P40" s="143"/>
      <c r="Q40" s="210"/>
      <c r="R40" s="203" t="s">
        <v>64</v>
      </c>
      <c r="S40" s="246">
        <f t="shared" si="5"/>
        <v>676.26</v>
      </c>
      <c r="T40" s="153">
        <v>600</v>
      </c>
      <c r="U40" s="153">
        <v>0</v>
      </c>
      <c r="V40" s="153">
        <f>SUM(T40:U40)</f>
        <v>600</v>
      </c>
      <c r="W40" s="214">
        <f>S40/V40</f>
        <v>1.1271</v>
      </c>
      <c r="X40" s="212" t="s">
        <v>222</v>
      </c>
      <c r="Y40" s="153"/>
      <c r="Z40" s="177">
        <f t="shared" si="4"/>
        <v>676.26</v>
      </c>
      <c r="AA40" s="185">
        <v>578</v>
      </c>
      <c r="AB40" s="189">
        <v>600</v>
      </c>
      <c r="AC40" s="158"/>
      <c r="AD40" s="269"/>
      <c r="AE40" s="158"/>
      <c r="AF40" s="158"/>
    </row>
    <row r="41" spans="1:32" s="22" customFormat="1" x14ac:dyDescent="0.2">
      <c r="A41" s="30"/>
      <c r="B41" s="73"/>
      <c r="C41" s="74" t="s">
        <v>56</v>
      </c>
      <c r="D41" s="27" t="s">
        <v>66</v>
      </c>
      <c r="E41" s="27"/>
      <c r="F41" s="27"/>
      <c r="G41" s="276" t="s">
        <v>185</v>
      </c>
      <c r="H41" s="277"/>
      <c r="I41" s="27" t="s">
        <v>19</v>
      </c>
      <c r="J41" s="103"/>
      <c r="K41" s="103" t="s">
        <v>100</v>
      </c>
      <c r="L41" s="30"/>
      <c r="M41" s="30"/>
      <c r="N41" s="106" t="s">
        <v>255</v>
      </c>
      <c r="P41" s="135"/>
      <c r="Q41" s="210"/>
      <c r="R41" s="203" t="s">
        <v>65</v>
      </c>
      <c r="S41" s="246">
        <f t="shared" si="5"/>
        <v>587.34</v>
      </c>
      <c r="T41" s="153">
        <v>500</v>
      </c>
      <c r="U41" s="153">
        <v>100</v>
      </c>
      <c r="V41" s="153">
        <f>SUM(T41:U41)</f>
        <v>600</v>
      </c>
      <c r="W41" s="214">
        <f>S41/V41</f>
        <v>0.9789000000000001</v>
      </c>
      <c r="X41" s="212" t="s">
        <v>223</v>
      </c>
      <c r="Y41" s="153"/>
      <c r="Z41" s="177">
        <f t="shared" si="4"/>
        <v>587.34</v>
      </c>
      <c r="AA41" s="185">
        <v>502</v>
      </c>
      <c r="AB41" s="190">
        <v>500</v>
      </c>
      <c r="AC41" s="158"/>
      <c r="AD41" s="269"/>
      <c r="AE41" s="158"/>
      <c r="AF41" s="158"/>
    </row>
    <row r="42" spans="1:32" ht="13.5" customHeight="1" x14ac:dyDescent="0.2">
      <c r="G42" s="107"/>
      <c r="H42" s="107"/>
      <c r="I42" s="107"/>
      <c r="J42" s="107"/>
      <c r="K42" s="107"/>
      <c r="L42" s="104"/>
      <c r="M42" s="105"/>
      <c r="N42" s="107"/>
      <c r="O42" s="132"/>
      <c r="P42" s="135"/>
      <c r="Q42" s="218"/>
      <c r="R42" s="203" t="s">
        <v>66</v>
      </c>
      <c r="S42" s="246">
        <f t="shared" si="5"/>
        <v>662.22</v>
      </c>
      <c r="T42" s="153">
        <v>550</v>
      </c>
      <c r="U42" s="219">
        <f>4*25</f>
        <v>100</v>
      </c>
      <c r="V42" s="153">
        <f>SUM(T42:U42)</f>
        <v>650</v>
      </c>
      <c r="W42" s="214">
        <f>S42/V42</f>
        <v>1.0188000000000001</v>
      </c>
      <c r="X42" s="212" t="s">
        <v>214</v>
      </c>
      <c r="Y42" s="153"/>
      <c r="Z42" s="177">
        <f t="shared" si="4"/>
        <v>662.22</v>
      </c>
      <c r="AA42" s="185">
        <v>566</v>
      </c>
      <c r="AB42" s="190">
        <v>550</v>
      </c>
      <c r="AC42" s="158"/>
      <c r="AD42" s="269"/>
      <c r="AE42" s="158"/>
      <c r="AF42" s="265"/>
    </row>
    <row r="43" spans="1:32" ht="14.25" x14ac:dyDescent="0.2">
      <c r="B43" s="313" t="s">
        <v>169</v>
      </c>
      <c r="C43" s="314"/>
      <c r="D43" s="31"/>
      <c r="E43" s="31"/>
      <c r="F43" s="31"/>
      <c r="G43" s="31"/>
      <c r="H43" s="31"/>
      <c r="I43" s="31"/>
      <c r="J43" s="31"/>
      <c r="K43" s="31"/>
      <c r="L43" s="31"/>
      <c r="M43" s="31"/>
      <c r="N43" s="32"/>
      <c r="Q43" s="283"/>
      <c r="R43" s="25" t="s">
        <v>206</v>
      </c>
      <c r="S43" s="219"/>
      <c r="T43" s="219"/>
      <c r="U43" s="219">
        <v>600</v>
      </c>
      <c r="V43" s="153">
        <f>SUM(T43:U43)</f>
        <v>600</v>
      </c>
      <c r="W43" s="221" t="s">
        <v>205</v>
      </c>
      <c r="X43" s="212" t="s">
        <v>209</v>
      </c>
      <c r="Y43" s="153"/>
      <c r="Z43" s="265"/>
      <c r="AA43" s="265"/>
      <c r="AB43" s="265"/>
      <c r="AC43" s="158"/>
      <c r="AD43" s="270"/>
      <c r="AE43" s="158"/>
      <c r="AF43" s="265"/>
    </row>
    <row r="44" spans="1:32" ht="5.25" customHeight="1" x14ac:dyDescent="0.2">
      <c r="B44" s="74"/>
      <c r="C44" s="74"/>
      <c r="D44" s="27"/>
      <c r="E44" s="27"/>
      <c r="F44" s="27"/>
      <c r="G44" s="27"/>
      <c r="H44" s="27"/>
      <c r="I44" s="27"/>
      <c r="J44" s="27"/>
      <c r="K44" s="27"/>
      <c r="L44" s="27"/>
      <c r="M44" s="27"/>
      <c r="N44" s="33"/>
      <c r="Q44" s="222"/>
      <c r="R44" s="219"/>
      <c r="S44" s="219"/>
      <c r="T44" s="219"/>
      <c r="U44" s="219"/>
      <c r="V44" s="219"/>
      <c r="W44" s="219"/>
      <c r="X44" s="223"/>
      <c r="Y44" s="219"/>
      <c r="Z44" s="265"/>
      <c r="AA44" s="265"/>
      <c r="AB44" s="265"/>
      <c r="AC44" s="265"/>
      <c r="AD44" s="265"/>
      <c r="AE44" s="265"/>
      <c r="AF44" s="265"/>
    </row>
    <row r="45" spans="1:32" ht="13.5" thickBot="1" x14ac:dyDescent="0.25">
      <c r="B45" s="164" t="s">
        <v>173</v>
      </c>
      <c r="C45" s="165" t="s">
        <v>148</v>
      </c>
      <c r="D45" s="25"/>
      <c r="E45" s="25"/>
      <c r="F45" s="25"/>
      <c r="G45" s="25"/>
      <c r="H45" s="113"/>
      <c r="I45" s="113"/>
      <c r="J45" s="113"/>
      <c r="K45" s="113"/>
      <c r="L45" s="113"/>
      <c r="M45" s="113"/>
      <c r="N45" s="112"/>
      <c r="Q45" s="224"/>
      <c r="R45" s="225" t="s">
        <v>199</v>
      </c>
      <c r="S45" s="284">
        <f>SUM(S29:S43)</f>
        <v>7684.56</v>
      </c>
      <c r="T45" s="226">
        <f>SUM(T29:T42)</f>
        <v>7344</v>
      </c>
      <c r="U45" s="226"/>
      <c r="V45" s="226">
        <f>SUM(V29:V43)</f>
        <v>8744</v>
      </c>
      <c r="W45" s="227">
        <f>S45/V45</f>
        <v>0.87883806038426349</v>
      </c>
      <c r="X45" s="228"/>
      <c r="Y45" s="219"/>
      <c r="Z45" s="265"/>
      <c r="AA45" s="265"/>
      <c r="AB45" s="265"/>
      <c r="AC45" s="265"/>
      <c r="AD45" s="269"/>
      <c r="AE45" s="265"/>
      <c r="AF45" s="265"/>
    </row>
    <row r="46" spans="1:32" s="155" customFormat="1" ht="6" customHeight="1" x14ac:dyDescent="0.2">
      <c r="B46" s="154"/>
      <c r="C46" s="56"/>
      <c r="D46" s="258"/>
      <c r="E46" s="258"/>
      <c r="F46" s="258"/>
      <c r="G46" s="258"/>
      <c r="H46" s="258"/>
      <c r="I46" s="258"/>
      <c r="J46" s="258"/>
      <c r="K46" s="258"/>
      <c r="L46" s="258"/>
      <c r="M46" s="46"/>
      <c r="N46" s="84"/>
      <c r="Z46" s="265"/>
      <c r="AA46" s="265"/>
      <c r="AB46" s="265"/>
      <c r="AC46" s="265"/>
      <c r="AD46" s="265"/>
      <c r="AE46" s="265"/>
      <c r="AF46" s="265"/>
    </row>
    <row r="47" spans="1:32" s="155" customFormat="1" x14ac:dyDescent="0.2">
      <c r="A47" s="163"/>
      <c r="B47" s="154"/>
      <c r="C47" s="56" t="s">
        <v>0</v>
      </c>
      <c r="D47" s="46" t="s">
        <v>143</v>
      </c>
      <c r="E47" s="62"/>
      <c r="F47" s="46"/>
      <c r="G47" s="46"/>
      <c r="H47" s="57"/>
      <c r="I47" s="46"/>
      <c r="J47" s="46"/>
      <c r="K47" s="45">
        <v>81291</v>
      </c>
      <c r="L47" s="42" t="s">
        <v>23</v>
      </c>
      <c r="M47" s="46"/>
      <c r="N47" s="47"/>
    </row>
    <row r="48" spans="1:32" s="155" customFormat="1" ht="25.15" customHeight="1" x14ac:dyDescent="0.2">
      <c r="B48" s="154"/>
      <c r="C48" s="56"/>
      <c r="D48" s="331" t="s">
        <v>256</v>
      </c>
      <c r="E48" s="331"/>
      <c r="F48" s="331"/>
      <c r="G48" s="331"/>
      <c r="H48" s="331"/>
      <c r="I48" s="331"/>
      <c r="J48" s="331"/>
      <c r="K48" s="331"/>
      <c r="L48" s="331"/>
      <c r="M48" s="46"/>
      <c r="N48" s="84">
        <f>K47*262.7</f>
        <v>21355145.699999999</v>
      </c>
    </row>
    <row r="49" spans="1:36" ht="6" customHeight="1" x14ac:dyDescent="0.2">
      <c r="B49" s="157"/>
      <c r="C49" s="111"/>
      <c r="D49" s="103"/>
      <c r="E49" s="103"/>
      <c r="F49" s="103"/>
      <c r="G49" s="103"/>
      <c r="H49" s="103"/>
      <c r="I49" s="103"/>
      <c r="J49" s="103"/>
      <c r="K49" s="103"/>
      <c r="L49" s="103"/>
      <c r="M49" s="103"/>
      <c r="N49" s="110"/>
    </row>
    <row r="50" spans="1:36" s="155" customFormat="1" x14ac:dyDescent="0.2">
      <c r="B50" s="154"/>
      <c r="C50" s="56" t="s">
        <v>1</v>
      </c>
      <c r="D50" s="46" t="s">
        <v>176</v>
      </c>
      <c r="E50" s="62"/>
      <c r="F50" s="46"/>
      <c r="G50" s="46"/>
      <c r="H50" s="57"/>
      <c r="I50" s="46"/>
      <c r="J50" s="46"/>
      <c r="K50" s="45">
        <v>96401</v>
      </c>
      <c r="L50" s="42" t="s">
        <v>23</v>
      </c>
      <c r="M50" s="46"/>
      <c r="N50" s="47"/>
    </row>
    <row r="51" spans="1:36" s="155" customFormat="1" ht="25.15" customHeight="1" x14ac:dyDescent="0.2">
      <c r="B51" s="154"/>
      <c r="C51" s="56"/>
      <c r="D51" s="331" t="s">
        <v>257</v>
      </c>
      <c r="E51" s="331"/>
      <c r="F51" s="331"/>
      <c r="G51" s="331"/>
      <c r="H51" s="331"/>
      <c r="I51" s="331"/>
      <c r="J51" s="331"/>
      <c r="K51" s="331"/>
      <c r="L51" s="331"/>
      <c r="M51" s="46"/>
      <c r="N51" s="84">
        <f>K50*265.78</f>
        <v>25621457.779999997</v>
      </c>
    </row>
    <row r="52" spans="1:36" ht="5.25" customHeight="1" x14ac:dyDescent="0.2">
      <c r="B52" s="74"/>
      <c r="C52" s="74"/>
      <c r="D52" s="27"/>
      <c r="E52" s="27"/>
      <c r="F52" s="27"/>
      <c r="G52" s="27"/>
      <c r="H52" s="27"/>
      <c r="I52" s="27"/>
      <c r="J52" s="27"/>
      <c r="K52" s="27"/>
      <c r="L52" s="27"/>
      <c r="M52" s="27"/>
      <c r="N52" s="33"/>
    </row>
    <row r="53" spans="1:36" x14ac:dyDescent="0.2">
      <c r="B53" s="164" t="s">
        <v>35</v>
      </c>
      <c r="C53" s="165" t="s">
        <v>29</v>
      </c>
      <c r="D53" s="25"/>
      <c r="E53" s="25"/>
      <c r="F53" s="25"/>
      <c r="G53" s="25"/>
      <c r="H53" s="25"/>
      <c r="I53" s="25"/>
      <c r="J53" s="25"/>
      <c r="K53" s="25"/>
      <c r="L53" s="25"/>
      <c r="M53" s="25"/>
      <c r="N53" s="34"/>
      <c r="X53" s="56"/>
      <c r="Y53" s="56"/>
      <c r="Z53" s="46"/>
      <c r="AA53" s="46"/>
      <c r="AB53" s="46"/>
      <c r="AC53" s="46"/>
      <c r="AD53" s="57"/>
      <c r="AE53" s="46"/>
      <c r="AF53" s="46"/>
      <c r="AG53" s="45"/>
      <c r="AH53" s="42"/>
      <c r="AI53" s="46"/>
      <c r="AJ53" s="47"/>
    </row>
    <row r="54" spans="1:36" x14ac:dyDescent="0.2">
      <c r="B54" s="154"/>
      <c r="C54" s="315" t="s">
        <v>25</v>
      </c>
      <c r="D54" s="25"/>
      <c r="E54" s="25"/>
      <c r="F54" s="25"/>
      <c r="G54" s="25"/>
      <c r="H54" s="25"/>
      <c r="I54" s="25"/>
      <c r="J54" s="25"/>
      <c r="K54" s="25"/>
      <c r="L54" s="25"/>
      <c r="M54" s="25"/>
      <c r="N54" s="34"/>
      <c r="X54" s="56"/>
      <c r="Y54" s="56"/>
      <c r="Z54" s="331"/>
      <c r="AA54" s="331"/>
      <c r="AB54" s="331"/>
      <c r="AC54" s="331"/>
      <c r="AD54" s="331"/>
      <c r="AE54" s="331"/>
      <c r="AF54" s="331"/>
      <c r="AG54" s="331"/>
      <c r="AH54" s="331"/>
      <c r="AI54" s="46"/>
      <c r="AJ54" s="84"/>
    </row>
    <row r="55" spans="1:36" ht="6" customHeight="1" x14ac:dyDescent="0.2">
      <c r="B55" s="157"/>
      <c r="C55" s="73"/>
      <c r="D55" s="27"/>
      <c r="E55" s="27"/>
      <c r="F55" s="27"/>
      <c r="G55" s="27"/>
      <c r="H55" s="27"/>
      <c r="I55" s="27"/>
      <c r="J55" s="27"/>
      <c r="K55" s="27"/>
      <c r="L55" s="27"/>
      <c r="M55" s="27"/>
      <c r="N55" s="33"/>
      <c r="X55" s="14"/>
      <c r="Y55" s="14"/>
      <c r="Z55" s="92"/>
      <c r="AA55" s="16"/>
      <c r="AB55" s="13"/>
      <c r="AC55" s="13"/>
      <c r="AD55" s="85"/>
      <c r="AE55" s="50"/>
      <c r="AF55" s="258"/>
      <c r="AG55" s="37"/>
      <c r="AH55" s="50"/>
      <c r="AI55" s="36"/>
      <c r="AJ55" s="34"/>
    </row>
    <row r="56" spans="1:36" x14ac:dyDescent="0.2">
      <c r="A56" s="30"/>
      <c r="B56" s="154"/>
      <c r="C56" s="56" t="s">
        <v>0</v>
      </c>
      <c r="D56" s="27" t="s">
        <v>168</v>
      </c>
      <c r="E56" s="46"/>
      <c r="F56" s="46"/>
      <c r="G56" s="46"/>
      <c r="H56" s="57"/>
      <c r="I56" s="46"/>
      <c r="J56" s="46"/>
      <c r="K56" s="45">
        <v>70887</v>
      </c>
      <c r="L56" s="42" t="s">
        <v>23</v>
      </c>
      <c r="M56" s="46"/>
      <c r="N56" s="47"/>
      <c r="X56" s="4"/>
      <c r="Y56" s="4"/>
      <c r="Z56" s="260"/>
      <c r="AA56" s="260"/>
      <c r="AB56" s="260"/>
      <c r="AC56" s="260"/>
      <c r="AD56" s="27"/>
      <c r="AE56" s="27"/>
      <c r="AF56" s="27"/>
      <c r="AG56" s="27"/>
      <c r="AH56" s="27"/>
      <c r="AI56" s="27"/>
      <c r="AJ56" s="33"/>
    </row>
    <row r="57" spans="1:36" x14ac:dyDescent="0.2">
      <c r="B57" s="154"/>
      <c r="C57" s="56"/>
      <c r="D57" s="331" t="s">
        <v>149</v>
      </c>
      <c r="E57" s="331"/>
      <c r="F57" s="331"/>
      <c r="G57" s="331"/>
      <c r="H57" s="331"/>
      <c r="I57" s="331"/>
      <c r="J57" s="331"/>
      <c r="K57" s="331"/>
      <c r="L57" s="331"/>
      <c r="M57" s="46"/>
      <c r="N57" s="47"/>
      <c r="X57" s="56"/>
      <c r="Y57" s="56"/>
      <c r="Z57" s="46"/>
      <c r="AA57" s="46"/>
      <c r="AB57" s="46"/>
      <c r="AC57" s="46"/>
      <c r="AD57" s="57"/>
      <c r="AE57" s="46"/>
      <c r="AF57" s="46"/>
      <c r="AG57" s="45"/>
      <c r="AH57" s="42"/>
      <c r="AI57" s="46"/>
      <c r="AJ57" s="47"/>
    </row>
    <row r="58" spans="1:36" s="24" customFormat="1" ht="25.5" x14ac:dyDescent="0.2">
      <c r="A58" s="280"/>
      <c r="B58" s="154"/>
      <c r="C58" s="154"/>
      <c r="D58" s="92" t="s">
        <v>24</v>
      </c>
      <c r="E58" s="253">
        <v>1</v>
      </c>
      <c r="F58" s="25" t="s">
        <v>275</v>
      </c>
      <c r="G58" s="25"/>
      <c r="H58" s="37">
        <v>4750</v>
      </c>
      <c r="I58" s="50" t="s">
        <v>23</v>
      </c>
      <c r="J58" s="258"/>
      <c r="K58" s="37">
        <f>SUM(E58*H58)</f>
        <v>4750</v>
      </c>
      <c r="L58" s="50" t="s">
        <v>23</v>
      </c>
      <c r="M58" s="36">
        <v>0.71</v>
      </c>
      <c r="N58" s="34">
        <f>SUM(E58*H58)/M58*242.05</f>
        <v>1619348.5915492959</v>
      </c>
      <c r="X58" s="56"/>
      <c r="Y58" s="56"/>
      <c r="Z58" s="331"/>
      <c r="AA58" s="331"/>
      <c r="AB58" s="331"/>
      <c r="AC58" s="331"/>
      <c r="AD58" s="331"/>
      <c r="AE58" s="331"/>
      <c r="AF58" s="331"/>
      <c r="AG58" s="331"/>
      <c r="AH58" s="331"/>
      <c r="AI58" s="46"/>
      <c r="AJ58" s="47"/>
    </row>
    <row r="59" spans="1:36" s="24" customFormat="1" ht="25.5" x14ac:dyDescent="0.2">
      <c r="A59" s="280"/>
      <c r="B59" s="154"/>
      <c r="C59" s="154"/>
      <c r="D59" s="92" t="s">
        <v>24</v>
      </c>
      <c r="E59" s="253">
        <v>1</v>
      </c>
      <c r="F59" s="25" t="s">
        <v>272</v>
      </c>
      <c r="G59" s="25"/>
      <c r="H59" s="37">
        <v>2350</v>
      </c>
      <c r="I59" s="50" t="s">
        <v>23</v>
      </c>
      <c r="J59" s="258"/>
      <c r="K59" s="37">
        <f>SUM(E59*H59)</f>
        <v>2350</v>
      </c>
      <c r="L59" s="50" t="s">
        <v>23</v>
      </c>
      <c r="M59" s="36">
        <v>0.71</v>
      </c>
      <c r="N59" s="34">
        <f>SUM(E59*H59)/M59*242.05</f>
        <v>801151.4084507043</v>
      </c>
      <c r="X59" s="56"/>
      <c r="Y59" s="56"/>
      <c r="Z59" s="258"/>
      <c r="AA59" s="258"/>
      <c r="AB59" s="258"/>
      <c r="AC59" s="258"/>
      <c r="AD59" s="258"/>
      <c r="AE59" s="258"/>
      <c r="AF59" s="258"/>
      <c r="AG59" s="258"/>
      <c r="AH59" s="258"/>
      <c r="AI59" s="46"/>
      <c r="AJ59" s="47"/>
    </row>
    <row r="60" spans="1:36" s="24" customFormat="1" ht="25.5" x14ac:dyDescent="0.2">
      <c r="A60" s="280"/>
      <c r="B60" s="154"/>
      <c r="C60" s="154"/>
      <c r="D60" s="92" t="s">
        <v>24</v>
      </c>
      <c r="E60" s="253">
        <v>1</v>
      </c>
      <c r="F60" s="25" t="s">
        <v>273</v>
      </c>
      <c r="G60" s="25"/>
      <c r="H60" s="37">
        <v>4650</v>
      </c>
      <c r="I60" s="50" t="s">
        <v>23</v>
      </c>
      <c r="J60" s="258"/>
      <c r="K60" s="37">
        <f>SUM(E60*H60)</f>
        <v>4650</v>
      </c>
      <c r="L60" s="50" t="s">
        <v>23</v>
      </c>
      <c r="M60" s="36">
        <v>0.71</v>
      </c>
      <c r="N60" s="34">
        <f>SUM(E60*H60)/M60*242.05</f>
        <v>1585257.0422535213</v>
      </c>
      <c r="X60" s="56"/>
      <c r="Y60" s="56"/>
      <c r="Z60" s="331"/>
      <c r="AA60" s="331"/>
      <c r="AB60" s="331"/>
      <c r="AC60" s="331"/>
      <c r="AD60" s="331"/>
      <c r="AE60" s="331"/>
      <c r="AF60" s="331"/>
      <c r="AG60" s="331"/>
      <c r="AH60" s="331"/>
      <c r="AI60" s="46"/>
      <c r="AJ60" s="47"/>
    </row>
    <row r="61" spans="1:36" s="24" customFormat="1" ht="25.5" x14ac:dyDescent="0.2">
      <c r="A61" s="280"/>
      <c r="B61" s="154"/>
      <c r="C61" s="154"/>
      <c r="D61" s="92" t="s">
        <v>24</v>
      </c>
      <c r="E61" s="253">
        <v>1</v>
      </c>
      <c r="F61" s="25" t="s">
        <v>274</v>
      </c>
      <c r="G61" s="25"/>
      <c r="H61" s="37">
        <v>5700</v>
      </c>
      <c r="I61" s="50" t="s">
        <v>23</v>
      </c>
      <c r="J61" s="258"/>
      <c r="K61" s="37">
        <f>SUM(E61*H61)</f>
        <v>5700</v>
      </c>
      <c r="L61" s="50" t="s">
        <v>23</v>
      </c>
      <c r="M61" s="36">
        <v>0.71</v>
      </c>
      <c r="N61" s="34">
        <f>SUM(E61*H61)/M61*242.05</f>
        <v>1943218.3098591552</v>
      </c>
      <c r="X61" s="56"/>
      <c r="Y61" s="56"/>
      <c r="Z61" s="331"/>
      <c r="AA61" s="331"/>
      <c r="AB61" s="331"/>
      <c r="AC61" s="331"/>
      <c r="AD61" s="331"/>
      <c r="AE61" s="331"/>
      <c r="AF61" s="331"/>
      <c r="AG61" s="331"/>
      <c r="AH61" s="331"/>
      <c r="AI61" s="46"/>
      <c r="AJ61" s="47"/>
    </row>
    <row r="62" spans="1:36" s="70" customFormat="1" ht="6" customHeight="1" x14ac:dyDescent="0.2">
      <c r="A62" s="316"/>
      <c r="B62" s="154"/>
      <c r="C62" s="154"/>
      <c r="D62" s="25"/>
      <c r="E62" s="253"/>
      <c r="F62" s="25"/>
      <c r="G62" s="25"/>
      <c r="H62" s="37"/>
      <c r="I62" s="25"/>
      <c r="J62" s="25"/>
      <c r="K62" s="37"/>
      <c r="L62" s="25"/>
      <c r="M62" s="36"/>
      <c r="N62" s="34"/>
      <c r="X62" s="14"/>
      <c r="Y62" s="14"/>
      <c r="Z62" s="92"/>
      <c r="AA62" s="16"/>
      <c r="AB62" s="13"/>
      <c r="AC62" s="13"/>
      <c r="AD62" s="85"/>
      <c r="AE62" s="50"/>
      <c r="AF62" s="258"/>
      <c r="AG62" s="37"/>
      <c r="AH62" s="50"/>
      <c r="AI62" s="36"/>
      <c r="AJ62" s="34"/>
    </row>
    <row r="63" spans="1:36" ht="14.25" x14ac:dyDescent="0.2">
      <c r="B63" s="313" t="s">
        <v>172</v>
      </c>
      <c r="C63" s="314"/>
      <c r="D63" s="31"/>
      <c r="E63" s="31"/>
      <c r="F63" s="31"/>
      <c r="G63" s="31"/>
      <c r="H63" s="31"/>
      <c r="I63" s="31"/>
      <c r="J63" s="31"/>
      <c r="K63" s="31"/>
      <c r="L63" s="31"/>
      <c r="M63" s="31"/>
      <c r="N63" s="32"/>
      <c r="X63" s="4"/>
      <c r="Y63" s="4"/>
      <c r="Z63" s="260"/>
      <c r="AA63" s="260"/>
      <c r="AB63" s="260"/>
      <c r="AC63" s="260"/>
      <c r="AD63" s="27"/>
      <c r="AE63" s="27"/>
      <c r="AF63" s="27"/>
      <c r="AG63" s="27"/>
      <c r="AH63" s="27"/>
      <c r="AI63" s="27"/>
      <c r="AJ63" s="33"/>
    </row>
    <row r="64" spans="1:36" x14ac:dyDescent="0.2">
      <c r="B64" s="164" t="s">
        <v>151</v>
      </c>
      <c r="C64" s="165" t="s">
        <v>152</v>
      </c>
      <c r="D64" s="25"/>
      <c r="E64" s="25"/>
      <c r="F64" s="25"/>
      <c r="G64" s="25"/>
      <c r="H64" s="25"/>
      <c r="I64" s="25"/>
      <c r="J64" s="25"/>
      <c r="K64" s="25"/>
      <c r="L64" s="25"/>
      <c r="M64" s="25"/>
      <c r="N64" s="34"/>
      <c r="X64" s="56"/>
      <c r="Y64" s="56"/>
      <c r="Z64" s="46"/>
      <c r="AA64" s="46"/>
      <c r="AB64" s="46"/>
      <c r="AC64" s="46"/>
      <c r="AD64" s="57"/>
      <c r="AE64" s="46"/>
      <c r="AF64" s="46"/>
      <c r="AG64" s="45"/>
      <c r="AH64" s="42"/>
      <c r="AI64" s="46"/>
      <c r="AJ64" s="47"/>
    </row>
    <row r="65" spans="1:36" ht="6" customHeight="1" x14ac:dyDescent="0.2">
      <c r="B65" s="157"/>
      <c r="C65" s="73"/>
      <c r="D65" s="27"/>
      <c r="E65" s="27"/>
      <c r="F65" s="27"/>
      <c r="G65" s="27"/>
      <c r="H65" s="27"/>
      <c r="I65" s="27"/>
      <c r="J65" s="27"/>
      <c r="K65" s="27"/>
      <c r="L65" s="27"/>
      <c r="M65" s="27"/>
      <c r="N65" s="33"/>
      <c r="X65" s="56"/>
      <c r="Y65" s="56"/>
      <c r="Z65" s="331"/>
      <c r="AA65" s="331"/>
      <c r="AB65" s="331"/>
      <c r="AC65" s="331"/>
      <c r="AD65" s="331"/>
      <c r="AE65" s="331"/>
      <c r="AF65" s="331"/>
      <c r="AG65" s="331"/>
      <c r="AH65" s="331"/>
      <c r="AI65" s="46"/>
      <c r="AJ65" s="84"/>
    </row>
    <row r="66" spans="1:36" x14ac:dyDescent="0.2">
      <c r="B66" s="154"/>
      <c r="C66" s="56" t="s">
        <v>0</v>
      </c>
      <c r="D66" s="46" t="s">
        <v>124</v>
      </c>
      <c r="E66" s="62"/>
      <c r="F66" s="46"/>
      <c r="G66" s="46"/>
      <c r="H66" s="57"/>
      <c r="I66" s="46"/>
      <c r="J66" s="46"/>
      <c r="K66" s="45">
        <v>65736</v>
      </c>
      <c r="L66" s="42" t="s">
        <v>23</v>
      </c>
      <c r="M66" s="46"/>
      <c r="N66" s="47"/>
      <c r="X66" s="14"/>
      <c r="Y66" s="14"/>
      <c r="Z66" s="92"/>
      <c r="AA66" s="16"/>
      <c r="AB66" s="13"/>
      <c r="AC66" s="13"/>
      <c r="AD66" s="85"/>
      <c r="AE66" s="50"/>
      <c r="AF66" s="258"/>
      <c r="AG66" s="37"/>
      <c r="AH66" s="50"/>
      <c r="AI66" s="36"/>
      <c r="AJ66" s="34"/>
    </row>
    <row r="67" spans="1:36" x14ac:dyDescent="0.2">
      <c r="B67" s="154"/>
      <c r="C67" s="56"/>
      <c r="D67" s="331" t="s">
        <v>263</v>
      </c>
      <c r="E67" s="331"/>
      <c r="F67" s="331"/>
      <c r="G67" s="331"/>
      <c r="H67" s="331"/>
      <c r="I67" s="331"/>
      <c r="J67" s="331"/>
      <c r="K67" s="331"/>
      <c r="L67" s="331"/>
      <c r="M67" s="46"/>
      <c r="N67" s="84">
        <f>K66*262.7</f>
        <v>17268847.199999999</v>
      </c>
      <c r="X67" s="4"/>
      <c r="Y67" s="4"/>
      <c r="Z67" s="260"/>
      <c r="AA67" s="260"/>
      <c r="AB67" s="260"/>
      <c r="AC67" s="260"/>
      <c r="AD67" s="27"/>
      <c r="AE67" s="27"/>
      <c r="AF67" s="27"/>
      <c r="AG67" s="27"/>
      <c r="AH67" s="27"/>
      <c r="AI67" s="27"/>
      <c r="AJ67" s="33"/>
    </row>
    <row r="68" spans="1:36" ht="6" customHeight="1" x14ac:dyDescent="0.2">
      <c r="B68" s="157"/>
      <c r="C68" s="73"/>
      <c r="D68" s="27"/>
      <c r="E68" s="27"/>
      <c r="F68" s="27"/>
      <c r="G68" s="27"/>
      <c r="H68" s="27"/>
      <c r="I68" s="27"/>
      <c r="J68" s="27"/>
      <c r="K68" s="27"/>
      <c r="L68" s="27"/>
      <c r="M68" s="27"/>
      <c r="N68" s="33"/>
      <c r="X68" s="56"/>
      <c r="Y68" s="56"/>
      <c r="Z68" s="46"/>
      <c r="AA68" s="46"/>
      <c r="AB68" s="46"/>
      <c r="AC68" s="46"/>
      <c r="AD68" s="57"/>
      <c r="AE68" s="46"/>
      <c r="AF68" s="46"/>
      <c r="AG68" s="45"/>
      <c r="AH68" s="42"/>
      <c r="AI68" s="46"/>
      <c r="AJ68" s="47"/>
    </row>
    <row r="69" spans="1:36" x14ac:dyDescent="0.2">
      <c r="B69" s="154"/>
      <c r="C69" s="56" t="s">
        <v>1</v>
      </c>
      <c r="D69" s="46" t="s">
        <v>127</v>
      </c>
      <c r="E69" s="62"/>
      <c r="F69" s="46"/>
      <c r="G69" s="46"/>
      <c r="H69" s="57"/>
      <c r="I69" s="46"/>
      <c r="J69" s="46"/>
      <c r="K69" s="45">
        <v>100254</v>
      </c>
      <c r="L69" s="42" t="s">
        <v>23</v>
      </c>
      <c r="M69" s="46"/>
      <c r="N69" s="47"/>
      <c r="X69" s="56"/>
      <c r="Y69" s="56"/>
      <c r="Z69" s="331"/>
      <c r="AA69" s="331"/>
      <c r="AB69" s="331"/>
      <c r="AC69" s="331"/>
      <c r="AD69" s="331"/>
      <c r="AE69" s="331"/>
      <c r="AF69" s="331"/>
      <c r="AG69" s="331"/>
      <c r="AH69" s="331"/>
      <c r="AI69" s="46"/>
      <c r="AJ69" s="84"/>
    </row>
    <row r="70" spans="1:36" x14ac:dyDescent="0.2">
      <c r="B70" s="154"/>
      <c r="C70" s="56"/>
      <c r="D70" s="331" t="s">
        <v>157</v>
      </c>
      <c r="E70" s="331"/>
      <c r="F70" s="331"/>
      <c r="G70" s="331"/>
      <c r="H70" s="331"/>
      <c r="I70" s="331"/>
      <c r="J70" s="331"/>
      <c r="K70" s="331"/>
      <c r="L70" s="331"/>
      <c r="M70" s="46"/>
      <c r="N70" s="84">
        <f>K69*265.78</f>
        <v>26645508.119999997</v>
      </c>
      <c r="X70" s="14"/>
      <c r="Y70" s="14"/>
      <c r="Z70" s="92"/>
      <c r="AA70" s="16"/>
      <c r="AB70" s="13"/>
      <c r="AC70" s="13"/>
      <c r="AD70" s="85"/>
      <c r="AE70" s="50"/>
      <c r="AF70" s="258"/>
      <c r="AG70" s="37"/>
      <c r="AH70" s="50"/>
      <c r="AI70" s="36"/>
      <c r="AJ70" s="34"/>
    </row>
    <row r="71" spans="1:36" ht="6" customHeight="1" x14ac:dyDescent="0.2">
      <c r="B71" s="157"/>
      <c r="C71" s="73"/>
      <c r="D71" s="27"/>
      <c r="E71" s="27"/>
      <c r="F71" s="27"/>
      <c r="G71" s="27"/>
      <c r="H71" s="27"/>
      <c r="I71" s="27"/>
      <c r="J71" s="27"/>
      <c r="K71" s="27"/>
      <c r="L71" s="27"/>
      <c r="M71" s="27"/>
      <c r="N71" s="33"/>
      <c r="X71" s="4"/>
      <c r="Y71" s="4"/>
      <c r="Z71" s="260"/>
      <c r="AA71" s="260"/>
      <c r="AB71" s="260"/>
      <c r="AC71" s="260"/>
      <c r="AD71" s="27"/>
      <c r="AE71" s="27"/>
      <c r="AF71" s="27"/>
      <c r="AG71" s="27"/>
      <c r="AH71" s="27"/>
      <c r="AI71" s="27"/>
      <c r="AJ71" s="33"/>
    </row>
    <row r="72" spans="1:36" x14ac:dyDescent="0.2">
      <c r="B72" s="154"/>
      <c r="C72" s="56" t="s">
        <v>2</v>
      </c>
      <c r="D72" s="46" t="s">
        <v>128</v>
      </c>
      <c r="E72" s="62"/>
      <c r="F72" s="46"/>
      <c r="G72" s="46"/>
      <c r="H72" s="57"/>
      <c r="I72" s="46"/>
      <c r="J72" s="46"/>
      <c r="K72" s="45">
        <v>163434</v>
      </c>
      <c r="L72" s="42" t="s">
        <v>23</v>
      </c>
      <c r="M72" s="46"/>
      <c r="N72" s="47"/>
      <c r="X72" s="56"/>
      <c r="Y72" s="56"/>
      <c r="Z72" s="46"/>
      <c r="AA72" s="46"/>
      <c r="AB72" s="46"/>
      <c r="AC72" s="46"/>
      <c r="AD72" s="57"/>
      <c r="AE72" s="46"/>
      <c r="AF72" s="46"/>
      <c r="AG72" s="45"/>
      <c r="AH72" s="42"/>
      <c r="AI72" s="46"/>
      <c r="AJ72" s="47"/>
    </row>
    <row r="73" spans="1:36" x14ac:dyDescent="0.2">
      <c r="B73" s="154"/>
      <c r="C73" s="56"/>
      <c r="D73" s="331" t="s">
        <v>158</v>
      </c>
      <c r="E73" s="331"/>
      <c r="F73" s="331"/>
      <c r="G73" s="331"/>
      <c r="H73" s="331"/>
      <c r="I73" s="331"/>
      <c r="J73" s="331"/>
      <c r="K73" s="331"/>
      <c r="L73" s="331"/>
      <c r="M73" s="46"/>
      <c r="N73" s="84">
        <f>K72*274.69</f>
        <v>44893685.460000001</v>
      </c>
      <c r="X73" s="56"/>
      <c r="Y73" s="56"/>
      <c r="Z73" s="331"/>
      <c r="AA73" s="331"/>
      <c r="AB73" s="331"/>
      <c r="AC73" s="331"/>
      <c r="AD73" s="331"/>
      <c r="AE73" s="331"/>
      <c r="AF73" s="331"/>
      <c r="AG73" s="331"/>
      <c r="AH73" s="331"/>
      <c r="AI73" s="46"/>
      <c r="AJ73" s="47"/>
    </row>
    <row r="74" spans="1:36" ht="6" customHeight="1" x14ac:dyDescent="0.2">
      <c r="B74" s="148"/>
      <c r="C74" s="317"/>
      <c r="D74" s="148"/>
      <c r="E74" s="148"/>
      <c r="F74" s="148"/>
      <c r="G74" s="148"/>
      <c r="H74" s="148"/>
      <c r="I74" s="148"/>
      <c r="J74" s="148"/>
      <c r="K74" s="148"/>
      <c r="L74" s="148"/>
      <c r="M74" s="148"/>
      <c r="N74" s="148"/>
      <c r="X74" s="14"/>
      <c r="Y74" s="14"/>
      <c r="Z74" s="92"/>
      <c r="AA74" s="16"/>
      <c r="AB74" s="13"/>
      <c r="AC74" s="13"/>
      <c r="AD74" s="85"/>
      <c r="AE74" s="50"/>
      <c r="AF74" s="258"/>
      <c r="AG74" s="37"/>
      <c r="AH74" s="50"/>
      <c r="AI74" s="36"/>
      <c r="AJ74" s="34"/>
    </row>
    <row r="75" spans="1:36" x14ac:dyDescent="0.2">
      <c r="A75" s="163"/>
      <c r="B75" s="164" t="s">
        <v>147</v>
      </c>
      <c r="C75" s="165" t="s">
        <v>148</v>
      </c>
      <c r="D75" s="25"/>
      <c r="E75" s="25"/>
      <c r="F75" s="25"/>
      <c r="G75" s="25"/>
      <c r="H75" s="113"/>
      <c r="I75" s="113"/>
      <c r="J75" s="113"/>
      <c r="K75" s="113"/>
      <c r="L75" s="113"/>
      <c r="M75" s="113"/>
      <c r="N75" s="112"/>
      <c r="X75" s="4"/>
      <c r="Y75" s="4"/>
      <c r="Z75" s="260"/>
      <c r="AA75" s="260"/>
      <c r="AB75" s="260"/>
      <c r="AC75" s="260"/>
      <c r="AD75" s="27"/>
      <c r="AE75" s="27"/>
      <c r="AF75" s="27"/>
      <c r="AG75" s="27"/>
      <c r="AH75" s="27"/>
      <c r="AI75" s="27"/>
      <c r="AJ75" s="33"/>
    </row>
    <row r="76" spans="1:36" ht="6" customHeight="1" x14ac:dyDescent="0.2">
      <c r="B76" s="157"/>
      <c r="C76" s="111"/>
      <c r="D76" s="103"/>
      <c r="E76" s="103"/>
      <c r="F76" s="103"/>
      <c r="G76" s="103"/>
      <c r="H76" s="103"/>
      <c r="I76" s="103"/>
      <c r="J76" s="103"/>
      <c r="K76" s="103"/>
      <c r="L76" s="103"/>
      <c r="M76" s="103"/>
      <c r="N76" s="110"/>
      <c r="X76" s="56"/>
      <c r="Y76" s="56"/>
      <c r="Z76" s="46"/>
      <c r="AA76" s="46"/>
      <c r="AB76" s="46"/>
      <c r="AC76" s="46"/>
      <c r="AD76" s="57"/>
      <c r="AE76" s="46"/>
      <c r="AF76" s="46"/>
      <c r="AG76" s="45"/>
      <c r="AH76" s="42"/>
      <c r="AI76" s="46"/>
      <c r="AJ76" s="47"/>
    </row>
    <row r="77" spans="1:36" x14ac:dyDescent="0.2">
      <c r="B77" s="154"/>
      <c r="C77" s="56" t="s">
        <v>0</v>
      </c>
      <c r="D77" s="46" t="s">
        <v>150</v>
      </c>
      <c r="E77" s="62"/>
      <c r="F77" s="46"/>
      <c r="G77" s="46"/>
      <c r="H77" s="57"/>
      <c r="I77" s="46"/>
      <c r="J77" s="46"/>
      <c r="K77" s="45">
        <v>50000</v>
      </c>
      <c r="L77" s="42" t="s">
        <v>23</v>
      </c>
      <c r="M77" s="46"/>
      <c r="N77" s="47"/>
      <c r="X77" s="14"/>
      <c r="Y77" s="14"/>
      <c r="Z77" s="92"/>
      <c r="AA77" s="16"/>
      <c r="AB77" s="13"/>
      <c r="AC77" s="13"/>
      <c r="AD77" s="85"/>
      <c r="AE77" s="50"/>
      <c r="AF77" s="258"/>
      <c r="AG77" s="37"/>
      <c r="AH77" s="50"/>
      <c r="AI77" s="36"/>
      <c r="AJ77" s="34"/>
    </row>
    <row r="78" spans="1:36" x14ac:dyDescent="0.2">
      <c r="B78" s="154"/>
      <c r="C78" s="56"/>
      <c r="D78" s="331" t="s">
        <v>177</v>
      </c>
      <c r="E78" s="331"/>
      <c r="F78" s="331"/>
      <c r="G78" s="331"/>
      <c r="H78" s="331"/>
      <c r="I78" s="331"/>
      <c r="J78" s="331"/>
      <c r="K78" s="331"/>
      <c r="L78" s="331"/>
      <c r="M78" s="46"/>
      <c r="N78" s="84">
        <f>K77*274.69</f>
        <v>13734500</v>
      </c>
      <c r="X78" s="4"/>
      <c r="Y78" s="4"/>
      <c r="Z78" s="260"/>
      <c r="AA78" s="260"/>
      <c r="AB78" s="260"/>
      <c r="AC78" s="260"/>
      <c r="AD78" s="27"/>
      <c r="AE78" s="27"/>
      <c r="AF78" s="27"/>
      <c r="AG78" s="27"/>
      <c r="AH78" s="27"/>
      <c r="AI78" s="27"/>
      <c r="AJ78" s="33"/>
    </row>
    <row r="79" spans="1:36" ht="5.25" customHeight="1" x14ac:dyDescent="0.2">
      <c r="B79" s="74"/>
      <c r="C79" s="74"/>
      <c r="D79" s="27"/>
      <c r="E79" s="27"/>
      <c r="F79" s="27"/>
      <c r="G79" s="27"/>
      <c r="H79" s="27"/>
      <c r="I79" s="27"/>
      <c r="J79" s="27"/>
      <c r="K79" s="27"/>
      <c r="L79" s="27"/>
      <c r="M79" s="27"/>
      <c r="N79" s="33"/>
      <c r="X79" s="56"/>
      <c r="Y79" s="56"/>
      <c r="Z79" s="46"/>
      <c r="AA79" s="46"/>
      <c r="AB79" s="46"/>
      <c r="AC79" s="46"/>
      <c r="AD79" s="57"/>
      <c r="AE79" s="46"/>
      <c r="AF79" s="46"/>
      <c r="AG79" s="45"/>
      <c r="AH79" s="42"/>
      <c r="AI79" s="46"/>
      <c r="AJ79" s="47"/>
    </row>
    <row r="80" spans="1:36" x14ac:dyDescent="0.2">
      <c r="B80" s="164" t="s">
        <v>26</v>
      </c>
      <c r="C80" s="165" t="s">
        <v>29</v>
      </c>
      <c r="D80" s="25"/>
      <c r="E80" s="25"/>
      <c r="F80" s="25"/>
      <c r="G80" s="25"/>
      <c r="H80" s="25"/>
      <c r="I80" s="25"/>
      <c r="J80" s="25"/>
      <c r="K80" s="25"/>
      <c r="L80" s="25"/>
      <c r="M80" s="25"/>
      <c r="N80" s="34"/>
      <c r="X80" s="56"/>
      <c r="Y80" s="56"/>
      <c r="Z80" s="331"/>
      <c r="AA80" s="331"/>
      <c r="AB80" s="331"/>
      <c r="AC80" s="331"/>
      <c r="AD80" s="331"/>
      <c r="AE80" s="331"/>
      <c r="AF80" s="331"/>
      <c r="AG80" s="331"/>
      <c r="AH80" s="331"/>
      <c r="AI80" s="46"/>
      <c r="AJ80" s="47"/>
    </row>
    <row r="81" spans="1:36" x14ac:dyDescent="0.2">
      <c r="B81" s="154"/>
      <c r="C81" s="315" t="s">
        <v>25</v>
      </c>
      <c r="D81" s="25"/>
      <c r="E81" s="25"/>
      <c r="F81" s="25"/>
      <c r="G81" s="25"/>
      <c r="H81" s="25"/>
      <c r="I81" s="25"/>
      <c r="J81" s="25"/>
      <c r="K81" s="25"/>
      <c r="L81" s="25"/>
      <c r="M81" s="25"/>
      <c r="N81" s="34"/>
      <c r="X81" s="14"/>
      <c r="Y81" s="14"/>
      <c r="Z81" s="92"/>
      <c r="AA81" s="16"/>
      <c r="AB81" s="13"/>
      <c r="AC81" s="13"/>
      <c r="AD81" s="85"/>
      <c r="AE81" s="50"/>
      <c r="AF81" s="258"/>
      <c r="AG81" s="37"/>
      <c r="AH81" s="50"/>
      <c r="AI81" s="36"/>
      <c r="AJ81" s="34"/>
    </row>
    <row r="82" spans="1:36" ht="6.75" customHeight="1" x14ac:dyDescent="0.2">
      <c r="B82" s="154"/>
      <c r="C82" s="56"/>
      <c r="D82" s="46"/>
      <c r="E82" s="49"/>
      <c r="F82" s="46"/>
      <c r="G82" s="46"/>
      <c r="H82" s="43"/>
      <c r="I82" s="42"/>
      <c r="J82" s="42"/>
      <c r="K82" s="43"/>
      <c r="L82" s="42"/>
      <c r="M82" s="61"/>
      <c r="N82" s="44"/>
      <c r="X82" s="4"/>
      <c r="Y82" s="4"/>
      <c r="Z82" s="260"/>
      <c r="AA82" s="260"/>
      <c r="AB82" s="260"/>
      <c r="AC82" s="260"/>
      <c r="AD82" s="27"/>
      <c r="AE82" s="27"/>
      <c r="AF82" s="27"/>
      <c r="AG82" s="27"/>
      <c r="AH82" s="27"/>
      <c r="AI82" s="27"/>
      <c r="AJ82" s="33"/>
    </row>
    <row r="83" spans="1:36" x14ac:dyDescent="0.2">
      <c r="B83" s="154"/>
      <c r="C83" s="56" t="s">
        <v>0</v>
      </c>
      <c r="D83" s="46" t="s">
        <v>84</v>
      </c>
      <c r="E83" s="46"/>
      <c r="F83" s="46"/>
      <c r="G83" s="46"/>
      <c r="H83" s="57"/>
      <c r="I83" s="46"/>
      <c r="J83" s="46"/>
      <c r="K83" s="45">
        <v>56971</v>
      </c>
      <c r="L83" s="42" t="s">
        <v>23</v>
      </c>
      <c r="M83" s="46"/>
      <c r="N83" s="47"/>
      <c r="X83" s="56"/>
      <c r="Y83" s="56"/>
      <c r="Z83" s="46"/>
      <c r="AA83" s="46"/>
      <c r="AB83" s="46"/>
      <c r="AC83" s="46"/>
      <c r="AD83" s="57"/>
      <c r="AE83" s="46"/>
      <c r="AF83" s="46"/>
      <c r="AG83" s="45"/>
      <c r="AH83" s="42"/>
      <c r="AI83" s="46"/>
      <c r="AJ83" s="47"/>
    </row>
    <row r="84" spans="1:36" ht="79.5" customHeight="1" x14ac:dyDescent="0.2">
      <c r="B84" s="154"/>
      <c r="C84" s="56"/>
      <c r="D84" s="331" t="s">
        <v>231</v>
      </c>
      <c r="E84" s="331"/>
      <c r="F84" s="331"/>
      <c r="G84" s="331"/>
      <c r="H84" s="331"/>
      <c r="I84" s="331"/>
      <c r="J84" s="331"/>
      <c r="K84" s="331"/>
      <c r="L84" s="331"/>
      <c r="M84" s="46"/>
      <c r="N84" s="84">
        <f>262.7*55162*0.8</f>
        <v>11592845.92</v>
      </c>
      <c r="X84" s="56"/>
      <c r="Y84" s="56"/>
      <c r="Z84" s="331"/>
      <c r="AA84" s="331"/>
      <c r="AB84" s="331"/>
      <c r="AC84" s="331"/>
      <c r="AD84" s="331"/>
      <c r="AE84" s="331"/>
      <c r="AF84" s="331"/>
      <c r="AG84" s="331"/>
      <c r="AH84" s="331"/>
      <c r="AI84" s="46"/>
      <c r="AJ84" s="84"/>
    </row>
    <row r="85" spans="1:36" x14ac:dyDescent="0.2">
      <c r="B85" s="154"/>
      <c r="C85" s="56"/>
      <c r="D85" s="46" t="s">
        <v>24</v>
      </c>
      <c r="E85" s="49">
        <v>1</v>
      </c>
      <c r="F85" s="46" t="s">
        <v>71</v>
      </c>
      <c r="G85" s="46"/>
      <c r="H85" s="43">
        <v>800</v>
      </c>
      <c r="I85" s="42" t="s">
        <v>23</v>
      </c>
      <c r="J85" s="42"/>
      <c r="K85" s="87">
        <f t="shared" ref="K85:K89" si="6">SUM(E85*H85)</f>
        <v>800</v>
      </c>
      <c r="L85" s="42" t="s">
        <v>23</v>
      </c>
      <c r="M85" s="61">
        <v>0.74</v>
      </c>
      <c r="N85" s="34">
        <f>SUM(E85*H85)/M85*262.7</f>
        <v>284000</v>
      </c>
      <c r="X85" s="56"/>
      <c r="Y85" s="56"/>
      <c r="Z85" s="331"/>
      <c r="AA85" s="331"/>
      <c r="AB85" s="331"/>
      <c r="AC85" s="331"/>
      <c r="AD85" s="331"/>
      <c r="AE85" s="331"/>
      <c r="AF85" s="331"/>
      <c r="AG85" s="331"/>
      <c r="AH85" s="331"/>
      <c r="AI85" s="46"/>
      <c r="AJ85" s="47"/>
    </row>
    <row r="86" spans="1:36" ht="15" x14ac:dyDescent="0.25">
      <c r="B86" s="154"/>
      <c r="C86" s="60"/>
      <c r="D86" s="46"/>
      <c r="E86" s="49">
        <v>1</v>
      </c>
      <c r="F86" s="46" t="s">
        <v>32</v>
      </c>
      <c r="G86" s="46"/>
      <c r="H86" s="43">
        <v>800</v>
      </c>
      <c r="I86" s="42" t="s">
        <v>23</v>
      </c>
      <c r="J86" s="42"/>
      <c r="K86" s="87">
        <f t="shared" si="6"/>
        <v>800</v>
      </c>
      <c r="L86" s="42" t="s">
        <v>23</v>
      </c>
      <c r="M86" s="61">
        <v>0.74</v>
      </c>
      <c r="N86" s="34">
        <f t="shared" ref="N86:N89" si="7">SUM(E86*H86)/M86*262.7</f>
        <v>284000</v>
      </c>
      <c r="X86" s="14"/>
      <c r="Y86" s="14"/>
      <c r="Z86" s="92"/>
      <c r="AA86" s="16"/>
      <c r="AB86" s="13"/>
      <c r="AC86" s="13"/>
      <c r="AD86" s="85"/>
      <c r="AE86" s="50"/>
      <c r="AF86" s="258"/>
      <c r="AG86" s="37"/>
      <c r="AH86" s="50"/>
      <c r="AI86" s="36"/>
      <c r="AJ86" s="34"/>
    </row>
    <row r="87" spans="1:36" ht="15" x14ac:dyDescent="0.25">
      <c r="B87" s="154"/>
      <c r="C87" s="60"/>
      <c r="D87" s="46"/>
      <c r="E87" s="49">
        <v>1</v>
      </c>
      <c r="F87" s="46" t="s">
        <v>69</v>
      </c>
      <c r="G87" s="46"/>
      <c r="H87" s="43">
        <v>300</v>
      </c>
      <c r="I87" s="42" t="s">
        <v>23</v>
      </c>
      <c r="J87" s="42"/>
      <c r="K87" s="87">
        <f t="shared" si="6"/>
        <v>300</v>
      </c>
      <c r="L87" s="42" t="s">
        <v>23</v>
      </c>
      <c r="M87" s="61">
        <v>0.74</v>
      </c>
      <c r="N87" s="34">
        <f t="shared" si="7"/>
        <v>106500</v>
      </c>
    </row>
    <row r="88" spans="1:36" s="70" customFormat="1" ht="12.75" customHeight="1" x14ac:dyDescent="0.2">
      <c r="A88" s="316"/>
      <c r="B88" s="154"/>
      <c r="C88" s="154"/>
      <c r="D88" s="90"/>
      <c r="E88" s="89">
        <v>3</v>
      </c>
      <c r="F88" s="46" t="s">
        <v>88</v>
      </c>
      <c r="G88" s="90"/>
      <c r="H88" s="87">
        <v>800</v>
      </c>
      <c r="I88" s="90" t="s">
        <v>23</v>
      </c>
      <c r="J88" s="90"/>
      <c r="K88" s="87">
        <f t="shared" ref="K88" si="8">SUM(E88*H88)</f>
        <v>2400</v>
      </c>
      <c r="L88" s="90" t="s">
        <v>23</v>
      </c>
      <c r="M88" s="91">
        <v>0.74</v>
      </c>
      <c r="N88" s="34">
        <f t="shared" si="7"/>
        <v>852000</v>
      </c>
    </row>
    <row r="89" spans="1:36" s="70" customFormat="1" ht="12.75" customHeight="1" x14ac:dyDescent="0.2">
      <c r="A89" s="316"/>
      <c r="B89" s="154"/>
      <c r="C89" s="154"/>
      <c r="D89" s="90"/>
      <c r="E89" s="89">
        <v>1</v>
      </c>
      <c r="F89" s="25" t="s">
        <v>96</v>
      </c>
      <c r="G89" s="90"/>
      <c r="H89" s="87">
        <v>5500</v>
      </c>
      <c r="I89" s="90" t="s">
        <v>23</v>
      </c>
      <c r="J89" s="90"/>
      <c r="K89" s="87">
        <f t="shared" si="6"/>
        <v>5500</v>
      </c>
      <c r="L89" s="90" t="s">
        <v>23</v>
      </c>
      <c r="M89" s="91">
        <v>0.74</v>
      </c>
      <c r="N89" s="34">
        <f t="shared" si="7"/>
        <v>1952500</v>
      </c>
    </row>
    <row r="90" spans="1:36" ht="6" customHeight="1" x14ac:dyDescent="0.2">
      <c r="B90" s="74"/>
      <c r="C90" s="74"/>
      <c r="D90" s="27"/>
      <c r="E90" s="27"/>
      <c r="F90" s="27"/>
      <c r="G90" s="27"/>
      <c r="H90" s="27"/>
      <c r="I90" s="273"/>
      <c r="J90" s="27"/>
      <c r="K90" s="274"/>
      <c r="L90" s="27"/>
      <c r="M90" s="27"/>
      <c r="N90" s="33"/>
    </row>
    <row r="91" spans="1:36" s="22" customFormat="1" ht="25.15" customHeight="1" x14ac:dyDescent="0.2">
      <c r="A91" s="30"/>
      <c r="B91" s="154"/>
      <c r="C91" s="154" t="s">
        <v>1</v>
      </c>
      <c r="D91" s="340" t="s">
        <v>266</v>
      </c>
      <c r="E91" s="340"/>
      <c r="F91" s="340"/>
      <c r="G91" s="340"/>
      <c r="H91" s="340"/>
      <c r="I91" s="340"/>
      <c r="J91" s="340"/>
      <c r="K91" s="37">
        <v>201976</v>
      </c>
      <c r="L91" s="25" t="s">
        <v>23</v>
      </c>
      <c r="M91" s="36"/>
      <c r="N91" s="34"/>
    </row>
    <row r="92" spans="1:36" s="22" customFormat="1" ht="25.15" customHeight="1" x14ac:dyDescent="0.2">
      <c r="A92" s="30"/>
      <c r="B92" s="154"/>
      <c r="C92" s="154"/>
      <c r="D92" s="331" t="s">
        <v>265</v>
      </c>
      <c r="E92" s="331"/>
      <c r="F92" s="331"/>
      <c r="G92" s="331"/>
      <c r="H92" s="331"/>
      <c r="I92" s="331"/>
      <c r="J92" s="331"/>
      <c r="K92" s="331"/>
      <c r="L92" s="331"/>
      <c r="M92" s="36"/>
      <c r="N92" s="84">
        <f>274.69*0.8*((38948+17676)*2)</f>
        <v>24886474.495999999</v>
      </c>
    </row>
    <row r="93" spans="1:36" s="22" customFormat="1" ht="25.5" x14ac:dyDescent="0.2">
      <c r="A93" s="30"/>
      <c r="B93" s="154"/>
      <c r="C93" s="154"/>
      <c r="D93" s="92" t="s">
        <v>24</v>
      </c>
      <c r="E93" s="253">
        <v>1</v>
      </c>
      <c r="F93" s="25" t="s">
        <v>267</v>
      </c>
      <c r="G93" s="25"/>
      <c r="H93" s="37">
        <v>250</v>
      </c>
      <c r="I93" s="25" t="s">
        <v>23</v>
      </c>
      <c r="J93" s="25"/>
      <c r="K93" s="37">
        <f>SUM(E93*H93)</f>
        <v>250</v>
      </c>
      <c r="L93" s="25" t="s">
        <v>23</v>
      </c>
      <c r="M93" s="36">
        <v>0.68</v>
      </c>
      <c r="N93" s="34">
        <f t="shared" ref="N93:N94" si="9">SUM(E93*H93)/M93*274.69</f>
        <v>100988.97058823529</v>
      </c>
    </row>
    <row r="94" spans="1:36" s="13" customFormat="1" x14ac:dyDescent="0.2">
      <c r="A94" s="25"/>
      <c r="B94" s="154"/>
      <c r="C94" s="154"/>
      <c r="D94" s="25"/>
      <c r="E94" s="253">
        <v>4</v>
      </c>
      <c r="F94" s="25" t="s">
        <v>268</v>
      </c>
      <c r="G94" s="25"/>
      <c r="H94" s="37">
        <v>375</v>
      </c>
      <c r="I94" s="25" t="s">
        <v>23</v>
      </c>
      <c r="J94" s="25"/>
      <c r="K94" s="37">
        <f>SUM(E94*H94)</f>
        <v>1500</v>
      </c>
      <c r="L94" s="25" t="s">
        <v>23</v>
      </c>
      <c r="M94" s="36">
        <v>0.68</v>
      </c>
      <c r="N94" s="34">
        <f t="shared" si="9"/>
        <v>605933.82352941169</v>
      </c>
    </row>
    <row r="95" spans="1:36" ht="6" customHeight="1" x14ac:dyDescent="0.2">
      <c r="B95" s="157"/>
      <c r="C95" s="73"/>
      <c r="D95" s="27"/>
      <c r="E95" s="27"/>
      <c r="F95" s="27"/>
      <c r="G95" s="27"/>
      <c r="H95" s="27"/>
      <c r="I95" s="27"/>
      <c r="J95" s="27"/>
      <c r="K95" s="27"/>
      <c r="L95" s="27"/>
      <c r="M95" s="27"/>
      <c r="N95" s="33"/>
    </row>
    <row r="96" spans="1:36" x14ac:dyDescent="0.2">
      <c r="B96" s="154"/>
      <c r="C96" s="56" t="s">
        <v>2</v>
      </c>
      <c r="D96" s="46" t="s">
        <v>44</v>
      </c>
      <c r="E96" s="46"/>
      <c r="F96" s="46"/>
      <c r="G96" s="46"/>
      <c r="H96" s="57"/>
      <c r="I96" s="46"/>
      <c r="J96" s="46"/>
      <c r="K96" s="45">
        <v>70406</v>
      </c>
      <c r="L96" s="42" t="s">
        <v>23</v>
      </c>
      <c r="M96" s="46"/>
      <c r="N96" s="47"/>
    </row>
    <row r="97" spans="1:14" ht="54" customHeight="1" x14ac:dyDescent="0.2">
      <c r="B97" s="154"/>
      <c r="C97" s="56"/>
      <c r="D97" s="331" t="s">
        <v>264</v>
      </c>
      <c r="E97" s="331"/>
      <c r="F97" s="331"/>
      <c r="G97" s="331"/>
      <c r="H97" s="331"/>
      <c r="I97" s="331"/>
      <c r="J97" s="331"/>
      <c r="K97" s="331"/>
      <c r="L97" s="331"/>
      <c r="M97" s="46"/>
      <c r="N97" s="84">
        <f>2450773*1.2</f>
        <v>2940927.6</v>
      </c>
    </row>
    <row r="98" spans="1:14" x14ac:dyDescent="0.2">
      <c r="B98" s="154"/>
      <c r="C98" s="58"/>
      <c r="D98" s="42" t="s">
        <v>24</v>
      </c>
      <c r="E98" s="48">
        <v>1</v>
      </c>
      <c r="F98" s="42" t="s">
        <v>68</v>
      </c>
      <c r="G98" s="42"/>
      <c r="H98" s="43">
        <v>1600</v>
      </c>
      <c r="I98" s="42" t="s">
        <v>23</v>
      </c>
      <c r="J98" s="42"/>
      <c r="K98" s="37">
        <f t="shared" ref="K98:K99" si="10">SUM(E98*H98)</f>
        <v>1600</v>
      </c>
      <c r="L98" s="42" t="s">
        <v>23</v>
      </c>
      <c r="M98" s="59">
        <v>0.71</v>
      </c>
      <c r="N98" s="34">
        <f>SUM(E98*H98)/M98*265.78</f>
        <v>598940.84507042251</v>
      </c>
    </row>
    <row r="99" spans="1:14" ht="15" x14ac:dyDescent="0.25">
      <c r="B99" s="154"/>
      <c r="C99" s="60"/>
      <c r="D99" s="46"/>
      <c r="E99" s="49">
        <v>1</v>
      </c>
      <c r="F99" s="46" t="s">
        <v>95</v>
      </c>
      <c r="G99" s="46"/>
      <c r="H99" s="43">
        <v>300</v>
      </c>
      <c r="I99" s="42" t="s">
        <v>23</v>
      </c>
      <c r="J99" s="42"/>
      <c r="K99" s="37">
        <f t="shared" si="10"/>
        <v>300</v>
      </c>
      <c r="L99" s="42" t="s">
        <v>23</v>
      </c>
      <c r="M99" s="61">
        <v>0.71</v>
      </c>
      <c r="N99" s="34">
        <f t="shared" ref="N99:N101" si="11">SUM(E99*H99)/M99*265.78</f>
        <v>112301.40845070421</v>
      </c>
    </row>
    <row r="100" spans="1:14" s="70" customFormat="1" x14ac:dyDescent="0.2">
      <c r="A100" s="316"/>
      <c r="B100" s="154"/>
      <c r="C100" s="154"/>
      <c r="D100" s="25"/>
      <c r="E100" s="253">
        <v>1</v>
      </c>
      <c r="F100" s="346" t="s">
        <v>92</v>
      </c>
      <c r="G100" s="346"/>
      <c r="H100" s="37">
        <v>900</v>
      </c>
      <c r="I100" s="25" t="s">
        <v>23</v>
      </c>
      <c r="J100" s="25"/>
      <c r="K100" s="37">
        <f>SUM(E100*H100)</f>
        <v>900</v>
      </c>
      <c r="L100" s="25" t="s">
        <v>23</v>
      </c>
      <c r="M100" s="36">
        <v>0.71</v>
      </c>
      <c r="N100" s="34">
        <f t="shared" si="11"/>
        <v>336904.22535211267</v>
      </c>
    </row>
    <row r="101" spans="1:14" s="70" customFormat="1" x14ac:dyDescent="0.2">
      <c r="A101" s="316"/>
      <c r="B101" s="154"/>
      <c r="C101" s="154"/>
      <c r="D101" s="25"/>
      <c r="E101" s="253">
        <v>3</v>
      </c>
      <c r="F101" s="25" t="s">
        <v>94</v>
      </c>
      <c r="G101" s="25"/>
      <c r="H101" s="37">
        <v>1000</v>
      </c>
      <c r="I101" s="25" t="s">
        <v>23</v>
      </c>
      <c r="J101" s="25"/>
      <c r="K101" s="37">
        <f>SUM(E101*H101)</f>
        <v>3000</v>
      </c>
      <c r="L101" s="25" t="s">
        <v>23</v>
      </c>
      <c r="M101" s="36">
        <v>0.71</v>
      </c>
      <c r="N101" s="34">
        <f t="shared" si="11"/>
        <v>1123014.0845070423</v>
      </c>
    </row>
    <row r="102" spans="1:14" s="24" customFormat="1" x14ac:dyDescent="0.2">
      <c r="A102" s="280"/>
      <c r="B102" s="154"/>
      <c r="C102" s="154"/>
      <c r="D102" s="92"/>
      <c r="E102" s="253">
        <v>4</v>
      </c>
      <c r="F102" s="25" t="s">
        <v>88</v>
      </c>
      <c r="G102" s="25"/>
      <c r="H102" s="37">
        <v>750</v>
      </c>
      <c r="I102" s="50" t="s">
        <v>23</v>
      </c>
      <c r="J102" s="258"/>
      <c r="K102" s="37">
        <f>SUM(E102*H102)</f>
        <v>3000</v>
      </c>
      <c r="L102" s="50" t="s">
        <v>23</v>
      </c>
      <c r="M102" s="36">
        <v>0.71</v>
      </c>
      <c r="N102" s="34">
        <f>SUM(E102*H102)/M102*265.78</f>
        <v>1123014.0845070423</v>
      </c>
    </row>
    <row r="103" spans="1:14" ht="6" customHeight="1" x14ac:dyDescent="0.2">
      <c r="B103" s="157"/>
      <c r="C103" s="73"/>
      <c r="D103" s="27"/>
      <c r="E103" s="27"/>
      <c r="F103" s="27"/>
      <c r="G103" s="27"/>
      <c r="H103" s="27"/>
      <c r="I103" s="27"/>
      <c r="J103" s="27"/>
      <c r="K103" s="275"/>
      <c r="L103" s="27"/>
      <c r="M103" s="27"/>
      <c r="N103" s="33"/>
    </row>
    <row r="104" spans="1:14" x14ac:dyDescent="0.2">
      <c r="B104" s="154"/>
      <c r="C104" s="56" t="s">
        <v>3</v>
      </c>
      <c r="D104" s="46" t="s">
        <v>66</v>
      </c>
      <c r="E104" s="62"/>
      <c r="F104" s="46"/>
      <c r="G104" s="46"/>
      <c r="H104" s="57"/>
      <c r="I104" s="46"/>
      <c r="J104" s="46"/>
      <c r="K104" s="45">
        <v>63142</v>
      </c>
      <c r="L104" s="42" t="s">
        <v>23</v>
      </c>
      <c r="M104" s="46"/>
      <c r="N104" s="47"/>
    </row>
    <row r="105" spans="1:14" ht="54" customHeight="1" x14ac:dyDescent="0.2">
      <c r="B105" s="154"/>
      <c r="C105" s="56"/>
      <c r="D105" s="331" t="s">
        <v>182</v>
      </c>
      <c r="E105" s="331"/>
      <c r="F105" s="331"/>
      <c r="G105" s="331"/>
      <c r="H105" s="331"/>
      <c r="I105" s="331"/>
      <c r="J105" s="331"/>
      <c r="K105" s="331"/>
      <c r="L105" s="331"/>
      <c r="M105" s="46"/>
      <c r="N105" s="84">
        <f>4420546*1.5</f>
        <v>6630819</v>
      </c>
    </row>
    <row r="106" spans="1:14" s="70" customFormat="1" ht="12.75" customHeight="1" x14ac:dyDescent="0.2">
      <c r="A106" s="316"/>
      <c r="B106" s="154"/>
      <c r="C106" s="154"/>
      <c r="D106" s="46" t="s">
        <v>24</v>
      </c>
      <c r="E106" s="253">
        <v>1</v>
      </c>
      <c r="F106" s="25" t="s">
        <v>90</v>
      </c>
      <c r="G106" s="25"/>
      <c r="H106" s="37">
        <v>825</v>
      </c>
      <c r="I106" s="90" t="s">
        <v>23</v>
      </c>
      <c r="J106" s="90"/>
      <c r="K106" s="87">
        <f t="shared" ref="K106:K108" si="12">SUM(E106*H106)</f>
        <v>825</v>
      </c>
      <c r="L106" s="90" t="s">
        <v>23</v>
      </c>
      <c r="M106" s="91">
        <v>0.74</v>
      </c>
      <c r="N106" s="34">
        <f>SUM(E106*H106)/M106*262.7</f>
        <v>292874.99999999994</v>
      </c>
    </row>
    <row r="107" spans="1:14" s="70" customFormat="1" ht="12.75" customHeight="1" x14ac:dyDescent="0.2">
      <c r="A107" s="316"/>
      <c r="B107" s="154"/>
      <c r="C107" s="154"/>
      <c r="D107" s="90"/>
      <c r="E107" s="253">
        <v>3</v>
      </c>
      <c r="F107" s="25" t="s">
        <v>93</v>
      </c>
      <c r="G107" s="25"/>
      <c r="H107" s="37">
        <v>375</v>
      </c>
      <c r="I107" s="90" t="s">
        <v>23</v>
      </c>
      <c r="J107" s="90"/>
      <c r="K107" s="87">
        <f t="shared" si="12"/>
        <v>1125</v>
      </c>
      <c r="L107" s="90" t="s">
        <v>23</v>
      </c>
      <c r="M107" s="91">
        <v>0.74</v>
      </c>
      <c r="N107" s="34">
        <f t="shared" ref="N107:N108" si="13">SUM(E107*H107)/M107*262.7</f>
        <v>399374.99999999994</v>
      </c>
    </row>
    <row r="108" spans="1:14" s="70" customFormat="1" ht="12.75" customHeight="1" x14ac:dyDescent="0.2">
      <c r="A108" s="316"/>
      <c r="B108" s="154"/>
      <c r="C108" s="154"/>
      <c r="D108" s="90"/>
      <c r="E108" s="89">
        <v>1</v>
      </c>
      <c r="F108" s="90" t="s">
        <v>97</v>
      </c>
      <c r="G108" s="90"/>
      <c r="H108" s="87">
        <v>800</v>
      </c>
      <c r="I108" s="90" t="s">
        <v>23</v>
      </c>
      <c r="J108" s="90"/>
      <c r="K108" s="87">
        <f t="shared" si="12"/>
        <v>800</v>
      </c>
      <c r="L108" s="90" t="s">
        <v>23</v>
      </c>
      <c r="M108" s="91">
        <v>0.74</v>
      </c>
      <c r="N108" s="34">
        <f t="shared" si="13"/>
        <v>284000</v>
      </c>
    </row>
    <row r="109" spans="1:14" s="24" customFormat="1" x14ac:dyDescent="0.2">
      <c r="A109" s="280"/>
      <c r="B109" s="154"/>
      <c r="C109" s="154"/>
      <c r="D109" s="92"/>
      <c r="E109" s="253">
        <v>4</v>
      </c>
      <c r="F109" s="25" t="s">
        <v>88</v>
      </c>
      <c r="G109" s="25"/>
      <c r="H109" s="37">
        <v>800</v>
      </c>
      <c r="I109" s="50" t="s">
        <v>23</v>
      </c>
      <c r="J109" s="258"/>
      <c r="K109" s="37">
        <f>SUM(E109*H109)</f>
        <v>3200</v>
      </c>
      <c r="L109" s="50" t="s">
        <v>23</v>
      </c>
      <c r="M109" s="36">
        <v>0.74</v>
      </c>
      <c r="N109" s="34">
        <f>SUM(E109*H109)/M109*262.7</f>
        <v>1136000</v>
      </c>
    </row>
    <row r="110" spans="1:14" ht="6" customHeight="1" x14ac:dyDescent="0.2">
      <c r="B110" s="157"/>
      <c r="C110" s="73"/>
      <c r="D110" s="27"/>
      <c r="E110" s="27"/>
      <c r="F110" s="27"/>
      <c r="G110" s="27"/>
      <c r="H110" s="27"/>
      <c r="I110" s="27"/>
      <c r="J110" s="27"/>
      <c r="K110" s="275"/>
      <c r="L110" s="27"/>
      <c r="M110" s="27"/>
      <c r="N110" s="33"/>
    </row>
    <row r="111" spans="1:14" x14ac:dyDescent="0.2">
      <c r="B111" s="154"/>
      <c r="C111" s="56" t="s">
        <v>4</v>
      </c>
      <c r="D111" s="46" t="s">
        <v>81</v>
      </c>
      <c r="E111" s="46"/>
      <c r="F111" s="46"/>
      <c r="G111" s="46"/>
      <c r="H111" s="57"/>
      <c r="I111" s="46"/>
      <c r="J111" s="46"/>
      <c r="K111" s="45">
        <v>86607</v>
      </c>
      <c r="L111" s="42" t="s">
        <v>23</v>
      </c>
      <c r="M111" s="46"/>
      <c r="N111" s="47"/>
    </row>
    <row r="112" spans="1:14" ht="41.25" customHeight="1" x14ac:dyDescent="0.2">
      <c r="B112" s="154"/>
      <c r="C112" s="56"/>
      <c r="D112" s="331" t="s">
        <v>179</v>
      </c>
      <c r="E112" s="331"/>
      <c r="F112" s="331"/>
      <c r="G112" s="331"/>
      <c r="H112" s="331"/>
      <c r="I112" s="331"/>
      <c r="J112" s="331"/>
      <c r="K112" s="331"/>
      <c r="L112" s="331"/>
      <c r="M112" s="46"/>
      <c r="N112" s="84">
        <f>1836842*1.2</f>
        <v>2204210.4</v>
      </c>
    </row>
    <row r="113" spans="1:14" x14ac:dyDescent="0.2">
      <c r="B113" s="154"/>
      <c r="C113" s="58"/>
      <c r="D113" s="42" t="s">
        <v>24</v>
      </c>
      <c r="E113" s="48">
        <v>4</v>
      </c>
      <c r="F113" s="42" t="s">
        <v>70</v>
      </c>
      <c r="G113" s="42"/>
      <c r="H113" s="43">
        <v>375</v>
      </c>
      <c r="I113" s="42" t="s">
        <v>23</v>
      </c>
      <c r="J113" s="42"/>
      <c r="K113" s="37">
        <f t="shared" ref="K113:K114" si="14">SUM(E113*H113)</f>
        <v>1500</v>
      </c>
      <c r="L113" s="42" t="s">
        <v>23</v>
      </c>
      <c r="M113" s="59">
        <v>0.71</v>
      </c>
      <c r="N113" s="34">
        <f>SUM(E113*H113)/M113*265.78</f>
        <v>561507.04225352115</v>
      </c>
    </row>
    <row r="114" spans="1:14" ht="15" x14ac:dyDescent="0.25">
      <c r="B114" s="154"/>
      <c r="C114" s="60"/>
      <c r="D114" s="46"/>
      <c r="E114" s="49">
        <v>1</v>
      </c>
      <c r="F114" s="46" t="s">
        <v>95</v>
      </c>
      <c r="G114" s="46"/>
      <c r="H114" s="43">
        <v>300</v>
      </c>
      <c r="I114" s="42" t="s">
        <v>23</v>
      </c>
      <c r="J114" s="42"/>
      <c r="K114" s="37">
        <f t="shared" si="14"/>
        <v>300</v>
      </c>
      <c r="L114" s="42" t="s">
        <v>23</v>
      </c>
      <c r="M114" s="61">
        <v>0.71</v>
      </c>
      <c r="N114" s="34">
        <f t="shared" ref="N114:N116" si="15">SUM(E114*H114)/M114*265.78</f>
        <v>112301.40845070421</v>
      </c>
    </row>
    <row r="115" spans="1:14" s="70" customFormat="1" x14ac:dyDescent="0.2">
      <c r="A115" s="316"/>
      <c r="B115" s="154"/>
      <c r="C115" s="154"/>
      <c r="D115" s="25"/>
      <c r="E115" s="253">
        <v>4</v>
      </c>
      <c r="F115" s="25" t="s">
        <v>88</v>
      </c>
      <c r="G115" s="25"/>
      <c r="H115" s="37">
        <v>750</v>
      </c>
      <c r="I115" s="25" t="s">
        <v>23</v>
      </c>
      <c r="J115" s="25"/>
      <c r="K115" s="37">
        <f>SUM(E115*H115)</f>
        <v>3000</v>
      </c>
      <c r="L115" s="25" t="s">
        <v>23</v>
      </c>
      <c r="M115" s="36">
        <v>0.71</v>
      </c>
      <c r="N115" s="34">
        <f t="shared" si="15"/>
        <v>1123014.0845070423</v>
      </c>
    </row>
    <row r="116" spans="1:14" s="70" customFormat="1" x14ac:dyDescent="0.2">
      <c r="A116" s="316"/>
      <c r="B116" s="154"/>
      <c r="C116" s="154"/>
      <c r="D116" s="25"/>
      <c r="E116" s="253">
        <v>1</v>
      </c>
      <c r="F116" s="25" t="s">
        <v>92</v>
      </c>
      <c r="G116" s="25"/>
      <c r="H116" s="37">
        <v>900</v>
      </c>
      <c r="I116" s="25" t="s">
        <v>23</v>
      </c>
      <c r="J116" s="25"/>
      <c r="K116" s="37">
        <f>SUM(E116*H116)</f>
        <v>900</v>
      </c>
      <c r="L116" s="25" t="s">
        <v>23</v>
      </c>
      <c r="M116" s="36">
        <v>0.71</v>
      </c>
      <c r="N116" s="34">
        <f t="shared" si="15"/>
        <v>336904.22535211267</v>
      </c>
    </row>
    <row r="117" spans="1:14" ht="6" customHeight="1" x14ac:dyDescent="0.2">
      <c r="B117" s="157"/>
      <c r="C117" s="73"/>
      <c r="D117" s="27"/>
      <c r="E117" s="27"/>
      <c r="F117" s="27"/>
      <c r="G117" s="27"/>
      <c r="H117" s="27"/>
      <c r="I117" s="27"/>
      <c r="J117" s="27"/>
      <c r="K117" s="275"/>
      <c r="L117" s="27"/>
      <c r="M117" s="27"/>
      <c r="N117" s="33"/>
    </row>
    <row r="118" spans="1:14" x14ac:dyDescent="0.2">
      <c r="B118" s="154"/>
      <c r="C118" s="56" t="s">
        <v>86</v>
      </c>
      <c r="D118" s="46" t="s">
        <v>82</v>
      </c>
      <c r="E118" s="46"/>
      <c r="F118" s="46"/>
      <c r="G118" s="46"/>
      <c r="H118" s="57"/>
      <c r="I118" s="46"/>
      <c r="J118" s="46"/>
      <c r="K118" s="45">
        <v>51254</v>
      </c>
      <c r="L118" s="42" t="s">
        <v>23</v>
      </c>
      <c r="M118" s="46"/>
      <c r="N118" s="47"/>
    </row>
    <row r="119" spans="1:14" ht="54" customHeight="1" x14ac:dyDescent="0.2">
      <c r="B119" s="154"/>
      <c r="C119" s="56"/>
      <c r="D119" s="331" t="s">
        <v>181</v>
      </c>
      <c r="E119" s="331"/>
      <c r="F119" s="331"/>
      <c r="G119" s="331"/>
      <c r="H119" s="331"/>
      <c r="I119" s="331"/>
      <c r="J119" s="331"/>
      <c r="K119" s="331"/>
      <c r="L119" s="331"/>
      <c r="M119" s="46"/>
      <c r="N119" s="47">
        <f>3631852*1.2</f>
        <v>4358222.3999999994</v>
      </c>
    </row>
    <row r="120" spans="1:14" x14ac:dyDescent="0.2">
      <c r="B120" s="154"/>
      <c r="C120" s="56"/>
      <c r="D120" s="46" t="s">
        <v>24</v>
      </c>
      <c r="E120" s="49">
        <v>1</v>
      </c>
      <c r="F120" s="46" t="s">
        <v>83</v>
      </c>
      <c r="G120" s="46"/>
      <c r="H120" s="43">
        <v>1200</v>
      </c>
      <c r="I120" s="42" t="s">
        <v>23</v>
      </c>
      <c r="J120" s="42"/>
      <c r="K120" s="87">
        <f t="shared" ref="K120:K122" si="16">SUM(E120*H120)</f>
        <v>1200</v>
      </c>
      <c r="L120" s="42" t="s">
        <v>23</v>
      </c>
      <c r="M120" s="61">
        <v>0.74</v>
      </c>
      <c r="N120" s="34">
        <f>SUM(E120*H120)/M120*262.7</f>
        <v>426000</v>
      </c>
    </row>
    <row r="121" spans="1:14" x14ac:dyDescent="0.2">
      <c r="B121" s="154"/>
      <c r="C121" s="56"/>
      <c r="D121" s="46"/>
      <c r="E121" s="49">
        <v>1</v>
      </c>
      <c r="F121" s="46" t="s">
        <v>69</v>
      </c>
      <c r="G121" s="46"/>
      <c r="H121" s="43">
        <v>300</v>
      </c>
      <c r="I121" s="42" t="s">
        <v>23</v>
      </c>
      <c r="J121" s="42"/>
      <c r="K121" s="87">
        <f t="shared" si="16"/>
        <v>300</v>
      </c>
      <c r="L121" s="42" t="s">
        <v>23</v>
      </c>
      <c r="M121" s="61">
        <v>0.74</v>
      </c>
      <c r="N121" s="34">
        <f t="shared" ref="N121:N122" si="17">SUM(E121*H121)/M121*262.7</f>
        <v>106500</v>
      </c>
    </row>
    <row r="122" spans="1:14" s="70" customFormat="1" ht="12.75" customHeight="1" x14ac:dyDescent="0.2">
      <c r="A122" s="316"/>
      <c r="B122" s="154"/>
      <c r="C122" s="154"/>
      <c r="D122" s="90"/>
      <c r="E122" s="89">
        <v>6</v>
      </c>
      <c r="F122" s="46" t="s">
        <v>88</v>
      </c>
      <c r="G122" s="90"/>
      <c r="H122" s="87">
        <v>800</v>
      </c>
      <c r="I122" s="90" t="s">
        <v>23</v>
      </c>
      <c r="J122" s="90"/>
      <c r="K122" s="87">
        <f t="shared" si="16"/>
        <v>4800</v>
      </c>
      <c r="L122" s="90" t="s">
        <v>23</v>
      </c>
      <c r="M122" s="91">
        <v>0.74</v>
      </c>
      <c r="N122" s="34">
        <f t="shared" si="17"/>
        <v>1704000</v>
      </c>
    </row>
    <row r="123" spans="1:14" ht="6" customHeight="1" x14ac:dyDescent="0.2">
      <c r="B123" s="157"/>
      <c r="C123" s="73"/>
      <c r="D123" s="27"/>
      <c r="E123" s="27"/>
      <c r="F123" s="27"/>
      <c r="G123" s="27"/>
      <c r="H123" s="27"/>
      <c r="I123" s="27"/>
      <c r="J123" s="27"/>
      <c r="K123" s="275"/>
      <c r="L123" s="27"/>
      <c r="M123" s="27"/>
      <c r="N123" s="33"/>
    </row>
    <row r="124" spans="1:14" x14ac:dyDescent="0.2">
      <c r="B124" s="154"/>
      <c r="C124" s="56" t="s">
        <v>80</v>
      </c>
      <c r="D124" s="46" t="s">
        <v>41</v>
      </c>
      <c r="E124" s="46"/>
      <c r="F124" s="46"/>
      <c r="G124" s="46"/>
      <c r="H124" s="57"/>
      <c r="I124" s="46"/>
      <c r="J124" s="46"/>
      <c r="K124" s="45">
        <v>201357</v>
      </c>
      <c r="L124" s="42" t="s">
        <v>23</v>
      </c>
      <c r="M124" s="46"/>
      <c r="N124" s="47"/>
    </row>
    <row r="125" spans="1:14" ht="30.75" customHeight="1" x14ac:dyDescent="0.2">
      <c r="B125" s="154"/>
      <c r="C125" s="56"/>
      <c r="D125" s="345" t="s">
        <v>85</v>
      </c>
      <c r="E125" s="345"/>
      <c r="F125" s="345"/>
      <c r="G125" s="345"/>
      <c r="H125" s="345"/>
      <c r="I125" s="345"/>
      <c r="J125" s="345"/>
      <c r="K125" s="345"/>
      <c r="L125" s="345"/>
      <c r="M125" s="46"/>
      <c r="N125" s="47">
        <f>3057950*1.2</f>
        <v>3669540</v>
      </c>
    </row>
    <row r="126" spans="1:14" s="24" customFormat="1" ht="25.5" x14ac:dyDescent="0.2">
      <c r="A126" s="280"/>
      <c r="B126" s="154"/>
      <c r="C126" s="154"/>
      <c r="D126" s="92" t="s">
        <v>24</v>
      </c>
      <c r="E126" s="253">
        <v>3</v>
      </c>
      <c r="F126" s="25" t="s">
        <v>89</v>
      </c>
      <c r="G126" s="25"/>
      <c r="H126" s="37">
        <v>375</v>
      </c>
      <c r="I126" s="25" t="s">
        <v>23</v>
      </c>
      <c r="J126" s="25"/>
      <c r="K126" s="37">
        <f>SUM(E126*H126)</f>
        <v>1125</v>
      </c>
      <c r="L126" s="25" t="s">
        <v>23</v>
      </c>
      <c r="M126" s="36">
        <v>0.68</v>
      </c>
      <c r="N126" s="34">
        <f t="shared" ref="N126:N127" si="18">SUM(E126*H126)/M126*274.69</f>
        <v>454450.3676470588</v>
      </c>
    </row>
    <row r="127" spans="1:14" s="70" customFormat="1" x14ac:dyDescent="0.2">
      <c r="A127" s="316"/>
      <c r="B127" s="154"/>
      <c r="C127" s="154"/>
      <c r="D127" s="25"/>
      <c r="E127" s="253">
        <v>5</v>
      </c>
      <c r="F127" s="25" t="s">
        <v>91</v>
      </c>
      <c r="G127" s="25"/>
      <c r="H127" s="37">
        <v>1000</v>
      </c>
      <c r="I127" s="25" t="s">
        <v>23</v>
      </c>
      <c r="J127" s="25"/>
      <c r="K127" s="37">
        <f>SUM(E127*H127)</f>
        <v>5000</v>
      </c>
      <c r="L127" s="25" t="s">
        <v>23</v>
      </c>
      <c r="M127" s="36">
        <v>0.68</v>
      </c>
      <c r="N127" s="34">
        <f t="shared" si="18"/>
        <v>2019779.4117647056</v>
      </c>
    </row>
    <row r="128" spans="1:14" s="155" customFormat="1" ht="6" customHeight="1" x14ac:dyDescent="0.2">
      <c r="B128" s="157"/>
      <c r="C128" s="73"/>
      <c r="D128" s="27"/>
      <c r="E128" s="27"/>
      <c r="F128" s="27"/>
      <c r="G128" s="27"/>
      <c r="H128" s="27"/>
      <c r="I128" s="27"/>
      <c r="J128" s="27"/>
      <c r="K128" s="275"/>
      <c r="L128" s="27"/>
      <c r="M128" s="27"/>
      <c r="N128" s="33"/>
    </row>
    <row r="129" spans="1:14" x14ac:dyDescent="0.2">
      <c r="B129" s="154"/>
      <c r="C129" s="56" t="s">
        <v>126</v>
      </c>
      <c r="D129" s="46" t="s">
        <v>132</v>
      </c>
      <c r="E129" s="46"/>
      <c r="F129" s="46"/>
      <c r="G129" s="46"/>
      <c r="H129" s="341">
        <v>2005</v>
      </c>
      <c r="I129" s="341"/>
      <c r="J129" s="46"/>
      <c r="K129" s="45">
        <v>67036</v>
      </c>
      <c r="L129" s="42" t="s">
        <v>23</v>
      </c>
      <c r="M129" s="46"/>
      <c r="N129" s="47"/>
    </row>
    <row r="130" spans="1:14" ht="30.6" customHeight="1" x14ac:dyDescent="0.2">
      <c r="B130" s="154"/>
      <c r="C130" s="56"/>
      <c r="D130" s="331" t="s">
        <v>259</v>
      </c>
      <c r="E130" s="331"/>
      <c r="F130" s="331"/>
      <c r="G130" s="331"/>
      <c r="H130" s="331"/>
      <c r="I130" s="331"/>
      <c r="J130" s="331"/>
      <c r="K130" s="331"/>
      <c r="L130" s="331"/>
      <c r="M130" s="46"/>
      <c r="N130" s="84">
        <f>K129*47.5+K129*6.47</f>
        <v>3617932.92</v>
      </c>
    </row>
    <row r="131" spans="1:14" ht="6" customHeight="1" x14ac:dyDescent="0.2">
      <c r="B131" s="157"/>
      <c r="C131" s="73"/>
      <c r="D131" s="27"/>
      <c r="E131" s="27"/>
      <c r="F131" s="27"/>
      <c r="G131" s="27"/>
      <c r="H131" s="27"/>
      <c r="I131" s="27"/>
      <c r="J131" s="27"/>
      <c r="K131" s="27"/>
      <c r="L131" s="27"/>
      <c r="M131" s="27"/>
      <c r="N131" s="33"/>
    </row>
    <row r="132" spans="1:14" x14ac:dyDescent="0.2">
      <c r="B132" s="154"/>
      <c r="C132" s="56" t="s">
        <v>129</v>
      </c>
      <c r="D132" s="46" t="s">
        <v>134</v>
      </c>
      <c r="E132" s="46"/>
      <c r="F132" s="46"/>
      <c r="G132" s="46"/>
      <c r="H132" s="57"/>
      <c r="I132" s="46">
        <v>2015</v>
      </c>
      <c r="J132" s="46"/>
      <c r="K132" s="45">
        <v>91300</v>
      </c>
      <c r="L132" s="42" t="s">
        <v>23</v>
      </c>
      <c r="M132" s="46"/>
      <c r="N132" s="47"/>
    </row>
    <row r="133" spans="1:14" s="24" customFormat="1" ht="25.5" x14ac:dyDescent="0.2">
      <c r="A133" s="280"/>
      <c r="B133" s="154"/>
      <c r="C133" s="154"/>
      <c r="D133" s="92" t="s">
        <v>24</v>
      </c>
      <c r="E133" s="253">
        <v>4</v>
      </c>
      <c r="F133" s="25" t="s">
        <v>268</v>
      </c>
      <c r="G133" s="25"/>
      <c r="H133" s="37">
        <v>800</v>
      </c>
      <c r="I133" s="50" t="s">
        <v>23</v>
      </c>
      <c r="J133" s="258"/>
      <c r="K133" s="37">
        <f>SUM(E133*H133)</f>
        <v>3200</v>
      </c>
      <c r="L133" s="50" t="s">
        <v>23</v>
      </c>
      <c r="M133" s="36">
        <v>0.74</v>
      </c>
      <c r="N133" s="34">
        <f>SUM(E133*H133)/M133*262.7</f>
        <v>1136000</v>
      </c>
    </row>
    <row r="134" spans="1:14" ht="6" customHeight="1" x14ac:dyDescent="0.2">
      <c r="B134" s="157"/>
      <c r="C134" s="73"/>
      <c r="D134" s="27"/>
      <c r="E134" s="27"/>
      <c r="F134" s="27"/>
      <c r="G134" s="27"/>
      <c r="H134" s="27"/>
      <c r="I134" s="27"/>
      <c r="J134" s="27"/>
      <c r="K134" s="27"/>
      <c r="L134" s="27"/>
      <c r="M134" s="27"/>
      <c r="N134" s="33"/>
    </row>
    <row r="135" spans="1:14" x14ac:dyDescent="0.2">
      <c r="B135" s="154"/>
      <c r="C135" s="56" t="s">
        <v>153</v>
      </c>
      <c r="D135" s="46" t="s">
        <v>135</v>
      </c>
      <c r="E135" s="46"/>
      <c r="F135" s="46"/>
      <c r="G135" s="46"/>
      <c r="H135" s="57"/>
      <c r="I135" s="46">
        <v>2008</v>
      </c>
      <c r="J135" s="46"/>
      <c r="K135" s="45">
        <v>67036</v>
      </c>
      <c r="L135" s="42" t="s">
        <v>23</v>
      </c>
      <c r="M135" s="46"/>
      <c r="N135" s="47"/>
    </row>
    <row r="136" spans="1:14" ht="30.6" customHeight="1" x14ac:dyDescent="0.2">
      <c r="B136" s="154"/>
      <c r="C136" s="56"/>
      <c r="D136" s="331" t="s">
        <v>258</v>
      </c>
      <c r="E136" s="331"/>
      <c r="F136" s="331"/>
      <c r="G136" s="331"/>
      <c r="H136" s="331"/>
      <c r="I136" s="331"/>
      <c r="J136" s="331"/>
      <c r="K136" s="331"/>
      <c r="L136" s="331"/>
      <c r="M136" s="46"/>
      <c r="N136" s="84">
        <f>K135*47.5+K135*6.47</f>
        <v>3617932.92</v>
      </c>
    </row>
    <row r="137" spans="1:14" s="24" customFormat="1" ht="25.5" x14ac:dyDescent="0.2">
      <c r="A137" s="280"/>
      <c r="B137" s="154"/>
      <c r="C137" s="154"/>
      <c r="D137" s="92" t="s">
        <v>24</v>
      </c>
      <c r="E137" s="253">
        <v>4</v>
      </c>
      <c r="F137" s="25" t="s">
        <v>88</v>
      </c>
      <c r="G137" s="25"/>
      <c r="H137" s="37">
        <v>800</v>
      </c>
      <c r="I137" s="50" t="s">
        <v>23</v>
      </c>
      <c r="J137" s="258"/>
      <c r="K137" s="37">
        <f>SUM(E137*H137)</f>
        <v>3200</v>
      </c>
      <c r="L137" s="50" t="s">
        <v>23</v>
      </c>
      <c r="M137" s="36">
        <v>0.74</v>
      </c>
      <c r="N137" s="34">
        <f>SUM(E137*H137)/M137*262.7</f>
        <v>1136000</v>
      </c>
    </row>
    <row r="138" spans="1:14" ht="6" customHeight="1" x14ac:dyDescent="0.2">
      <c r="B138" s="157"/>
      <c r="C138" s="73"/>
      <c r="D138" s="27"/>
      <c r="E138" s="27"/>
      <c r="F138" s="27"/>
      <c r="G138" s="27"/>
      <c r="H138" s="27"/>
      <c r="I138" s="27"/>
      <c r="J138" s="27"/>
      <c r="K138" s="27"/>
      <c r="L138" s="27"/>
      <c r="M138" s="27"/>
      <c r="N138" s="33"/>
    </row>
    <row r="139" spans="1:14" x14ac:dyDescent="0.2">
      <c r="B139" s="154"/>
      <c r="C139" s="56" t="s">
        <v>130</v>
      </c>
      <c r="D139" s="46" t="s">
        <v>136</v>
      </c>
      <c r="E139" s="46"/>
      <c r="F139" s="46"/>
      <c r="G139" s="46"/>
      <c r="H139" s="57"/>
      <c r="I139" s="46">
        <v>2004</v>
      </c>
      <c r="J139" s="46"/>
      <c r="K139" s="45">
        <v>67036</v>
      </c>
      <c r="L139" s="42" t="s">
        <v>23</v>
      </c>
      <c r="M139" s="46"/>
      <c r="N139" s="47"/>
    </row>
    <row r="140" spans="1:14" ht="30.6" customHeight="1" x14ac:dyDescent="0.2">
      <c r="B140" s="154"/>
      <c r="C140" s="56"/>
      <c r="D140" s="331" t="s">
        <v>258</v>
      </c>
      <c r="E140" s="331"/>
      <c r="F140" s="331"/>
      <c r="G140" s="331"/>
      <c r="H140" s="331"/>
      <c r="I140" s="331"/>
      <c r="J140" s="331"/>
      <c r="K140" s="331"/>
      <c r="L140" s="331"/>
      <c r="M140" s="46"/>
      <c r="N140" s="84">
        <f>K139*47.5+K139*6.47</f>
        <v>3617932.92</v>
      </c>
    </row>
    <row r="141" spans="1:14" s="24" customFormat="1" ht="25.5" x14ac:dyDescent="0.2">
      <c r="A141" s="280"/>
      <c r="B141" s="154"/>
      <c r="C141" s="154"/>
      <c r="D141" s="92" t="s">
        <v>24</v>
      </c>
      <c r="E141" s="253">
        <v>4</v>
      </c>
      <c r="F141" s="25" t="s">
        <v>268</v>
      </c>
      <c r="G141" s="25"/>
      <c r="H141" s="37">
        <v>800</v>
      </c>
      <c r="I141" s="50" t="s">
        <v>23</v>
      </c>
      <c r="J141" s="258"/>
      <c r="K141" s="37">
        <f>SUM(E141*H141)</f>
        <v>3200</v>
      </c>
      <c r="L141" s="50" t="s">
        <v>23</v>
      </c>
      <c r="M141" s="36">
        <v>0.74</v>
      </c>
      <c r="N141" s="34">
        <f>SUM(E141*H141)/M141*262.7</f>
        <v>1136000</v>
      </c>
    </row>
    <row r="142" spans="1:14" ht="6" customHeight="1" x14ac:dyDescent="0.2">
      <c r="B142" s="157"/>
      <c r="C142" s="73"/>
      <c r="D142" s="27"/>
      <c r="E142" s="27"/>
      <c r="F142" s="27"/>
      <c r="G142" s="27"/>
      <c r="H142" s="27"/>
      <c r="I142" s="27"/>
      <c r="J142" s="27"/>
      <c r="K142" s="27"/>
      <c r="L142" s="27"/>
      <c r="M142" s="27"/>
      <c r="N142" s="33"/>
    </row>
    <row r="143" spans="1:14" x14ac:dyDescent="0.2">
      <c r="B143" s="154"/>
      <c r="C143" s="56" t="s">
        <v>131</v>
      </c>
      <c r="D143" s="46" t="s">
        <v>146</v>
      </c>
      <c r="E143" s="46"/>
      <c r="F143" s="46"/>
      <c r="G143" s="46"/>
      <c r="H143" s="57"/>
      <c r="I143" s="324" t="s">
        <v>269</v>
      </c>
      <c r="J143" s="46"/>
      <c r="K143" s="45">
        <v>55386</v>
      </c>
      <c r="L143" s="42" t="s">
        <v>23</v>
      </c>
      <c r="M143" s="46"/>
      <c r="N143" s="47"/>
    </row>
    <row r="144" spans="1:14" ht="30.6" customHeight="1" x14ac:dyDescent="0.2">
      <c r="B144" s="154"/>
      <c r="C144" s="56"/>
      <c r="D144" s="331" t="s">
        <v>258</v>
      </c>
      <c r="E144" s="331"/>
      <c r="F144" s="331"/>
      <c r="G144" s="331"/>
      <c r="H144" s="331"/>
      <c r="I144" s="331"/>
      <c r="J144" s="331"/>
      <c r="K144" s="331"/>
      <c r="L144" s="331"/>
      <c r="M144" s="46"/>
      <c r="N144" s="84">
        <f>K143*47.5+K143*6.47</f>
        <v>2989182.42</v>
      </c>
    </row>
    <row r="145" spans="1:14" s="24" customFormat="1" ht="25.5" x14ac:dyDescent="0.2">
      <c r="A145" s="280"/>
      <c r="B145" s="154"/>
      <c r="C145" s="154"/>
      <c r="D145" s="92" t="s">
        <v>24</v>
      </c>
      <c r="E145" s="253">
        <v>4</v>
      </c>
      <c r="F145" s="25" t="s">
        <v>88</v>
      </c>
      <c r="G145" s="25"/>
      <c r="H145" s="37">
        <v>800</v>
      </c>
      <c r="I145" s="50" t="s">
        <v>23</v>
      </c>
      <c r="J145" s="258"/>
      <c r="K145" s="37">
        <f>SUM(E145*H145)</f>
        <v>3200</v>
      </c>
      <c r="L145" s="50" t="s">
        <v>23</v>
      </c>
      <c r="M145" s="36">
        <v>0.74</v>
      </c>
      <c r="N145" s="34">
        <f>SUM(E145*H145)/M145*262.7</f>
        <v>1136000</v>
      </c>
    </row>
    <row r="146" spans="1:14" ht="6" customHeight="1" x14ac:dyDescent="0.2">
      <c r="B146" s="157"/>
      <c r="C146" s="73"/>
      <c r="D146" s="27"/>
      <c r="E146" s="27"/>
      <c r="F146" s="27"/>
      <c r="G146" s="27"/>
      <c r="H146" s="27"/>
      <c r="I146" s="27"/>
      <c r="J146" s="27"/>
      <c r="K146" s="27"/>
      <c r="L146" s="27"/>
      <c r="M146" s="27"/>
      <c r="N146" s="33"/>
    </row>
    <row r="147" spans="1:14" x14ac:dyDescent="0.2">
      <c r="B147" s="154"/>
      <c r="C147" s="56" t="s">
        <v>138</v>
      </c>
      <c r="D147" s="46" t="s">
        <v>132</v>
      </c>
      <c r="E147" s="46"/>
      <c r="F147" s="46"/>
      <c r="G147" s="46"/>
      <c r="H147" s="341"/>
      <c r="I147" s="341"/>
      <c r="J147" s="46"/>
      <c r="K147" s="45">
        <v>67036</v>
      </c>
      <c r="L147" s="42" t="s">
        <v>23</v>
      </c>
      <c r="M147" s="46"/>
      <c r="N147" s="47"/>
    </row>
    <row r="148" spans="1:14" s="24" customFormat="1" ht="25.5" x14ac:dyDescent="0.2">
      <c r="A148" s="280"/>
      <c r="B148" s="154"/>
      <c r="C148" s="154"/>
      <c r="D148" s="92" t="s">
        <v>24</v>
      </c>
      <c r="E148" s="253">
        <v>4</v>
      </c>
      <c r="F148" s="25" t="s">
        <v>88</v>
      </c>
      <c r="G148" s="25"/>
      <c r="H148" s="37">
        <v>800</v>
      </c>
      <c r="I148" s="50" t="s">
        <v>23</v>
      </c>
      <c r="J148" s="258"/>
      <c r="K148" s="37">
        <f>SUM(E148*H148)</f>
        <v>3200</v>
      </c>
      <c r="L148" s="50" t="s">
        <v>23</v>
      </c>
      <c r="M148" s="36">
        <v>0.74</v>
      </c>
      <c r="N148" s="34">
        <f>SUM(E148*H148)/M148*262.7</f>
        <v>1136000</v>
      </c>
    </row>
    <row r="149" spans="1:14" ht="6" customHeight="1" x14ac:dyDescent="0.2"/>
    <row r="150" spans="1:14" x14ac:dyDescent="0.2">
      <c r="B150" s="154"/>
      <c r="C150" s="56" t="s">
        <v>139</v>
      </c>
      <c r="D150" s="46" t="s">
        <v>137</v>
      </c>
      <c r="E150" s="46"/>
      <c r="F150" s="46"/>
      <c r="G150" s="46"/>
      <c r="H150" s="57"/>
      <c r="I150" s="46"/>
      <c r="J150" s="46"/>
      <c r="K150" s="45">
        <v>77597</v>
      </c>
      <c r="L150" s="42" t="s">
        <v>23</v>
      </c>
      <c r="M150" s="46"/>
      <c r="N150" s="47"/>
    </row>
    <row r="151" spans="1:14" s="24" customFormat="1" ht="25.5" x14ac:dyDescent="0.2">
      <c r="A151" s="280"/>
      <c r="B151" s="154"/>
      <c r="C151" s="154"/>
      <c r="D151" s="92" t="s">
        <v>24</v>
      </c>
      <c r="E151" s="253">
        <v>4</v>
      </c>
      <c r="F151" s="25" t="s">
        <v>88</v>
      </c>
      <c r="G151" s="25"/>
      <c r="H151" s="37">
        <v>800</v>
      </c>
      <c r="I151" s="50" t="s">
        <v>23</v>
      </c>
      <c r="J151" s="258"/>
      <c r="K151" s="37">
        <f>SUM(E151*H151)</f>
        <v>3200</v>
      </c>
      <c r="L151" s="50" t="s">
        <v>23</v>
      </c>
      <c r="M151" s="36">
        <v>0.74</v>
      </c>
      <c r="N151" s="34">
        <f>SUM(E151*H151)/M151*262.7</f>
        <v>1136000</v>
      </c>
    </row>
    <row r="152" spans="1:14" ht="6" customHeight="1" x14ac:dyDescent="0.2"/>
    <row r="153" spans="1:14" x14ac:dyDescent="0.2">
      <c r="B153" s="154"/>
      <c r="C153" s="56" t="s">
        <v>140</v>
      </c>
      <c r="D153" s="46" t="s">
        <v>144</v>
      </c>
      <c r="E153" s="46"/>
      <c r="F153" s="46"/>
      <c r="G153" s="46"/>
      <c r="H153" s="57"/>
      <c r="I153" s="46"/>
      <c r="J153" s="46"/>
      <c r="K153" s="45">
        <v>78947</v>
      </c>
      <c r="L153" s="42" t="s">
        <v>23</v>
      </c>
      <c r="M153" s="46"/>
      <c r="N153" s="47"/>
    </row>
    <row r="154" spans="1:14" s="24" customFormat="1" ht="25.5" x14ac:dyDescent="0.2">
      <c r="A154" s="280"/>
      <c r="B154" s="154"/>
      <c r="C154" s="154"/>
      <c r="D154" s="92" t="s">
        <v>24</v>
      </c>
      <c r="E154" s="253">
        <v>4</v>
      </c>
      <c r="F154" s="25" t="s">
        <v>88</v>
      </c>
      <c r="G154" s="25"/>
      <c r="H154" s="37">
        <v>800</v>
      </c>
      <c r="I154" s="50" t="s">
        <v>23</v>
      </c>
      <c r="J154" s="258"/>
      <c r="K154" s="37">
        <f>SUM(E154*H154)</f>
        <v>3200</v>
      </c>
      <c r="L154" s="50" t="s">
        <v>23</v>
      </c>
      <c r="M154" s="36">
        <v>0.74</v>
      </c>
      <c r="N154" s="34">
        <f>SUM(E154*H154)/M154*262.7</f>
        <v>1136000</v>
      </c>
    </row>
    <row r="155" spans="1:14" ht="6" customHeight="1" x14ac:dyDescent="0.2">
      <c r="B155" s="157"/>
      <c r="C155" s="73"/>
      <c r="D155" s="27"/>
      <c r="E155" s="27"/>
      <c r="F155" s="27"/>
      <c r="G155" s="27"/>
      <c r="H155" s="27"/>
      <c r="I155" s="27"/>
      <c r="J155" s="27"/>
      <c r="K155" s="27"/>
      <c r="L155" s="27"/>
      <c r="M155" s="27"/>
      <c r="N155" s="33"/>
    </row>
    <row r="156" spans="1:14" x14ac:dyDescent="0.2">
      <c r="B156" s="154"/>
      <c r="C156" s="56" t="s">
        <v>141</v>
      </c>
      <c r="D156" s="46" t="s">
        <v>145</v>
      </c>
      <c r="E156" s="46"/>
      <c r="F156" s="46"/>
      <c r="G156" s="46"/>
      <c r="H156" s="57"/>
      <c r="I156" s="46"/>
      <c r="J156" s="46"/>
      <c r="K156" s="45">
        <v>85978</v>
      </c>
      <c r="L156" s="42" t="s">
        <v>23</v>
      </c>
      <c r="M156" s="46"/>
      <c r="N156" s="47"/>
    </row>
    <row r="157" spans="1:14" s="24" customFormat="1" ht="25.5" x14ac:dyDescent="0.2">
      <c r="A157" s="280"/>
      <c r="B157" s="154"/>
      <c r="C157" s="154"/>
      <c r="D157" s="92" t="s">
        <v>24</v>
      </c>
      <c r="E157" s="253">
        <v>4</v>
      </c>
      <c r="F157" s="25" t="s">
        <v>88</v>
      </c>
      <c r="G157" s="25"/>
      <c r="H157" s="37">
        <v>800</v>
      </c>
      <c r="I157" s="50" t="s">
        <v>23</v>
      </c>
      <c r="J157" s="258"/>
      <c r="K157" s="37">
        <f>SUM(E157*H157)</f>
        <v>3200</v>
      </c>
      <c r="L157" s="50" t="s">
        <v>23</v>
      </c>
      <c r="M157" s="36">
        <v>0.74</v>
      </c>
      <c r="N157" s="34">
        <f>SUM(E157*H157)/M157*262.7</f>
        <v>1136000</v>
      </c>
    </row>
    <row r="158" spans="1:14" s="280" customFormat="1" ht="6" customHeight="1" x14ac:dyDescent="0.2">
      <c r="B158" s="154"/>
      <c r="C158" s="154"/>
      <c r="D158" s="92"/>
      <c r="E158" s="253"/>
      <c r="F158" s="25"/>
      <c r="G158" s="25"/>
      <c r="H158" s="37"/>
      <c r="I158" s="50"/>
      <c r="J158" s="258"/>
      <c r="K158" s="37"/>
      <c r="L158" s="50"/>
      <c r="M158" s="36"/>
      <c r="N158" s="34"/>
    </row>
    <row r="159" spans="1:14" x14ac:dyDescent="0.2">
      <c r="B159" s="154"/>
      <c r="C159" s="56" t="s">
        <v>142</v>
      </c>
      <c r="D159" s="46" t="s">
        <v>41</v>
      </c>
      <c r="E159" s="46"/>
      <c r="F159" s="46"/>
      <c r="G159" s="46"/>
      <c r="H159" s="57"/>
      <c r="I159" s="46"/>
      <c r="J159" s="46"/>
      <c r="K159" s="45">
        <v>201357</v>
      </c>
      <c r="L159" s="42" t="s">
        <v>23</v>
      </c>
      <c r="M159" s="46"/>
      <c r="N159" s="47"/>
    </row>
    <row r="160" spans="1:14" s="24" customFormat="1" ht="25.5" x14ac:dyDescent="0.2">
      <c r="A160" s="280"/>
      <c r="B160" s="154"/>
      <c r="C160" s="154"/>
      <c r="D160" s="92" t="s">
        <v>24</v>
      </c>
      <c r="E160" s="253">
        <v>18</v>
      </c>
      <c r="F160" s="25" t="s">
        <v>88</v>
      </c>
      <c r="G160" s="25"/>
      <c r="H160" s="37">
        <v>750</v>
      </c>
      <c r="I160" s="50" t="s">
        <v>23</v>
      </c>
      <c r="J160" s="258"/>
      <c r="K160" s="37">
        <f>SUM(E160*H160)</f>
        <v>13500</v>
      </c>
      <c r="L160" s="50" t="s">
        <v>23</v>
      </c>
      <c r="M160" s="36">
        <v>0.68</v>
      </c>
      <c r="N160" s="34">
        <f>SUM(E160*H160)/M160*274.69</f>
        <v>5453404.4117647056</v>
      </c>
    </row>
    <row r="161" spans="1:14" ht="6" customHeight="1" x14ac:dyDescent="0.2">
      <c r="B161" s="157"/>
      <c r="C161" s="73"/>
      <c r="D161" s="27"/>
      <c r="E161" s="27"/>
      <c r="F161" s="27"/>
      <c r="G161" s="27"/>
      <c r="H161" s="27"/>
      <c r="I161" s="27"/>
      <c r="J161" s="27"/>
      <c r="K161" s="27"/>
      <c r="L161" s="27"/>
      <c r="M161" s="27"/>
      <c r="N161" s="33"/>
    </row>
    <row r="162" spans="1:14" x14ac:dyDescent="0.2">
      <c r="B162" s="154"/>
      <c r="C162" s="56" t="s">
        <v>270</v>
      </c>
      <c r="D162" s="46" t="s">
        <v>47</v>
      </c>
      <c r="E162" s="46"/>
      <c r="F162" s="46"/>
      <c r="G162" s="46"/>
      <c r="H162" s="57"/>
      <c r="I162" s="46">
        <v>2009</v>
      </c>
      <c r="J162" s="46"/>
      <c r="K162" s="45">
        <v>73400</v>
      </c>
      <c r="L162" s="42" t="s">
        <v>23</v>
      </c>
      <c r="M162" s="46"/>
      <c r="N162" s="47"/>
    </row>
    <row r="163" spans="1:14" ht="30.6" customHeight="1" x14ac:dyDescent="0.2">
      <c r="B163" s="154"/>
      <c r="C163" s="56"/>
      <c r="D163" s="331" t="s">
        <v>258</v>
      </c>
      <c r="E163" s="331"/>
      <c r="F163" s="331"/>
      <c r="G163" s="331"/>
      <c r="H163" s="331"/>
      <c r="I163" s="331"/>
      <c r="J163" s="331"/>
      <c r="K163" s="331"/>
      <c r="L163" s="331"/>
      <c r="M163" s="46"/>
      <c r="N163" s="84">
        <f>K162*47.5+K162*6.47</f>
        <v>3961398</v>
      </c>
    </row>
    <row r="164" spans="1:14" s="24" customFormat="1" ht="25.5" x14ac:dyDescent="0.2">
      <c r="A164" s="280"/>
      <c r="B164" s="154"/>
      <c r="C164" s="154"/>
      <c r="D164" s="92" t="s">
        <v>24</v>
      </c>
      <c r="E164" s="253">
        <v>4</v>
      </c>
      <c r="F164" s="25" t="s">
        <v>88</v>
      </c>
      <c r="G164" s="25"/>
      <c r="H164" s="37">
        <v>750</v>
      </c>
      <c r="I164" s="50" t="s">
        <v>23</v>
      </c>
      <c r="J164" s="258"/>
      <c r="K164" s="37">
        <f>SUM(E164*H164)</f>
        <v>3000</v>
      </c>
      <c r="L164" s="50" t="s">
        <v>23</v>
      </c>
      <c r="M164" s="36">
        <v>0.71</v>
      </c>
      <c r="N164" s="34">
        <f>SUM(E164*H164)/M164*265.78</f>
        <v>1123014.0845070423</v>
      </c>
    </row>
    <row r="165" spans="1:14" ht="6" customHeight="1" x14ac:dyDescent="0.2">
      <c r="B165" s="157"/>
      <c r="C165" s="73"/>
      <c r="D165" s="27"/>
      <c r="E165" s="27"/>
      <c r="F165" s="27"/>
      <c r="G165" s="27"/>
      <c r="H165" s="27"/>
      <c r="I165" s="27"/>
      <c r="J165" s="27"/>
      <c r="K165" s="27"/>
      <c r="L165" s="27"/>
      <c r="M165" s="27"/>
      <c r="N165" s="33"/>
    </row>
    <row r="166" spans="1:14" x14ac:dyDescent="0.2">
      <c r="B166" s="154"/>
      <c r="C166" s="56" t="s">
        <v>271</v>
      </c>
      <c r="D166" s="46" t="s">
        <v>42</v>
      </c>
      <c r="E166" s="46"/>
      <c r="F166" s="46"/>
      <c r="G166" s="46"/>
      <c r="H166" s="57"/>
      <c r="I166" s="46">
        <v>2001</v>
      </c>
      <c r="J166" s="46"/>
      <c r="K166" s="45">
        <v>230000</v>
      </c>
      <c r="L166" s="42" t="s">
        <v>23</v>
      </c>
      <c r="M166" s="46"/>
      <c r="N166" s="47"/>
    </row>
    <row r="167" spans="1:14" ht="30.6" customHeight="1" x14ac:dyDescent="0.2">
      <c r="B167" s="154"/>
      <c r="C167" s="56"/>
      <c r="D167" s="331" t="s">
        <v>258</v>
      </c>
      <c r="E167" s="331"/>
      <c r="F167" s="331"/>
      <c r="G167" s="331"/>
      <c r="H167" s="331"/>
      <c r="I167" s="331"/>
      <c r="J167" s="331"/>
      <c r="K167" s="331"/>
      <c r="L167" s="331"/>
      <c r="M167" s="46"/>
      <c r="N167" s="84">
        <f>K166*47.5+K166*6.47</f>
        <v>12413100</v>
      </c>
    </row>
    <row r="168" spans="1:14" s="24" customFormat="1" ht="25.5" x14ac:dyDescent="0.2">
      <c r="A168" s="280"/>
      <c r="B168" s="154"/>
      <c r="C168" s="154"/>
      <c r="D168" s="92" t="s">
        <v>24</v>
      </c>
      <c r="E168" s="253">
        <v>4</v>
      </c>
      <c r="F168" s="25" t="s">
        <v>88</v>
      </c>
      <c r="G168" s="25"/>
      <c r="H168" s="37">
        <v>750</v>
      </c>
      <c r="I168" s="50" t="s">
        <v>23</v>
      </c>
      <c r="J168" s="258"/>
      <c r="K168" s="37">
        <f>SUM(E168*H168)</f>
        <v>3000</v>
      </c>
      <c r="L168" s="50" t="s">
        <v>23</v>
      </c>
      <c r="M168" s="36">
        <v>0.68</v>
      </c>
      <c r="N168" s="34">
        <f>SUM(E168*H168)/M168*274.69</f>
        <v>1211867.6470588234</v>
      </c>
    </row>
    <row r="169" spans="1:14" s="24" customFormat="1" ht="5.25" customHeight="1" x14ac:dyDescent="0.2">
      <c r="A169" s="280"/>
      <c r="B169" s="154"/>
      <c r="C169" s="154"/>
      <c r="D169" s="92"/>
      <c r="E169" s="35"/>
      <c r="F169" s="35"/>
      <c r="G169" s="35"/>
      <c r="H169" s="35"/>
      <c r="I169" s="35"/>
      <c r="J169" s="35"/>
      <c r="K169" s="35"/>
      <c r="L169" s="35"/>
      <c r="M169" s="36"/>
      <c r="N169" s="34"/>
    </row>
    <row r="170" spans="1:14" ht="14.25" x14ac:dyDescent="0.2">
      <c r="B170" s="313" t="s">
        <v>27</v>
      </c>
      <c r="C170" s="314"/>
      <c r="D170" s="31"/>
      <c r="E170" s="31"/>
      <c r="F170" s="31"/>
      <c r="G170" s="31"/>
      <c r="H170" s="31"/>
      <c r="I170" s="31"/>
      <c r="J170" s="31"/>
      <c r="K170" s="31"/>
      <c r="L170" s="31"/>
      <c r="M170" s="31"/>
      <c r="N170" s="32"/>
    </row>
    <row r="171" spans="1:14" ht="5.25" customHeight="1" x14ac:dyDescent="0.2">
      <c r="B171" s="74"/>
      <c r="C171" s="74"/>
      <c r="D171" s="27"/>
      <c r="E171" s="27"/>
      <c r="F171" s="27"/>
      <c r="G171" s="27"/>
      <c r="H171" s="27"/>
      <c r="I171" s="27"/>
      <c r="J171" s="27"/>
      <c r="K171" s="27"/>
      <c r="L171" s="27"/>
      <c r="M171" s="27"/>
      <c r="N171" s="33"/>
    </row>
    <row r="172" spans="1:14" x14ac:dyDescent="0.2">
      <c r="B172" s="164" t="s">
        <v>3</v>
      </c>
      <c r="C172" s="318" t="s">
        <v>30</v>
      </c>
      <c r="D172" s="25"/>
      <c r="E172" s="25"/>
      <c r="F172" s="25"/>
      <c r="G172" s="25"/>
      <c r="H172" s="25"/>
      <c r="I172" s="25"/>
      <c r="J172" s="25"/>
      <c r="K172" s="25"/>
      <c r="L172" s="25"/>
      <c r="M172" s="25"/>
      <c r="N172" s="34"/>
    </row>
    <row r="173" spans="1:14" ht="6" customHeight="1" x14ac:dyDescent="0.2">
      <c r="B173" s="157"/>
      <c r="C173" s="73"/>
      <c r="D173" s="27"/>
      <c r="E173" s="27"/>
      <c r="F173" s="27"/>
      <c r="G173" s="27"/>
      <c r="H173" s="27"/>
      <c r="I173" s="27"/>
      <c r="J173" s="27"/>
      <c r="K173" s="27"/>
      <c r="L173" s="27"/>
      <c r="M173" s="27"/>
      <c r="N173" s="33"/>
    </row>
    <row r="174" spans="1:14" x14ac:dyDescent="0.2">
      <c r="B174" s="154"/>
      <c r="C174" s="114" t="s">
        <v>0</v>
      </c>
      <c r="D174" s="115" t="s">
        <v>155</v>
      </c>
      <c r="E174" s="115"/>
      <c r="F174" s="115"/>
      <c r="G174" s="115"/>
      <c r="H174" s="115"/>
      <c r="I174" s="115"/>
      <c r="J174" s="115"/>
      <c r="K174" s="116">
        <v>15000</v>
      </c>
      <c r="L174" s="115" t="s">
        <v>23</v>
      </c>
      <c r="M174" s="117"/>
      <c r="N174" s="123"/>
    </row>
    <row r="175" spans="1:14" x14ac:dyDescent="0.2">
      <c r="B175" s="154"/>
      <c r="C175" s="129"/>
      <c r="D175" s="342" t="s">
        <v>156</v>
      </c>
      <c r="E175" s="342"/>
      <c r="F175" s="342"/>
      <c r="G175" s="342"/>
      <c r="H175" s="342"/>
      <c r="I175" s="342"/>
      <c r="J175" s="342"/>
      <c r="K175" s="342"/>
      <c r="L175" s="342"/>
      <c r="M175" s="130"/>
      <c r="N175" s="124">
        <f>K174*222.39</f>
        <v>3335850</v>
      </c>
    </row>
    <row r="176" spans="1:14" ht="6" customHeight="1" x14ac:dyDescent="0.2">
      <c r="B176" s="154"/>
      <c r="C176" s="129"/>
      <c r="D176" s="259"/>
      <c r="E176" s="259"/>
      <c r="F176" s="259"/>
      <c r="G176" s="259"/>
      <c r="H176" s="259"/>
      <c r="I176" s="259"/>
      <c r="J176" s="259"/>
      <c r="K176" s="259"/>
      <c r="L176" s="259"/>
      <c r="M176" s="130"/>
      <c r="N176" s="124"/>
    </row>
    <row r="177" spans="1:14" x14ac:dyDescent="0.2">
      <c r="B177" s="154"/>
      <c r="C177" s="114" t="s">
        <v>1</v>
      </c>
      <c r="D177" s="115" t="s">
        <v>75</v>
      </c>
      <c r="E177" s="115"/>
      <c r="F177" s="115"/>
      <c r="G177" s="115"/>
      <c r="H177" s="115"/>
      <c r="I177" s="115"/>
      <c r="J177" s="115"/>
      <c r="K177" s="116">
        <v>38335</v>
      </c>
      <c r="L177" s="115" t="s">
        <v>23</v>
      </c>
      <c r="M177" s="117"/>
      <c r="N177" s="118"/>
    </row>
    <row r="178" spans="1:14" ht="15.75" customHeight="1" x14ac:dyDescent="0.2">
      <c r="B178" s="154"/>
      <c r="C178" s="114"/>
      <c r="D178" s="343" t="s">
        <v>101</v>
      </c>
      <c r="E178" s="343"/>
      <c r="F178" s="343"/>
      <c r="G178" s="343"/>
      <c r="H178" s="343"/>
      <c r="I178" s="343"/>
      <c r="J178" s="343"/>
      <c r="K178" s="343"/>
      <c r="L178" s="343"/>
      <c r="M178" s="119"/>
      <c r="N178" s="120">
        <f>1358207*1.2</f>
        <v>1629848.4</v>
      </c>
    </row>
    <row r="179" spans="1:14" ht="6" customHeight="1" x14ac:dyDescent="0.2">
      <c r="B179" s="157"/>
      <c r="C179" s="111"/>
      <c r="D179" s="103"/>
      <c r="E179" s="103"/>
      <c r="F179" s="103"/>
      <c r="G179" s="103"/>
      <c r="H179" s="103"/>
      <c r="I179" s="103"/>
      <c r="J179" s="103"/>
      <c r="K179" s="103"/>
      <c r="L179" s="103"/>
      <c r="M179" s="103"/>
      <c r="N179" s="110"/>
    </row>
    <row r="180" spans="1:14" s="95" customFormat="1" x14ac:dyDescent="0.2">
      <c r="A180" s="319"/>
      <c r="B180" s="320"/>
      <c r="C180" s="114" t="s">
        <v>2</v>
      </c>
      <c r="D180" s="115" t="s">
        <v>262</v>
      </c>
      <c r="E180" s="115"/>
      <c r="F180" s="115"/>
      <c r="G180" s="115"/>
      <c r="H180" s="115"/>
      <c r="I180" s="115"/>
      <c r="J180" s="115"/>
      <c r="K180" s="116">
        <v>25583</v>
      </c>
      <c r="L180" s="115" t="s">
        <v>23</v>
      </c>
      <c r="M180" s="117"/>
      <c r="N180" s="123"/>
    </row>
    <row r="181" spans="1:14" s="95" customFormat="1" ht="27.75" customHeight="1" x14ac:dyDescent="0.2">
      <c r="A181" s="319"/>
      <c r="B181" s="320"/>
      <c r="C181" s="107"/>
      <c r="D181" s="344" t="s">
        <v>79</v>
      </c>
      <c r="E181" s="344"/>
      <c r="F181" s="344"/>
      <c r="G181" s="344"/>
      <c r="H181" s="344"/>
      <c r="I181" s="344"/>
      <c r="J181" s="344"/>
      <c r="K181" s="344"/>
      <c r="L181" s="344"/>
      <c r="M181" s="107"/>
      <c r="N181" s="124">
        <f>1812808*1.2</f>
        <v>2175369.6</v>
      </c>
    </row>
    <row r="182" spans="1:14" s="95" customFormat="1" ht="5.25" customHeight="1" x14ac:dyDescent="0.2">
      <c r="A182" s="319"/>
      <c r="B182" s="320"/>
      <c r="C182" s="262"/>
      <c r="D182" s="113"/>
      <c r="E182" s="113"/>
      <c r="F182" s="113"/>
      <c r="G182" s="113"/>
      <c r="H182" s="113"/>
      <c r="I182" s="113"/>
      <c r="J182" s="113"/>
      <c r="K182" s="113"/>
      <c r="L182" s="113"/>
      <c r="M182" s="113"/>
      <c r="N182" s="112"/>
    </row>
    <row r="183" spans="1:14" x14ac:dyDescent="0.2">
      <c r="B183" s="154"/>
      <c r="C183" s="114" t="s">
        <v>3</v>
      </c>
      <c r="D183" s="115" t="s">
        <v>260</v>
      </c>
      <c r="E183" s="115"/>
      <c r="F183" s="115"/>
      <c r="G183" s="115"/>
      <c r="H183" s="115"/>
      <c r="I183" s="115"/>
      <c r="J183" s="115"/>
      <c r="K183" s="116">
        <v>23800</v>
      </c>
      <c r="L183" s="115" t="s">
        <v>23</v>
      </c>
      <c r="M183" s="117"/>
      <c r="N183" s="123"/>
    </row>
    <row r="184" spans="1:14" ht="30" customHeight="1" x14ac:dyDescent="0.2">
      <c r="B184" s="154"/>
      <c r="C184" s="114"/>
      <c r="D184" s="342" t="s">
        <v>77</v>
      </c>
      <c r="E184" s="342"/>
      <c r="F184" s="342"/>
      <c r="G184" s="342"/>
      <c r="H184" s="342"/>
      <c r="I184" s="342"/>
      <c r="J184" s="342"/>
      <c r="K184" s="342"/>
      <c r="L184" s="342"/>
      <c r="M184" s="127"/>
      <c r="N184" s="128">
        <f>1264849*1.2</f>
        <v>1517818.8</v>
      </c>
    </row>
    <row r="185" spans="1:14" ht="6" customHeight="1" x14ac:dyDescent="0.2">
      <c r="B185" s="157"/>
      <c r="C185" s="111"/>
      <c r="D185" s="103"/>
      <c r="E185" s="103"/>
      <c r="F185" s="103"/>
      <c r="G185" s="103"/>
      <c r="H185" s="103"/>
      <c r="I185" s="103"/>
      <c r="J185" s="103"/>
      <c r="K185" s="103"/>
      <c r="L185" s="103"/>
      <c r="M185" s="103"/>
      <c r="N185" s="110"/>
    </row>
    <row r="186" spans="1:14" x14ac:dyDescent="0.2">
      <c r="B186" s="154"/>
      <c r="C186" s="114" t="s">
        <v>4</v>
      </c>
      <c r="D186" s="115" t="s">
        <v>161</v>
      </c>
      <c r="E186" s="115"/>
      <c r="F186" s="115"/>
      <c r="G186" s="115"/>
      <c r="H186" s="115"/>
      <c r="I186" s="115"/>
      <c r="J186" s="115"/>
      <c r="K186" s="116">
        <v>7395</v>
      </c>
      <c r="L186" s="115" t="s">
        <v>23</v>
      </c>
      <c r="M186" s="117"/>
      <c r="N186" s="123"/>
    </row>
    <row r="187" spans="1:14" ht="27" customHeight="1" x14ac:dyDescent="0.2">
      <c r="B187" s="154"/>
      <c r="C187" s="129"/>
      <c r="D187" s="342" t="s">
        <v>77</v>
      </c>
      <c r="E187" s="342"/>
      <c r="F187" s="342"/>
      <c r="G187" s="342"/>
      <c r="H187" s="342"/>
      <c r="I187" s="342"/>
      <c r="J187" s="342"/>
      <c r="K187" s="342"/>
      <c r="L187" s="342"/>
      <c r="M187" s="130"/>
      <c r="N187" s="124">
        <f>524009*1.2</f>
        <v>628810.79999999993</v>
      </c>
    </row>
    <row r="188" spans="1:14" ht="6" customHeight="1" x14ac:dyDescent="0.2">
      <c r="B188" s="157"/>
      <c r="C188" s="111"/>
      <c r="D188" s="103"/>
      <c r="E188" s="103"/>
      <c r="F188" s="103"/>
      <c r="G188" s="103"/>
      <c r="H188" s="103"/>
      <c r="I188" s="103"/>
      <c r="J188" s="103"/>
      <c r="K188" s="103"/>
      <c r="L188" s="103"/>
      <c r="M188" s="103"/>
      <c r="N188" s="110"/>
    </row>
    <row r="189" spans="1:14" x14ac:dyDescent="0.2">
      <c r="B189" s="154"/>
      <c r="C189" s="114" t="s">
        <v>86</v>
      </c>
      <c r="D189" s="115" t="s">
        <v>261</v>
      </c>
      <c r="E189" s="115"/>
      <c r="F189" s="115"/>
      <c r="G189" s="115"/>
      <c r="H189" s="115"/>
      <c r="I189" s="115"/>
      <c r="J189" s="115"/>
      <c r="K189" s="116">
        <v>50000</v>
      </c>
      <c r="L189" s="115" t="s">
        <v>23</v>
      </c>
      <c r="M189" s="117"/>
      <c r="N189" s="123"/>
    </row>
    <row r="190" spans="1:14" ht="13.15" customHeight="1" x14ac:dyDescent="0.2">
      <c r="B190" s="154"/>
      <c r="C190" s="129"/>
      <c r="D190" s="342" t="s">
        <v>163</v>
      </c>
      <c r="E190" s="342"/>
      <c r="F190" s="342"/>
      <c r="G190" s="342"/>
      <c r="H190" s="342"/>
      <c r="I190" s="342"/>
      <c r="J190" s="342"/>
      <c r="K190" s="342"/>
      <c r="L190" s="342"/>
      <c r="M190" s="130"/>
      <c r="N190" s="124">
        <f>K189*147.21</f>
        <v>7360500</v>
      </c>
    </row>
    <row r="191" spans="1:14" ht="6" customHeight="1" thickBot="1" x14ac:dyDescent="0.25">
      <c r="B191" s="157"/>
      <c r="C191" s="73"/>
      <c r="D191" s="27"/>
      <c r="E191" s="27"/>
      <c r="F191" s="27"/>
      <c r="G191" s="27"/>
      <c r="H191" s="27"/>
      <c r="I191" s="27"/>
      <c r="J191" s="27"/>
      <c r="K191" s="27"/>
      <c r="L191" s="27"/>
      <c r="M191" s="27"/>
      <c r="N191" s="33"/>
    </row>
    <row r="192" spans="1:14" ht="13.5" thickBot="1" x14ac:dyDescent="0.25">
      <c r="B192" s="321" t="s">
        <v>33</v>
      </c>
      <c r="C192" s="322"/>
      <c r="D192" s="38"/>
      <c r="E192" s="38"/>
      <c r="F192" s="38"/>
      <c r="G192" s="38"/>
      <c r="H192" s="38"/>
      <c r="I192" s="38"/>
      <c r="J192" s="38"/>
      <c r="K192" s="38"/>
      <c r="L192" s="38"/>
      <c r="M192" s="38"/>
      <c r="N192" s="141">
        <f>SUM(N48:N191)</f>
        <v>291929926.33342338</v>
      </c>
    </row>
    <row r="193" spans="1:14" ht="5.25" customHeight="1" x14ac:dyDescent="0.2">
      <c r="B193" s="74"/>
      <c r="C193" s="74"/>
      <c r="D193" s="27"/>
      <c r="E193" s="27"/>
      <c r="F193" s="27"/>
      <c r="G193" s="27"/>
      <c r="H193" s="27"/>
      <c r="I193" s="27"/>
      <c r="J193" s="27"/>
      <c r="K193" s="27"/>
      <c r="L193" s="27"/>
      <c r="M193" s="27"/>
      <c r="N193" s="33"/>
    </row>
    <row r="194" spans="1:14" x14ac:dyDescent="0.2">
      <c r="B194" s="164" t="s">
        <v>4</v>
      </c>
      <c r="C194" s="318" t="s">
        <v>31</v>
      </c>
      <c r="D194" s="25"/>
      <c r="E194" s="25"/>
      <c r="F194" s="25"/>
      <c r="G194" s="25"/>
      <c r="H194" s="25"/>
      <c r="I194" s="25"/>
      <c r="J194" s="25"/>
      <c r="K194" s="25"/>
      <c r="L194" s="25"/>
      <c r="M194" s="25"/>
      <c r="N194" s="34"/>
    </row>
    <row r="195" spans="1:14" x14ac:dyDescent="0.2">
      <c r="B195" s="154"/>
      <c r="C195" s="315" t="s">
        <v>28</v>
      </c>
      <c r="D195" s="25"/>
      <c r="E195" s="25"/>
      <c r="F195" s="25"/>
      <c r="G195" s="25"/>
      <c r="H195" s="25"/>
      <c r="I195" s="25"/>
      <c r="J195" s="25"/>
      <c r="K195" s="25"/>
      <c r="L195" s="25"/>
      <c r="M195" s="25"/>
      <c r="N195" s="34"/>
    </row>
    <row r="196" spans="1:14" ht="6" customHeight="1" x14ac:dyDescent="0.2">
      <c r="B196" s="157"/>
      <c r="C196" s="73"/>
      <c r="D196" s="27"/>
      <c r="E196" s="27"/>
      <c r="F196" s="27"/>
      <c r="G196" s="27"/>
      <c r="H196" s="27"/>
      <c r="I196" s="27"/>
      <c r="J196" s="27"/>
      <c r="K196" s="27"/>
      <c r="L196" s="27"/>
      <c r="M196" s="27"/>
      <c r="N196" s="33"/>
    </row>
    <row r="197" spans="1:14" s="21" customFormat="1" x14ac:dyDescent="0.2">
      <c r="A197" s="323"/>
      <c r="B197" s="163"/>
      <c r="C197" s="52" t="s">
        <v>0</v>
      </c>
      <c r="D197" s="53" t="s">
        <v>72</v>
      </c>
      <c r="E197" s="50"/>
      <c r="F197" s="50"/>
      <c r="G197" s="50"/>
      <c r="H197" s="51"/>
      <c r="I197" s="50"/>
      <c r="J197" s="50"/>
      <c r="K197" s="51">
        <v>16000</v>
      </c>
      <c r="L197" s="50" t="s">
        <v>23</v>
      </c>
      <c r="M197" s="50"/>
      <c r="N197" s="54"/>
    </row>
    <row r="198" spans="1:14" s="21" customFormat="1" ht="13.15" customHeight="1" x14ac:dyDescent="0.2">
      <c r="A198" s="323"/>
      <c r="B198" s="163"/>
      <c r="C198" s="52"/>
      <c r="D198" s="55" t="s">
        <v>73</v>
      </c>
      <c r="E198" s="163"/>
      <c r="F198" s="76"/>
      <c r="G198" s="76"/>
      <c r="H198" s="76"/>
      <c r="I198" s="76"/>
      <c r="J198" s="76"/>
      <c r="K198" s="51"/>
      <c r="L198" s="50"/>
      <c r="M198" s="50"/>
      <c r="N198" s="54">
        <f>K197*350</f>
        <v>5600000</v>
      </c>
    </row>
    <row r="199" spans="1:14" ht="6" customHeight="1" x14ac:dyDescent="0.2">
      <c r="B199" s="157"/>
      <c r="C199" s="73"/>
      <c r="D199" s="27"/>
      <c r="E199" s="27"/>
      <c r="F199" s="27"/>
      <c r="G199" s="27"/>
      <c r="H199" s="27"/>
      <c r="I199" s="27"/>
      <c r="J199" s="27"/>
      <c r="K199" s="27"/>
      <c r="L199" s="27"/>
      <c r="M199" s="27"/>
      <c r="N199" s="33"/>
    </row>
    <row r="200" spans="1:14" x14ac:dyDescent="0.2">
      <c r="C200" s="52" t="s">
        <v>1</v>
      </c>
      <c r="D200" s="27" t="s">
        <v>40</v>
      </c>
      <c r="K200" s="51">
        <v>30000</v>
      </c>
      <c r="L200" s="50" t="s">
        <v>23</v>
      </c>
      <c r="N200" s="54"/>
    </row>
    <row r="201" spans="1:14" x14ac:dyDescent="0.2">
      <c r="C201" s="52"/>
      <c r="D201" s="27" t="s">
        <v>164</v>
      </c>
      <c r="K201" s="51"/>
      <c r="L201" s="50"/>
      <c r="N201" s="54">
        <f>5550000*1.2</f>
        <v>6660000</v>
      </c>
    </row>
    <row r="202" spans="1:14" ht="6" customHeight="1" x14ac:dyDescent="0.2">
      <c r="B202" s="157"/>
      <c r="C202" s="73"/>
      <c r="D202" s="27"/>
      <c r="E202" s="27"/>
      <c r="F202" s="27"/>
      <c r="G202" s="27"/>
      <c r="H202" s="27"/>
      <c r="I202" s="27"/>
      <c r="J202" s="27"/>
      <c r="K202" s="27"/>
      <c r="L202" s="27"/>
      <c r="M202" s="27"/>
      <c r="N202" s="33"/>
    </row>
    <row r="203" spans="1:14" x14ac:dyDescent="0.2">
      <c r="C203" s="52" t="s">
        <v>2</v>
      </c>
      <c r="D203" s="27" t="s">
        <v>41</v>
      </c>
      <c r="K203" s="51">
        <v>30000</v>
      </c>
      <c r="L203" s="50" t="s">
        <v>23</v>
      </c>
      <c r="N203" s="54"/>
    </row>
    <row r="204" spans="1:14" x14ac:dyDescent="0.2">
      <c r="C204" s="52"/>
      <c r="D204" s="27" t="s">
        <v>164</v>
      </c>
      <c r="K204" s="51"/>
      <c r="L204" s="50"/>
      <c r="N204" s="54">
        <f>5550000*1.2</f>
        <v>6660000</v>
      </c>
    </row>
    <row r="205" spans="1:14" ht="6" customHeight="1" x14ac:dyDescent="0.2">
      <c r="B205" s="157"/>
      <c r="C205" s="73"/>
      <c r="D205" s="27"/>
      <c r="E205" s="27"/>
      <c r="F205" s="27"/>
      <c r="G205" s="27"/>
      <c r="H205" s="27"/>
      <c r="I205" s="27"/>
      <c r="J205" s="27"/>
      <c r="K205" s="27"/>
      <c r="L205" s="27"/>
      <c r="M205" s="27"/>
      <c r="N205" s="33"/>
    </row>
    <row r="206" spans="1:14" x14ac:dyDescent="0.2">
      <c r="C206" s="52" t="s">
        <v>3</v>
      </c>
      <c r="D206" s="27" t="s">
        <v>42</v>
      </c>
      <c r="K206" s="51">
        <v>30000</v>
      </c>
      <c r="L206" s="50" t="s">
        <v>23</v>
      </c>
      <c r="N206" s="54"/>
    </row>
    <row r="207" spans="1:14" x14ac:dyDescent="0.2">
      <c r="C207" s="52"/>
      <c r="D207" s="27" t="s">
        <v>164</v>
      </c>
      <c r="K207" s="51"/>
      <c r="L207" s="50"/>
      <c r="N207" s="54">
        <f>5550000*1.2</f>
        <v>6660000</v>
      </c>
    </row>
    <row r="208" spans="1:14" ht="6" customHeight="1" x14ac:dyDescent="0.2">
      <c r="B208" s="157"/>
      <c r="C208" s="73"/>
      <c r="D208" s="27"/>
      <c r="E208" s="27"/>
      <c r="F208" s="27"/>
      <c r="G208" s="27"/>
      <c r="H208" s="27"/>
      <c r="I208" s="27"/>
      <c r="J208" s="27"/>
      <c r="K208" s="27"/>
      <c r="L208" s="27"/>
      <c r="M208" s="27"/>
      <c r="N208" s="33"/>
    </row>
    <row r="209" spans="1:14" x14ac:dyDescent="0.2">
      <c r="C209" s="52" t="s">
        <v>4</v>
      </c>
      <c r="D209" s="27" t="s">
        <v>40</v>
      </c>
      <c r="E209" s="27"/>
      <c r="F209" s="27"/>
      <c r="G209" s="27"/>
      <c r="H209" s="27"/>
      <c r="I209" s="27"/>
      <c r="J209" s="27"/>
      <c r="K209" s="51"/>
      <c r="L209" s="50"/>
      <c r="M209" s="27"/>
      <c r="N209" s="54"/>
    </row>
    <row r="210" spans="1:14" x14ac:dyDescent="0.2">
      <c r="C210" s="52"/>
      <c r="D210" s="93" t="s">
        <v>178</v>
      </c>
      <c r="F210" s="27"/>
      <c r="G210" s="27"/>
      <c r="H210" s="27"/>
      <c r="I210" s="27"/>
      <c r="J210" s="27"/>
      <c r="K210" s="51"/>
      <c r="L210" s="50"/>
      <c r="M210" s="27"/>
      <c r="N210" s="54">
        <f>140000*1.2</f>
        <v>168000</v>
      </c>
    </row>
    <row r="211" spans="1:14" ht="6" customHeight="1" x14ac:dyDescent="0.2">
      <c r="C211" s="52"/>
      <c r="D211" s="27"/>
      <c r="L211" s="50"/>
      <c r="N211" s="54"/>
    </row>
    <row r="212" spans="1:14" s="21" customFormat="1" x14ac:dyDescent="0.2">
      <c r="A212" s="323"/>
      <c r="B212" s="163"/>
      <c r="C212" s="52" t="s">
        <v>86</v>
      </c>
      <c r="D212" s="27" t="s">
        <v>45</v>
      </c>
      <c r="E212" s="27"/>
      <c r="F212" s="27"/>
      <c r="G212" s="27"/>
      <c r="H212" s="27"/>
      <c r="I212" s="27"/>
      <c r="J212" s="27"/>
      <c r="K212" s="51"/>
      <c r="L212" s="50"/>
      <c r="M212" s="27"/>
      <c r="N212" s="54"/>
    </row>
    <row r="213" spans="1:14" x14ac:dyDescent="0.2">
      <c r="C213" s="52"/>
      <c r="D213" s="27" t="s">
        <v>74</v>
      </c>
      <c r="F213" s="27"/>
      <c r="G213" s="27"/>
      <c r="H213" s="27"/>
      <c r="I213" s="27"/>
      <c r="J213" s="27"/>
      <c r="K213" s="51"/>
      <c r="L213" s="50"/>
      <c r="M213" s="27"/>
      <c r="N213" s="54">
        <f>500000*1.2</f>
        <v>600000</v>
      </c>
    </row>
    <row r="214" spans="1:14" s="70" customFormat="1" x14ac:dyDescent="0.2">
      <c r="A214" s="316"/>
      <c r="B214" s="154"/>
      <c r="C214" s="154"/>
      <c r="D214" s="25"/>
      <c r="E214" s="253"/>
      <c r="F214" s="25"/>
      <c r="G214" s="25"/>
      <c r="H214" s="37"/>
      <c r="I214" s="25"/>
      <c r="J214" s="25"/>
      <c r="K214" s="37"/>
      <c r="L214" s="25"/>
      <c r="M214" s="36"/>
      <c r="N214" s="34"/>
    </row>
    <row r="215" spans="1:14" s="70" customFormat="1" x14ac:dyDescent="0.2">
      <c r="A215" s="316"/>
      <c r="B215" s="154"/>
      <c r="C215" s="154"/>
      <c r="D215" s="25"/>
      <c r="E215" s="253"/>
      <c r="F215" s="25"/>
      <c r="G215" s="25"/>
      <c r="H215" s="37"/>
      <c r="I215" s="25"/>
      <c r="J215" s="25"/>
      <c r="K215" s="37"/>
      <c r="L215" s="25"/>
      <c r="M215" s="36"/>
      <c r="N215" s="34"/>
    </row>
  </sheetData>
  <mergeCells count="45">
    <mergeCell ref="D48:L48"/>
    <mergeCell ref="B3:G3"/>
    <mergeCell ref="I3:K3"/>
    <mergeCell ref="B4:G6"/>
    <mergeCell ref="B7:F7"/>
    <mergeCell ref="D37:I37"/>
    <mergeCell ref="Z61:AH61"/>
    <mergeCell ref="D70:L70"/>
    <mergeCell ref="D73:L73"/>
    <mergeCell ref="Z73:AH73"/>
    <mergeCell ref="D78:L78"/>
    <mergeCell ref="Z65:AH65"/>
    <mergeCell ref="D67:L67"/>
    <mergeCell ref="Z69:AH69"/>
    <mergeCell ref="D51:L51"/>
    <mergeCell ref="Z54:AH54"/>
    <mergeCell ref="D57:L57"/>
    <mergeCell ref="Z58:AH58"/>
    <mergeCell ref="Z60:AH60"/>
    <mergeCell ref="H129:I129"/>
    <mergeCell ref="D130:L130"/>
    <mergeCell ref="D136:L136"/>
    <mergeCell ref="D140:L140"/>
    <mergeCell ref="D144:L144"/>
    <mergeCell ref="D91:J91"/>
    <mergeCell ref="Z80:AH80"/>
    <mergeCell ref="D84:L84"/>
    <mergeCell ref="Z84:AH84"/>
    <mergeCell ref="Z85:AH85"/>
    <mergeCell ref="D187:L187"/>
    <mergeCell ref="D190:L190"/>
    <mergeCell ref="D92:L92"/>
    <mergeCell ref="D97:L97"/>
    <mergeCell ref="F100:G100"/>
    <mergeCell ref="D105:L105"/>
    <mergeCell ref="D112:L112"/>
    <mergeCell ref="D119:L119"/>
    <mergeCell ref="H147:I147"/>
    <mergeCell ref="D175:L175"/>
    <mergeCell ref="D178:L178"/>
    <mergeCell ref="D181:L181"/>
    <mergeCell ref="D184:L184"/>
    <mergeCell ref="D163:L163"/>
    <mergeCell ref="D167:L167"/>
    <mergeCell ref="D125:L125"/>
  </mergeCells>
  <pageMargins left="0.7" right="0.45" top="0.75" bottom="0.75" header="0.3" footer="0.3"/>
  <pageSetup paperSize="17" orientation="landscape" cellComments="asDisplayed" r:id="rId1"/>
  <headerFooter alignWithMargins="0"/>
  <rowBreaks count="3" manualBreakCount="3">
    <brk id="42" max="16383" man="1"/>
    <brk id="109" max="16383" man="1"/>
    <brk id="169"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15"/>
  <sheetViews>
    <sheetView workbookViewId="0"/>
    <sheetView workbookViewId="1"/>
  </sheetViews>
  <sheetFormatPr defaultRowHeight="12.75" x14ac:dyDescent="0.2"/>
  <cols>
    <col min="1" max="1" width="14.5703125" bestFit="1" customWidth="1"/>
    <col min="2" max="2" width="4" style="22" customWidth="1"/>
    <col min="3" max="3" width="2.85546875" style="22" customWidth="1"/>
    <col min="4" max="4" width="9" style="22"/>
    <col min="5" max="5" width="5.140625" style="22" customWidth="1"/>
    <col min="6" max="6" width="11.140625" style="22" customWidth="1"/>
    <col min="7" max="7" width="12.85546875" style="22" customWidth="1"/>
    <col min="8" max="8" width="6.140625" style="30" customWidth="1"/>
    <col min="9" max="9" width="10" style="30" customWidth="1"/>
    <col min="10" max="10" width="2.85546875" style="30" customWidth="1"/>
    <col min="11" max="11" width="11.140625" style="30" customWidth="1"/>
    <col min="12" max="12" width="5.5703125" style="30" customWidth="1"/>
    <col min="13" max="13" width="5.85546875" style="30" customWidth="1"/>
    <col min="14" max="14" width="11.85546875" style="30" customWidth="1"/>
    <col min="17" max="18" width="9" customWidth="1"/>
    <col min="21" max="21" width="12.140625" customWidth="1"/>
    <col min="24" max="24" width="25" customWidth="1"/>
    <col min="25" max="25" width="10" customWidth="1"/>
    <col min="27" max="27" width="14" customWidth="1"/>
    <col min="28" max="28" width="16" customWidth="1"/>
    <col min="29" max="29" width="10.42578125" customWidth="1"/>
  </cols>
  <sheetData>
    <row r="1" spans="2:31" s="63" customFormat="1" ht="12" x14ac:dyDescent="0.2">
      <c r="B1" s="79"/>
      <c r="C1" s="80"/>
      <c r="D1" s="81"/>
      <c r="E1" s="81"/>
      <c r="F1" s="81"/>
      <c r="G1" s="81"/>
      <c r="H1" s="82"/>
      <c r="I1" s="81"/>
      <c r="J1" s="81"/>
      <c r="K1" s="81"/>
      <c r="L1" s="81"/>
      <c r="M1" s="81"/>
      <c r="N1" s="81"/>
    </row>
    <row r="2" spans="2:31" s="63" customFormat="1" thickBot="1" x14ac:dyDescent="0.25">
      <c r="B2" s="79"/>
      <c r="C2" s="80"/>
      <c r="D2" s="81"/>
      <c r="E2" s="81"/>
      <c r="F2" s="81"/>
      <c r="G2" s="81"/>
      <c r="H2" s="82"/>
      <c r="I2" s="81"/>
      <c r="J2" s="81"/>
      <c r="K2" s="81"/>
      <c r="L2" s="81"/>
      <c r="M2" s="81"/>
      <c r="N2" s="81"/>
    </row>
    <row r="3" spans="2:31" s="67" customFormat="1" ht="15" customHeight="1" x14ac:dyDescent="0.25">
      <c r="B3" s="347" t="s">
        <v>171</v>
      </c>
      <c r="C3" s="348"/>
      <c r="D3" s="348"/>
      <c r="E3" s="348"/>
      <c r="F3" s="348"/>
      <c r="G3" s="348"/>
      <c r="H3" s="64"/>
      <c r="I3" s="334" t="s">
        <v>103</v>
      </c>
      <c r="J3" s="334"/>
      <c r="K3" s="334"/>
      <c r="L3" s="65"/>
      <c r="M3" s="65"/>
      <c r="N3" s="66"/>
    </row>
    <row r="4" spans="2:31" s="67" customFormat="1" ht="15" customHeight="1" x14ac:dyDescent="0.25">
      <c r="B4" s="335" t="s">
        <v>184</v>
      </c>
      <c r="C4" s="336"/>
      <c r="D4" s="336"/>
      <c r="E4" s="336"/>
      <c r="F4" s="336"/>
      <c r="G4" s="336"/>
      <c r="H4" s="101"/>
      <c r="I4" s="168"/>
      <c r="J4" s="168"/>
      <c r="K4" s="168"/>
      <c r="L4" s="140"/>
      <c r="M4" s="140"/>
      <c r="N4" s="102"/>
    </row>
    <row r="5" spans="2:31" s="67" customFormat="1" ht="15" customHeight="1" x14ac:dyDescent="0.25">
      <c r="B5" s="335"/>
      <c r="C5" s="336"/>
      <c r="D5" s="336"/>
      <c r="E5" s="336"/>
      <c r="F5" s="336"/>
      <c r="G5" s="336"/>
      <c r="H5" s="142"/>
      <c r="I5" s="169"/>
      <c r="J5" s="169"/>
      <c r="K5" s="169"/>
      <c r="L5" s="96"/>
      <c r="M5" s="161"/>
      <c r="N5" s="162"/>
    </row>
    <row r="6" spans="2:31" s="67" customFormat="1" ht="15" customHeight="1" x14ac:dyDescent="0.25">
      <c r="B6" s="335"/>
      <c r="C6" s="336"/>
      <c r="D6" s="336"/>
      <c r="E6" s="336"/>
      <c r="F6" s="336"/>
      <c r="G6" s="336"/>
      <c r="H6" s="68"/>
      <c r="I6" s="97"/>
      <c r="J6" s="97"/>
      <c r="K6" s="144"/>
      <c r="L6" s="97"/>
      <c r="M6" s="161"/>
      <c r="N6" s="162"/>
    </row>
    <row r="7" spans="2:31" s="72" customFormat="1" ht="20.25" customHeight="1" thickBot="1" x14ac:dyDescent="0.35">
      <c r="B7" s="349" t="s">
        <v>170</v>
      </c>
      <c r="C7" s="350"/>
      <c r="D7" s="350"/>
      <c r="E7" s="350"/>
      <c r="F7" s="350"/>
      <c r="G7" s="71"/>
      <c r="H7" s="69"/>
      <c r="I7" s="98"/>
      <c r="J7" s="98"/>
      <c r="K7" s="98"/>
      <c r="L7" s="98"/>
      <c r="M7" s="98"/>
      <c r="N7" s="99"/>
    </row>
    <row r="8" spans="2:31" s="22" customFormat="1" ht="20.25" customHeight="1" x14ac:dyDescent="0.25">
      <c r="B8" s="1" t="s">
        <v>12</v>
      </c>
      <c r="C8" s="2"/>
      <c r="D8" s="3"/>
      <c r="E8" s="3"/>
      <c r="F8" s="3"/>
      <c r="G8" s="3"/>
      <c r="H8" s="26"/>
      <c r="I8" s="26"/>
      <c r="J8" s="26"/>
      <c r="K8" s="26"/>
      <c r="L8" s="26"/>
      <c r="M8" s="26"/>
      <c r="N8" s="26"/>
    </row>
    <row r="9" spans="2:31" s="22" customFormat="1" x14ac:dyDescent="0.2">
      <c r="B9" s="4" t="s">
        <v>0</v>
      </c>
      <c r="C9" s="4" t="s">
        <v>13</v>
      </c>
      <c r="D9" s="204"/>
      <c r="E9" s="204"/>
      <c r="F9" s="204" t="s">
        <v>39</v>
      </c>
      <c r="G9" s="204"/>
      <c r="H9" s="27"/>
      <c r="I9" s="27"/>
      <c r="J9" s="27"/>
      <c r="K9" s="27"/>
      <c r="L9" s="27"/>
      <c r="M9" s="27"/>
      <c r="N9" s="27"/>
    </row>
    <row r="10" spans="2:31" s="22" customFormat="1" x14ac:dyDescent="0.2">
      <c r="B10" s="4" t="s">
        <v>1</v>
      </c>
      <c r="C10" s="4" t="s">
        <v>14</v>
      </c>
      <c r="D10" s="204"/>
      <c r="E10" s="204"/>
      <c r="F10" s="204" t="s">
        <v>189</v>
      </c>
      <c r="G10" s="204"/>
      <c r="H10" s="100"/>
      <c r="I10" s="100"/>
      <c r="J10" s="27"/>
      <c r="K10" s="27"/>
      <c r="L10" s="27"/>
      <c r="M10" s="27"/>
      <c r="N10" s="27"/>
    </row>
    <row r="11" spans="2:31" s="22" customFormat="1" ht="51.75" x14ac:dyDescent="0.25">
      <c r="B11" s="6" t="s">
        <v>15</v>
      </c>
      <c r="C11" s="2"/>
      <c r="D11" s="3"/>
      <c r="E11" s="3"/>
      <c r="F11" s="3"/>
      <c r="G11" s="171" t="s">
        <v>186</v>
      </c>
      <c r="H11" s="170"/>
      <c r="I11" s="28" t="s">
        <v>16</v>
      </c>
      <c r="J11" s="28"/>
      <c r="K11" s="28" t="s">
        <v>17</v>
      </c>
      <c r="L11" s="176">
        <v>7.0000000000000007E-2</v>
      </c>
      <c r="M11" s="176" t="s">
        <v>192</v>
      </c>
      <c r="N11" s="29" t="s">
        <v>190</v>
      </c>
      <c r="O11" s="188" t="s">
        <v>191</v>
      </c>
      <c r="P11" s="138"/>
      <c r="Q11" s="139"/>
      <c r="W11" s="158"/>
      <c r="X11" s="158"/>
      <c r="Y11" s="266"/>
      <c r="Z11" s="266"/>
      <c r="AA11" s="266"/>
      <c r="AB11" s="266"/>
      <c r="AC11" s="266"/>
      <c r="AD11" s="266"/>
      <c r="AE11" s="158"/>
    </row>
    <row r="12" spans="2:31" s="202" customFormat="1" ht="15" customHeight="1" x14ac:dyDescent="0.2">
      <c r="B12" s="193" t="s">
        <v>0</v>
      </c>
      <c r="C12" s="193" t="s">
        <v>18</v>
      </c>
      <c r="D12" s="194"/>
      <c r="E12" s="194"/>
      <c r="F12" s="194"/>
      <c r="G12" s="195"/>
      <c r="H12" s="196"/>
      <c r="I12" s="196"/>
      <c r="J12" s="196"/>
      <c r="K12" s="196"/>
      <c r="L12" s="197"/>
      <c r="M12" s="198"/>
      <c r="N12" s="196"/>
      <c r="O12" s="199"/>
      <c r="P12" s="200"/>
      <c r="Q12" s="201"/>
      <c r="W12" s="267"/>
      <c r="X12" s="267"/>
      <c r="Y12" s="267"/>
      <c r="Z12" s="267"/>
      <c r="AA12" s="267"/>
      <c r="AB12" s="267"/>
      <c r="AC12" s="267"/>
      <c r="AD12" s="267"/>
      <c r="AE12" s="267"/>
    </row>
    <row r="13" spans="2:31" s="22" customFormat="1" ht="12.75" customHeight="1" x14ac:dyDescent="0.2">
      <c r="B13" s="4"/>
      <c r="C13" s="7" t="s">
        <v>5</v>
      </c>
      <c r="D13" s="204" t="s">
        <v>40</v>
      </c>
      <c r="E13" s="204"/>
      <c r="F13" s="204"/>
      <c r="G13" s="172" t="s">
        <v>185</v>
      </c>
      <c r="H13" s="103"/>
      <c r="I13" s="103" t="s">
        <v>19</v>
      </c>
      <c r="J13" s="103"/>
      <c r="K13" s="103" t="s">
        <v>20</v>
      </c>
      <c r="L13" s="177">
        <f>(M13*0.07)+M13</f>
        <v>2086.5</v>
      </c>
      <c r="M13" s="178">
        <v>1950</v>
      </c>
      <c r="N13" s="106" t="s">
        <v>122</v>
      </c>
      <c r="O13" s="189">
        <v>1800</v>
      </c>
      <c r="P13" s="131"/>
      <c r="Q13" s="133"/>
      <c r="W13" s="158"/>
      <c r="X13" s="25"/>
      <c r="Y13" s="232"/>
      <c r="Z13" s="175"/>
      <c r="AA13" s="158"/>
      <c r="AB13" s="268"/>
      <c r="AC13" s="269"/>
      <c r="AD13" s="158"/>
      <c r="AE13" s="158"/>
    </row>
    <row r="14" spans="2:31" s="22" customFormat="1" ht="12.75" customHeight="1" x14ac:dyDescent="0.2">
      <c r="B14" s="4"/>
      <c r="C14" s="7" t="s">
        <v>6</v>
      </c>
      <c r="D14" s="204" t="s">
        <v>41</v>
      </c>
      <c r="E14" s="204"/>
      <c r="F14" s="204"/>
      <c r="G14" s="172" t="s">
        <v>185</v>
      </c>
      <c r="H14" s="103"/>
      <c r="I14" s="103" t="s">
        <v>19</v>
      </c>
      <c r="J14" s="103"/>
      <c r="K14" s="103" t="s">
        <v>20</v>
      </c>
      <c r="L14" s="177">
        <f>(M14*0.07)+M14</f>
        <v>1763.3600000000001</v>
      </c>
      <c r="M14" s="179">
        <v>1648</v>
      </c>
      <c r="N14" s="106" t="s">
        <v>121</v>
      </c>
      <c r="O14" s="190">
        <v>1785</v>
      </c>
      <c r="P14" s="131"/>
      <c r="Q14" s="133"/>
      <c r="W14" s="158"/>
      <c r="X14" s="25"/>
      <c r="Y14" s="232"/>
      <c r="Z14" s="175"/>
      <c r="AA14" s="158"/>
      <c r="AB14" s="268"/>
      <c r="AC14" s="269"/>
      <c r="AD14" s="158"/>
      <c r="AE14" s="158"/>
    </row>
    <row r="15" spans="2:31" s="22" customFormat="1" ht="12.75" customHeight="1" x14ac:dyDescent="0.2">
      <c r="B15" s="4"/>
      <c r="C15" s="7" t="s">
        <v>7</v>
      </c>
      <c r="D15" s="204" t="s">
        <v>42</v>
      </c>
      <c r="E15" s="204"/>
      <c r="F15" s="204"/>
      <c r="G15" s="172" t="s">
        <v>185</v>
      </c>
      <c r="H15" s="103"/>
      <c r="I15" s="103" t="s">
        <v>19</v>
      </c>
      <c r="J15" s="103"/>
      <c r="K15" s="103" t="s">
        <v>20</v>
      </c>
      <c r="L15" s="177">
        <f>(M15*0.07)+M15</f>
        <v>933.04</v>
      </c>
      <c r="M15" s="178">
        <v>872</v>
      </c>
      <c r="N15" s="106" t="s">
        <v>104</v>
      </c>
      <c r="O15" s="190">
        <v>970</v>
      </c>
      <c r="P15" s="131"/>
      <c r="Q15" s="133"/>
      <c r="W15" s="158"/>
      <c r="X15" s="25"/>
      <c r="Y15" s="232"/>
      <c r="Z15" s="175"/>
      <c r="AA15" s="158"/>
      <c r="AB15" s="268"/>
      <c r="AC15" s="269"/>
      <c r="AD15" s="158"/>
      <c r="AE15" s="158"/>
    </row>
    <row r="16" spans="2:31" s="22" customFormat="1" ht="12.75" customHeight="1" x14ac:dyDescent="0.2">
      <c r="B16" s="4"/>
      <c r="C16" s="7" t="s">
        <v>8</v>
      </c>
      <c r="D16" s="204" t="s">
        <v>87</v>
      </c>
      <c r="E16" s="204"/>
      <c r="F16" s="204"/>
      <c r="G16" s="172" t="s">
        <v>187</v>
      </c>
      <c r="H16" s="103"/>
      <c r="I16" s="103" t="s">
        <v>19</v>
      </c>
      <c r="J16" s="103"/>
      <c r="K16" s="103" t="s">
        <v>43</v>
      </c>
      <c r="L16" s="177">
        <f>(M16*0.07)+M16</f>
        <v>217.21</v>
      </c>
      <c r="M16" s="178">
        <v>203</v>
      </c>
      <c r="N16" s="106" t="s">
        <v>123</v>
      </c>
      <c r="O16" s="190">
        <v>1085</v>
      </c>
      <c r="P16" s="131"/>
      <c r="Q16" s="133"/>
      <c r="W16" s="158"/>
      <c r="X16" s="25"/>
      <c r="Y16" s="158"/>
      <c r="Z16" s="175"/>
      <c r="AA16" s="158"/>
      <c r="AB16" s="268"/>
      <c r="AC16" s="270"/>
      <c r="AD16" s="158"/>
      <c r="AE16" s="158"/>
    </row>
    <row r="17" spans="2:31" s="22" customFormat="1" x14ac:dyDescent="0.2">
      <c r="C17" s="7" t="s">
        <v>10</v>
      </c>
      <c r="D17" s="204" t="s">
        <v>168</v>
      </c>
      <c r="G17" s="172" t="s">
        <v>188</v>
      </c>
      <c r="H17" s="107"/>
      <c r="I17" s="103" t="s">
        <v>19</v>
      </c>
      <c r="J17" s="107"/>
      <c r="K17" s="103" t="s">
        <v>20</v>
      </c>
      <c r="L17" s="180"/>
      <c r="M17" s="181"/>
      <c r="N17" s="106" t="s">
        <v>183</v>
      </c>
      <c r="O17" s="191">
        <v>400</v>
      </c>
      <c r="P17" s="131"/>
      <c r="Q17" s="133"/>
      <c r="W17" s="158"/>
      <c r="X17" s="25"/>
      <c r="Y17" s="271"/>
      <c r="Z17" s="268"/>
      <c r="AA17" s="269"/>
      <c r="AB17" s="268"/>
      <c r="AC17" s="269"/>
      <c r="AD17" s="158"/>
      <c r="AE17" s="158"/>
    </row>
    <row r="18" spans="2:31" s="22" customFormat="1" ht="12" customHeight="1" x14ac:dyDescent="0.2">
      <c r="G18" s="172"/>
      <c r="H18" s="107"/>
      <c r="I18" s="107"/>
      <c r="J18" s="107"/>
      <c r="K18" s="107"/>
      <c r="L18" s="180"/>
      <c r="M18" s="181"/>
      <c r="N18" s="107"/>
      <c r="O18" s="191"/>
      <c r="P18" s="131"/>
      <c r="Q18" s="133"/>
      <c r="W18" s="158"/>
      <c r="X18" s="25"/>
      <c r="Y18" s="158"/>
      <c r="Z18" s="158"/>
      <c r="AA18" s="158"/>
      <c r="AB18" s="158"/>
      <c r="AC18" s="158"/>
      <c r="AD18" s="158"/>
      <c r="AE18" s="158"/>
    </row>
    <row r="19" spans="2:31" s="22" customFormat="1" x14ac:dyDescent="0.2">
      <c r="B19" s="4" t="s">
        <v>1</v>
      </c>
      <c r="C19" s="4" t="s">
        <v>21</v>
      </c>
      <c r="D19" s="204"/>
      <c r="E19" s="204"/>
      <c r="F19" s="204"/>
      <c r="G19" s="172"/>
      <c r="H19" s="103"/>
      <c r="I19" s="103"/>
      <c r="J19" s="103"/>
      <c r="K19" s="103"/>
      <c r="L19" s="182"/>
      <c r="M19" s="183"/>
      <c r="N19" s="103"/>
      <c r="O19" s="191"/>
      <c r="P19" s="133"/>
      <c r="Q19" s="136"/>
      <c r="W19" s="158"/>
      <c r="X19" s="158"/>
      <c r="Y19" s="158"/>
      <c r="Z19" s="158"/>
      <c r="AA19" s="158"/>
      <c r="AB19" s="158"/>
      <c r="AC19" s="158"/>
      <c r="AD19" s="158"/>
      <c r="AE19" s="158"/>
    </row>
    <row r="20" spans="2:31" s="22" customFormat="1" x14ac:dyDescent="0.2">
      <c r="B20" s="4"/>
      <c r="C20" s="7" t="s">
        <v>5</v>
      </c>
      <c r="D20" s="204" t="s">
        <v>44</v>
      </c>
      <c r="E20" s="204"/>
      <c r="F20" s="204"/>
      <c r="G20" s="172" t="s">
        <v>185</v>
      </c>
      <c r="H20" s="103"/>
      <c r="I20" s="103" t="s">
        <v>19</v>
      </c>
      <c r="J20" s="103"/>
      <c r="K20" s="103" t="s">
        <v>49</v>
      </c>
      <c r="L20" s="177">
        <f>(M20*0.07)+M20</f>
        <v>636.65</v>
      </c>
      <c r="M20" s="179">
        <v>595</v>
      </c>
      <c r="N20" s="108" t="s">
        <v>118</v>
      </c>
      <c r="O20" s="190">
        <v>745</v>
      </c>
      <c r="P20" s="135"/>
      <c r="Q20" s="136"/>
      <c r="W20" s="158"/>
      <c r="X20" s="25"/>
      <c r="Y20" s="232"/>
      <c r="Z20" s="175"/>
      <c r="AA20" s="158"/>
      <c r="AB20" s="268"/>
      <c r="AC20" s="269"/>
      <c r="AD20" s="158"/>
      <c r="AE20" s="158"/>
    </row>
    <row r="21" spans="2:31" s="22" customFormat="1" x14ac:dyDescent="0.2">
      <c r="B21" s="4"/>
      <c r="C21" s="7" t="s">
        <v>6</v>
      </c>
      <c r="D21" s="204" t="s">
        <v>45</v>
      </c>
      <c r="E21" s="204"/>
      <c r="F21" s="204"/>
      <c r="G21" s="172" t="s">
        <v>185</v>
      </c>
      <c r="H21" s="103"/>
      <c r="I21" s="103" t="s">
        <v>19</v>
      </c>
      <c r="J21" s="103"/>
      <c r="K21" s="103" t="s">
        <v>49</v>
      </c>
      <c r="L21" s="177">
        <f>(M21*0.07)+M21</f>
        <v>846.37</v>
      </c>
      <c r="M21" s="178">
        <v>791</v>
      </c>
      <c r="N21" s="108" t="s">
        <v>105</v>
      </c>
      <c r="O21" s="190">
        <v>800</v>
      </c>
      <c r="P21" s="135"/>
      <c r="Q21" s="136"/>
      <c r="W21" s="158"/>
      <c r="X21" s="25"/>
      <c r="Y21" s="232"/>
      <c r="Z21" s="175"/>
      <c r="AA21" s="158"/>
      <c r="AB21" s="268"/>
      <c r="AC21" s="269"/>
      <c r="AD21" s="158"/>
      <c r="AE21" s="158"/>
    </row>
    <row r="22" spans="2:31" s="22" customFormat="1" x14ac:dyDescent="0.2">
      <c r="B22" s="4"/>
      <c r="C22" s="7" t="s">
        <v>7</v>
      </c>
      <c r="D22" s="204" t="s">
        <v>46</v>
      </c>
      <c r="E22" s="204"/>
      <c r="F22" s="204"/>
      <c r="G22" s="172" t="s">
        <v>185</v>
      </c>
      <c r="H22" s="103"/>
      <c r="I22" s="103" t="s">
        <v>19</v>
      </c>
      <c r="J22" s="103"/>
      <c r="K22" s="103" t="s">
        <v>49</v>
      </c>
      <c r="L22" s="177">
        <f>(M22*0.07)+M22</f>
        <v>807.85</v>
      </c>
      <c r="M22" s="178">
        <v>755</v>
      </c>
      <c r="N22" s="108" t="s">
        <v>119</v>
      </c>
      <c r="O22" s="190">
        <v>625</v>
      </c>
      <c r="P22" s="135"/>
      <c r="Q22" s="133"/>
      <c r="W22" s="158"/>
      <c r="X22" s="25"/>
      <c r="Y22" s="232"/>
      <c r="Z22" s="175"/>
      <c r="AA22" s="158"/>
      <c r="AB22" s="268"/>
      <c r="AC22" s="269"/>
      <c r="AD22" s="158"/>
      <c r="AE22" s="158"/>
    </row>
    <row r="23" spans="2:31" s="22" customFormat="1" x14ac:dyDescent="0.2">
      <c r="B23" s="4"/>
      <c r="C23" s="7" t="s">
        <v>8</v>
      </c>
      <c r="D23" s="204" t="s">
        <v>47</v>
      </c>
      <c r="E23" s="204"/>
      <c r="F23" s="204"/>
      <c r="G23" s="172" t="s">
        <v>185</v>
      </c>
      <c r="H23" s="103"/>
      <c r="I23" s="103" t="s">
        <v>19</v>
      </c>
      <c r="J23" s="103"/>
      <c r="K23" s="103" t="s">
        <v>49</v>
      </c>
      <c r="L23" s="177">
        <f>(M23*0.07)+M23</f>
        <v>735.09</v>
      </c>
      <c r="M23" s="178">
        <v>687</v>
      </c>
      <c r="N23" s="108" t="s">
        <v>106</v>
      </c>
      <c r="O23" s="190">
        <v>570</v>
      </c>
      <c r="P23" s="131"/>
      <c r="Q23" s="133"/>
      <c r="R23" s="205" t="s">
        <v>204</v>
      </c>
      <c r="S23" s="205"/>
      <c r="T23" s="205"/>
      <c r="W23" s="158"/>
      <c r="X23" s="25"/>
      <c r="Y23" s="232"/>
      <c r="Z23" s="175"/>
      <c r="AA23" s="158"/>
      <c r="AB23" s="268"/>
      <c r="AC23" s="269"/>
      <c r="AD23" s="158"/>
      <c r="AE23" s="158"/>
    </row>
    <row r="24" spans="2:31" s="22" customFormat="1" x14ac:dyDescent="0.2">
      <c r="B24" s="4"/>
      <c r="C24" s="7" t="s">
        <v>9</v>
      </c>
      <c r="D24" s="204" t="s">
        <v>48</v>
      </c>
      <c r="E24" s="204"/>
      <c r="F24" s="204"/>
      <c r="G24" s="172" t="s">
        <v>185</v>
      </c>
      <c r="H24" s="109"/>
      <c r="I24" s="103" t="s">
        <v>19</v>
      </c>
      <c r="J24" s="103"/>
      <c r="K24" s="103" t="s">
        <v>102</v>
      </c>
      <c r="L24" s="177">
        <f>(M24*0.07)+M24</f>
        <v>640.93000000000006</v>
      </c>
      <c r="M24" s="178">
        <v>599</v>
      </c>
      <c r="N24" s="106" t="s">
        <v>120</v>
      </c>
      <c r="O24" s="190">
        <v>640</v>
      </c>
      <c r="P24" s="131"/>
      <c r="Q24" s="133"/>
      <c r="W24" s="158"/>
      <c r="X24" s="25"/>
      <c r="Y24" s="234"/>
      <c r="Z24" s="235"/>
      <c r="AA24" s="158"/>
      <c r="AB24" s="158"/>
      <c r="AC24" s="269"/>
      <c r="AD24" s="158"/>
      <c r="AE24" s="158"/>
    </row>
    <row r="25" spans="2:31" s="22" customFormat="1" x14ac:dyDescent="0.2">
      <c r="B25" s="4"/>
      <c r="C25" s="7"/>
      <c r="D25" s="204"/>
      <c r="E25" s="204"/>
      <c r="F25" s="204"/>
      <c r="G25" s="172"/>
      <c r="H25" s="109"/>
      <c r="I25" s="103"/>
      <c r="J25" s="103"/>
      <c r="K25" s="103"/>
      <c r="L25" s="184"/>
      <c r="M25" s="178"/>
      <c r="N25" s="106"/>
      <c r="O25" s="190"/>
      <c r="P25" s="131"/>
      <c r="Q25" s="133"/>
      <c r="W25" s="158"/>
      <c r="X25" s="25"/>
      <c r="Y25" s="232"/>
      <c r="Z25" s="175"/>
      <c r="AA25" s="158"/>
      <c r="AB25" s="268"/>
      <c r="AC25" s="269"/>
      <c r="AD25" s="158"/>
      <c r="AE25" s="158"/>
    </row>
    <row r="26" spans="2:31" s="22" customFormat="1" x14ac:dyDescent="0.2">
      <c r="G26" s="172"/>
      <c r="H26" s="107"/>
      <c r="I26" s="107"/>
      <c r="J26" s="107"/>
      <c r="K26" s="107"/>
      <c r="L26" s="180"/>
      <c r="M26" s="181"/>
      <c r="N26" s="107"/>
      <c r="O26" s="190"/>
      <c r="P26" s="135"/>
      <c r="Q26" s="137"/>
      <c r="W26" s="158"/>
      <c r="X26" s="25"/>
      <c r="Y26" s="158"/>
      <c r="Z26" s="175"/>
      <c r="AA26" s="158"/>
      <c r="AB26" s="268"/>
      <c r="AC26" s="270"/>
      <c r="AD26" s="158"/>
      <c r="AE26" s="158"/>
    </row>
    <row r="27" spans="2:31" s="22" customFormat="1" x14ac:dyDescent="0.2">
      <c r="B27" s="4" t="s">
        <v>2</v>
      </c>
      <c r="C27" s="4" t="s">
        <v>22</v>
      </c>
      <c r="D27" s="204"/>
      <c r="E27" s="204"/>
      <c r="F27" s="204"/>
      <c r="G27" s="172"/>
      <c r="H27" s="103"/>
      <c r="I27" s="103"/>
      <c r="J27" s="103"/>
      <c r="K27" s="103"/>
      <c r="L27" s="184"/>
      <c r="M27" s="178"/>
      <c r="N27" s="103"/>
      <c r="O27" s="191"/>
      <c r="P27" s="136"/>
      <c r="Q27" s="136"/>
      <c r="U27" s="30"/>
      <c r="V27" s="30"/>
      <c r="W27" s="158"/>
      <c r="X27" s="25"/>
      <c r="Y27" s="271"/>
      <c r="Z27" s="268"/>
      <c r="AA27" s="269"/>
      <c r="AB27" s="268"/>
      <c r="AC27" s="269"/>
      <c r="AD27" s="158"/>
      <c r="AE27" s="158"/>
    </row>
    <row r="28" spans="2:31" s="22" customFormat="1" x14ac:dyDescent="0.2">
      <c r="B28" s="4"/>
      <c r="C28" s="7" t="s">
        <v>5</v>
      </c>
      <c r="D28" s="204" t="s">
        <v>57</v>
      </c>
      <c r="E28" s="204"/>
      <c r="F28" s="204"/>
      <c r="G28" s="172" t="s">
        <v>185</v>
      </c>
      <c r="H28" s="109"/>
      <c r="I28" s="103" t="s">
        <v>19</v>
      </c>
      <c r="J28" s="103"/>
      <c r="K28" s="103" t="s">
        <v>34</v>
      </c>
      <c r="L28" s="177">
        <f t="shared" ref="L28:L36" si="0">(M28*0.07)+M28</f>
        <v>448.33</v>
      </c>
      <c r="M28" s="185">
        <v>419</v>
      </c>
      <c r="N28" s="106" t="s">
        <v>107</v>
      </c>
      <c r="O28" s="189">
        <v>600</v>
      </c>
      <c r="P28" s="131"/>
      <c r="Q28" s="133"/>
      <c r="W28" s="261"/>
      <c r="X28" s="25"/>
      <c r="Y28" s="158"/>
      <c r="Z28" s="269"/>
      <c r="AA28" s="158"/>
      <c r="AB28" s="269"/>
      <c r="AC28" s="158"/>
      <c r="AD28" s="158"/>
      <c r="AE28" s="158"/>
    </row>
    <row r="29" spans="2:31" s="22" customFormat="1" x14ac:dyDescent="0.2">
      <c r="B29" s="73"/>
      <c r="C29" s="74" t="s">
        <v>6</v>
      </c>
      <c r="D29" s="27" t="s">
        <v>98</v>
      </c>
      <c r="E29" s="27"/>
      <c r="F29" s="27"/>
      <c r="G29" s="173" t="s">
        <v>185</v>
      </c>
      <c r="H29" s="109"/>
      <c r="I29" s="103" t="s">
        <v>19</v>
      </c>
      <c r="J29" s="103"/>
      <c r="K29" s="103" t="s">
        <v>34</v>
      </c>
      <c r="L29" s="177">
        <f t="shared" si="0"/>
        <v>799.29</v>
      </c>
      <c r="M29" s="186">
        <v>747</v>
      </c>
      <c r="N29" s="106" t="s">
        <v>108</v>
      </c>
      <c r="O29" s="189">
        <v>750</v>
      </c>
      <c r="P29" s="131"/>
      <c r="Q29" s="133"/>
      <c r="W29" s="262"/>
      <c r="X29" s="25"/>
      <c r="Y29" s="158"/>
      <c r="Z29" s="158"/>
      <c r="AA29" s="158"/>
      <c r="AB29" s="158"/>
      <c r="AC29" s="269"/>
      <c r="AD29" s="158"/>
      <c r="AE29" s="158"/>
    </row>
    <row r="30" spans="2:31" s="153" customFormat="1" ht="13.5" customHeight="1" x14ac:dyDescent="0.2">
      <c r="B30" s="150"/>
      <c r="C30" s="14" t="s">
        <v>7</v>
      </c>
      <c r="D30" s="13" t="s">
        <v>165</v>
      </c>
      <c r="E30" s="13"/>
      <c r="F30" s="13"/>
      <c r="G30" s="174" t="s">
        <v>185</v>
      </c>
      <c r="H30" s="159"/>
      <c r="I30" s="25" t="s">
        <v>19</v>
      </c>
      <c r="J30" s="25"/>
      <c r="K30" s="25" t="s">
        <v>34</v>
      </c>
      <c r="L30" s="177">
        <f t="shared" si="0"/>
        <v>345.61</v>
      </c>
      <c r="M30" s="186">
        <v>323</v>
      </c>
      <c r="N30" s="154" t="s">
        <v>166</v>
      </c>
      <c r="O30" s="192">
        <v>525</v>
      </c>
      <c r="P30" s="151"/>
      <c r="Q30" s="152"/>
      <c r="W30" s="154"/>
      <c r="X30" s="25"/>
      <c r="Y30" s="158"/>
      <c r="Z30" s="158"/>
      <c r="AA30" s="158"/>
      <c r="AB30" s="158"/>
      <c r="AC30" s="269"/>
      <c r="AD30" s="158"/>
      <c r="AE30" s="158"/>
    </row>
    <row r="31" spans="2:31" s="22" customFormat="1" x14ac:dyDescent="0.2">
      <c r="B31" s="4"/>
      <c r="C31" s="7" t="s">
        <v>8</v>
      </c>
      <c r="D31" s="204" t="s">
        <v>67</v>
      </c>
      <c r="E31" s="204"/>
      <c r="F31" s="204"/>
      <c r="G31" s="172" t="s">
        <v>185</v>
      </c>
      <c r="H31" s="109"/>
      <c r="I31" s="103" t="s">
        <v>19</v>
      </c>
      <c r="J31" s="103"/>
      <c r="K31" s="103" t="s">
        <v>34</v>
      </c>
      <c r="L31" s="177">
        <f t="shared" si="0"/>
        <v>618.46</v>
      </c>
      <c r="M31" s="185">
        <v>578</v>
      </c>
      <c r="N31" s="106" t="s">
        <v>109</v>
      </c>
      <c r="O31" s="190">
        <v>650</v>
      </c>
      <c r="P31" s="131"/>
      <c r="Q31" s="134"/>
      <c r="W31" s="262"/>
      <c r="X31" s="25"/>
      <c r="Y31" s="158"/>
      <c r="Z31" s="158"/>
      <c r="AA31" s="158"/>
      <c r="AB31" s="158"/>
      <c r="AC31" s="269"/>
      <c r="AD31" s="158"/>
      <c r="AE31" s="158"/>
    </row>
    <row r="32" spans="2:31" s="22" customFormat="1" x14ac:dyDescent="0.2">
      <c r="B32" s="4"/>
      <c r="C32" s="7" t="s">
        <v>10</v>
      </c>
      <c r="D32" s="204" t="s">
        <v>58</v>
      </c>
      <c r="E32" s="204"/>
      <c r="F32" s="204"/>
      <c r="G32" s="172" t="s">
        <v>185</v>
      </c>
      <c r="H32" s="109"/>
      <c r="I32" s="103" t="s">
        <v>19</v>
      </c>
      <c r="J32" s="103"/>
      <c r="K32" s="103" t="s">
        <v>34</v>
      </c>
      <c r="L32" s="177">
        <f t="shared" si="0"/>
        <v>526.44000000000005</v>
      </c>
      <c r="M32" s="185">
        <v>492</v>
      </c>
      <c r="N32" s="106" t="s">
        <v>110</v>
      </c>
      <c r="O32" s="189">
        <v>600</v>
      </c>
      <c r="P32" s="131"/>
      <c r="Q32" s="136"/>
      <c r="W32" s="262"/>
      <c r="X32" s="25"/>
      <c r="Y32" s="158"/>
      <c r="Z32" s="158"/>
      <c r="AA32" s="158"/>
      <c r="AB32" s="158"/>
      <c r="AC32" s="269"/>
      <c r="AD32" s="158"/>
      <c r="AE32" s="158"/>
    </row>
    <row r="33" spans="1:31" s="22" customFormat="1" x14ac:dyDescent="0.2">
      <c r="B33" s="4"/>
      <c r="C33" s="7" t="s">
        <v>11</v>
      </c>
      <c r="D33" s="204" t="s">
        <v>59</v>
      </c>
      <c r="E33" s="204"/>
      <c r="F33" s="204"/>
      <c r="G33" s="172" t="s">
        <v>185</v>
      </c>
      <c r="H33" s="109"/>
      <c r="I33" s="103" t="s">
        <v>19</v>
      </c>
      <c r="J33" s="27"/>
      <c r="K33" s="27" t="s">
        <v>34</v>
      </c>
      <c r="L33" s="177">
        <f t="shared" si="0"/>
        <v>552.12</v>
      </c>
      <c r="M33" s="186">
        <v>516</v>
      </c>
      <c r="N33" s="74" t="s">
        <v>167</v>
      </c>
      <c r="O33" s="189">
        <v>600</v>
      </c>
      <c r="P33" s="131"/>
      <c r="Q33" s="133"/>
      <c r="W33" s="263"/>
      <c r="X33" s="25"/>
      <c r="Y33" s="158"/>
      <c r="Z33" s="158"/>
      <c r="AA33" s="158"/>
      <c r="AB33" s="158"/>
      <c r="AC33" s="269"/>
      <c r="AD33" s="158"/>
      <c r="AE33" s="158"/>
    </row>
    <row r="34" spans="1:31" s="22" customFormat="1" x14ac:dyDescent="0.2">
      <c r="B34" s="4"/>
      <c r="C34" s="7" t="s">
        <v>50</v>
      </c>
      <c r="D34" s="204" t="s">
        <v>60</v>
      </c>
      <c r="E34" s="204"/>
      <c r="F34" s="204"/>
      <c r="G34" s="172" t="s">
        <v>185</v>
      </c>
      <c r="H34" s="109"/>
      <c r="I34" s="103" t="s">
        <v>19</v>
      </c>
      <c r="J34" s="103"/>
      <c r="K34" s="103" t="s">
        <v>100</v>
      </c>
      <c r="L34" s="177">
        <f t="shared" si="0"/>
        <v>558.54</v>
      </c>
      <c r="M34" s="185">
        <v>522</v>
      </c>
      <c r="N34" s="106" t="s">
        <v>111</v>
      </c>
      <c r="O34" s="189">
        <v>500</v>
      </c>
      <c r="P34" s="131"/>
      <c r="Q34" s="134"/>
      <c r="W34" s="262"/>
      <c r="X34" s="25"/>
      <c r="Y34" s="158"/>
      <c r="Z34" s="158"/>
      <c r="AA34" s="158"/>
      <c r="AB34" s="158"/>
      <c r="AC34" s="269"/>
      <c r="AD34" s="158"/>
      <c r="AE34" s="158"/>
    </row>
    <row r="35" spans="1:31" s="22" customFormat="1" x14ac:dyDescent="0.2">
      <c r="B35" s="4"/>
      <c r="C35" s="7" t="s">
        <v>51</v>
      </c>
      <c r="D35" s="204" t="s">
        <v>61</v>
      </c>
      <c r="E35" s="204"/>
      <c r="F35" s="204"/>
      <c r="G35" s="172" t="s">
        <v>185</v>
      </c>
      <c r="H35" s="109"/>
      <c r="I35" s="103" t="s">
        <v>19</v>
      </c>
      <c r="J35" s="103"/>
      <c r="K35" s="103" t="s">
        <v>34</v>
      </c>
      <c r="L35" s="177">
        <f t="shared" si="0"/>
        <v>467.59000000000003</v>
      </c>
      <c r="M35" s="186">
        <v>437</v>
      </c>
      <c r="N35" s="106" t="s">
        <v>112</v>
      </c>
      <c r="O35" s="190">
        <v>425</v>
      </c>
      <c r="P35" s="131"/>
      <c r="Q35" s="133"/>
      <c r="W35" s="262"/>
      <c r="X35" s="25"/>
      <c r="Y35" s="158"/>
      <c r="Z35" s="158"/>
      <c r="AA35" s="158"/>
      <c r="AB35" s="158"/>
      <c r="AC35" s="269"/>
      <c r="AD35" s="158"/>
      <c r="AE35" s="158"/>
    </row>
    <row r="36" spans="1:31" s="22" customFormat="1" x14ac:dyDescent="0.2">
      <c r="B36" s="4"/>
      <c r="C36" s="7" t="s">
        <v>52</v>
      </c>
      <c r="D36" s="204" t="s">
        <v>62</v>
      </c>
      <c r="E36" s="204"/>
      <c r="F36" s="204"/>
      <c r="G36" s="172" t="s">
        <v>185</v>
      </c>
      <c r="H36" s="109"/>
      <c r="I36" s="103" t="s">
        <v>19</v>
      </c>
      <c r="J36" s="103"/>
      <c r="K36" s="103" t="s">
        <v>99</v>
      </c>
      <c r="L36" s="177">
        <f t="shared" si="0"/>
        <v>437.63</v>
      </c>
      <c r="M36" s="186">
        <v>409</v>
      </c>
      <c r="N36" s="106" t="s">
        <v>113</v>
      </c>
      <c r="O36" s="190">
        <v>475</v>
      </c>
      <c r="P36" s="135"/>
      <c r="Q36" s="136"/>
      <c r="U36" s="23"/>
      <c r="V36" s="23"/>
      <c r="W36" s="264"/>
      <c r="X36" s="25"/>
      <c r="Y36" s="158"/>
      <c r="Z36" s="158"/>
      <c r="AA36" s="158"/>
      <c r="AB36" s="158"/>
      <c r="AC36" s="269"/>
      <c r="AD36" s="158"/>
      <c r="AE36" s="158"/>
    </row>
    <row r="37" spans="1:31" s="22" customFormat="1" x14ac:dyDescent="0.2">
      <c r="B37" s="4"/>
      <c r="C37" s="7"/>
      <c r="D37" s="351" t="s">
        <v>232</v>
      </c>
      <c r="E37" s="351"/>
      <c r="F37" s="351"/>
      <c r="G37" s="351"/>
      <c r="H37" s="351"/>
      <c r="I37" s="351"/>
      <c r="J37" s="103"/>
      <c r="K37" s="103"/>
      <c r="L37" s="184"/>
      <c r="M37" s="187"/>
      <c r="N37" s="106"/>
      <c r="O37" s="190"/>
      <c r="P37" s="135"/>
      <c r="Q37" s="136"/>
      <c r="U37" s="23"/>
      <c r="V37" s="23"/>
      <c r="W37" s="264"/>
      <c r="X37" s="25"/>
      <c r="Y37" s="158"/>
      <c r="Z37" s="158"/>
      <c r="AA37" s="158"/>
      <c r="AB37" s="158"/>
      <c r="AC37" s="269"/>
      <c r="AD37" s="158"/>
      <c r="AE37" s="158"/>
    </row>
    <row r="38" spans="1:31" s="22" customFormat="1" ht="12.75" customHeight="1" x14ac:dyDescent="0.2">
      <c r="B38" s="4"/>
      <c r="C38" s="7" t="s">
        <v>53</v>
      </c>
      <c r="D38" s="204" t="s">
        <v>63</v>
      </c>
      <c r="E38" s="204"/>
      <c r="F38" s="204"/>
      <c r="G38" s="172" t="s">
        <v>185</v>
      </c>
      <c r="H38" s="109"/>
      <c r="I38" s="103" t="s">
        <v>19</v>
      </c>
      <c r="J38" s="103"/>
      <c r="K38" s="103" t="s">
        <v>100</v>
      </c>
      <c r="L38" s="177">
        <f>(M38*0.07)+M38</f>
        <v>512.53</v>
      </c>
      <c r="M38" s="185">
        <v>479</v>
      </c>
      <c r="N38" s="106" t="s">
        <v>114</v>
      </c>
      <c r="O38" s="189">
        <v>500</v>
      </c>
      <c r="P38" s="135"/>
      <c r="Q38" s="136"/>
      <c r="W38" s="262"/>
      <c r="X38" s="25"/>
      <c r="Y38" s="158"/>
      <c r="Z38" s="158"/>
      <c r="AA38" s="158"/>
      <c r="AB38" s="158"/>
      <c r="AC38" s="158"/>
      <c r="AD38" s="158"/>
      <c r="AE38" s="158"/>
    </row>
    <row r="39" spans="1:31" s="22" customFormat="1" x14ac:dyDescent="0.2">
      <c r="B39" s="4"/>
      <c r="C39" s="7" t="s">
        <v>54</v>
      </c>
      <c r="D39" s="204" t="s">
        <v>64</v>
      </c>
      <c r="E39" s="204"/>
      <c r="F39" s="204"/>
      <c r="G39" s="172" t="s">
        <v>185</v>
      </c>
      <c r="H39" s="109"/>
      <c r="I39" s="103" t="s">
        <v>19</v>
      </c>
      <c r="J39" s="103"/>
      <c r="K39" s="103" t="s">
        <v>34</v>
      </c>
      <c r="L39" s="177">
        <f>(M39*0.07)+M39</f>
        <v>618.46</v>
      </c>
      <c r="M39" s="185">
        <v>578</v>
      </c>
      <c r="N39" s="106" t="s">
        <v>117</v>
      </c>
      <c r="O39" s="189">
        <v>600</v>
      </c>
      <c r="P39" s="135"/>
      <c r="Q39" s="136"/>
      <c r="W39" s="262"/>
      <c r="X39" s="25"/>
      <c r="Y39" s="158"/>
      <c r="Z39" s="158"/>
      <c r="AA39" s="158"/>
      <c r="AB39" s="158"/>
      <c r="AC39" s="269"/>
      <c r="AD39" s="158"/>
      <c r="AE39" s="158"/>
    </row>
    <row r="40" spans="1:31" s="22" customFormat="1" x14ac:dyDescent="0.2">
      <c r="B40" s="4"/>
      <c r="C40" s="7" t="s">
        <v>55</v>
      </c>
      <c r="D40" s="204" t="s">
        <v>65</v>
      </c>
      <c r="E40" s="204"/>
      <c r="F40" s="204"/>
      <c r="G40" s="172" t="s">
        <v>185</v>
      </c>
      <c r="H40" s="109"/>
      <c r="I40" s="103" t="s">
        <v>19</v>
      </c>
      <c r="J40" s="103"/>
      <c r="K40" s="103" t="s">
        <v>100</v>
      </c>
      <c r="L40" s="177">
        <f>(M40*0.07)+M40</f>
        <v>537.14</v>
      </c>
      <c r="M40" s="185">
        <v>502</v>
      </c>
      <c r="N40" s="106" t="s">
        <v>115</v>
      </c>
      <c r="O40" s="190">
        <v>525</v>
      </c>
      <c r="P40" s="143"/>
      <c r="Q40" s="136"/>
      <c r="W40" s="262"/>
      <c r="X40" s="25"/>
      <c r="Y40" s="158"/>
      <c r="Z40" s="158"/>
      <c r="AA40" s="158"/>
      <c r="AB40" s="158"/>
      <c r="AC40" s="269"/>
      <c r="AD40" s="158"/>
      <c r="AE40" s="158"/>
    </row>
    <row r="41" spans="1:31" s="22" customFormat="1" x14ac:dyDescent="0.2">
      <c r="B41" s="4"/>
      <c r="C41" s="7" t="s">
        <v>56</v>
      </c>
      <c r="D41" s="204" t="s">
        <v>66</v>
      </c>
      <c r="E41" s="204"/>
      <c r="F41" s="204"/>
      <c r="G41" s="172" t="s">
        <v>185</v>
      </c>
      <c r="H41" s="109"/>
      <c r="I41" s="103" t="s">
        <v>19</v>
      </c>
      <c r="J41" s="103"/>
      <c r="K41" s="103" t="s">
        <v>100</v>
      </c>
      <c r="L41" s="177">
        <f>(M41*0.07)+M41</f>
        <v>605.62</v>
      </c>
      <c r="M41" s="185">
        <v>566</v>
      </c>
      <c r="N41" s="106" t="s">
        <v>116</v>
      </c>
      <c r="O41" s="190">
        <v>550</v>
      </c>
      <c r="P41" s="135"/>
      <c r="Q41" s="136"/>
      <c r="W41" s="262"/>
      <c r="X41" s="25"/>
      <c r="Y41" s="158"/>
      <c r="Z41" s="158"/>
      <c r="AA41" s="158"/>
      <c r="AB41" s="158"/>
      <c r="AC41" s="269"/>
      <c r="AD41" s="158"/>
      <c r="AE41" s="158"/>
    </row>
    <row r="42" spans="1:31" ht="13.5" customHeight="1" x14ac:dyDescent="0.2">
      <c r="G42" s="107"/>
      <c r="H42" s="107"/>
      <c r="I42" s="107"/>
      <c r="J42" s="107"/>
      <c r="K42" s="107"/>
      <c r="L42" s="104"/>
      <c r="M42" s="105"/>
      <c r="N42" s="107"/>
      <c r="O42" s="132"/>
      <c r="P42" s="135"/>
      <c r="Q42" s="137"/>
      <c r="W42" s="272"/>
      <c r="X42" s="25"/>
      <c r="Y42" s="158"/>
      <c r="Z42" s="158"/>
      <c r="AA42" s="265"/>
      <c r="AB42" s="158"/>
      <c r="AC42" s="269"/>
      <c r="AD42" s="158"/>
      <c r="AE42" s="265"/>
    </row>
    <row r="43" spans="1:31" ht="14.25" x14ac:dyDescent="0.2">
      <c r="B43" s="8" t="s">
        <v>169</v>
      </c>
      <c r="C43" s="9"/>
      <c r="D43" s="10"/>
      <c r="E43" s="10"/>
      <c r="F43" s="10"/>
      <c r="G43" s="10"/>
      <c r="H43" s="31"/>
      <c r="I43" s="31"/>
      <c r="J43" s="31"/>
      <c r="K43" s="31"/>
      <c r="L43" s="31"/>
      <c r="M43" s="31"/>
      <c r="N43" s="32"/>
      <c r="Q43" s="137"/>
      <c r="W43" s="158"/>
      <c r="X43" s="25"/>
      <c r="Y43" s="265"/>
      <c r="Z43" s="265"/>
      <c r="AA43" s="265"/>
      <c r="AB43" s="158"/>
      <c r="AC43" s="270"/>
      <c r="AD43" s="158"/>
      <c r="AE43" s="265"/>
    </row>
    <row r="44" spans="1:31" ht="5.25" customHeight="1" x14ac:dyDescent="0.2">
      <c r="B44" s="7"/>
      <c r="C44" s="7"/>
      <c r="D44" s="204"/>
      <c r="E44" s="204"/>
      <c r="F44" s="204"/>
      <c r="G44" s="204"/>
      <c r="H44" s="27"/>
      <c r="I44" s="27"/>
      <c r="J44" s="27"/>
      <c r="K44" s="27"/>
      <c r="L44" s="27"/>
      <c r="M44" s="27"/>
      <c r="N44" s="33"/>
      <c r="W44" s="265"/>
      <c r="X44" s="265"/>
      <c r="Y44" s="265"/>
      <c r="Z44" s="265"/>
      <c r="AA44" s="265"/>
      <c r="AB44" s="265"/>
      <c r="AC44" s="265"/>
      <c r="AD44" s="265"/>
      <c r="AE44" s="265"/>
    </row>
    <row r="45" spans="1:31" x14ac:dyDescent="0.2">
      <c r="B45" s="11" t="s">
        <v>173</v>
      </c>
      <c r="C45" s="12" t="s">
        <v>148</v>
      </c>
      <c r="D45" s="13"/>
      <c r="E45" s="13"/>
      <c r="F45" s="13"/>
      <c r="G45" s="13"/>
      <c r="H45" s="113"/>
      <c r="I45" s="113"/>
      <c r="J45" s="113"/>
      <c r="K45" s="113"/>
      <c r="L45" s="113"/>
      <c r="M45" s="113"/>
      <c r="N45" s="112"/>
      <c r="W45" s="265"/>
      <c r="X45" s="25"/>
      <c r="Y45" s="265"/>
      <c r="Z45" s="265"/>
      <c r="AA45" s="265"/>
      <c r="AB45" s="265"/>
      <c r="AC45" s="269"/>
      <c r="AD45" s="265"/>
      <c r="AE45" s="265"/>
    </row>
    <row r="46" spans="1:31" s="155" customFormat="1" ht="6" customHeight="1" x14ac:dyDescent="0.2">
      <c r="B46" s="154"/>
      <c r="C46" s="56"/>
      <c r="D46" s="166"/>
      <c r="E46" s="166"/>
      <c r="F46" s="166"/>
      <c r="G46" s="166"/>
      <c r="H46" s="166"/>
      <c r="I46" s="166"/>
      <c r="J46" s="166"/>
      <c r="K46" s="166"/>
      <c r="L46" s="166"/>
      <c r="M46" s="46"/>
      <c r="N46" s="84"/>
      <c r="W46" s="265"/>
      <c r="X46" s="265"/>
      <c r="Y46" s="265"/>
      <c r="Z46" s="265"/>
      <c r="AA46" s="265"/>
      <c r="AB46" s="265"/>
      <c r="AC46" s="265"/>
      <c r="AD46" s="265"/>
      <c r="AE46" s="265"/>
    </row>
    <row r="47" spans="1:31" s="155" customFormat="1" x14ac:dyDescent="0.2">
      <c r="A47" s="163"/>
      <c r="B47" s="154"/>
      <c r="C47" s="56" t="s">
        <v>0</v>
      </c>
      <c r="D47" s="46" t="s">
        <v>143</v>
      </c>
      <c r="E47" s="62"/>
      <c r="F47" s="46"/>
      <c r="G47" s="46"/>
      <c r="H47" s="57"/>
      <c r="I47" s="46"/>
      <c r="J47" s="46"/>
      <c r="K47" s="45">
        <v>80818</v>
      </c>
      <c r="L47" s="42" t="s">
        <v>23</v>
      </c>
      <c r="M47" s="46"/>
      <c r="N47" s="47"/>
    </row>
    <row r="48" spans="1:31" s="155" customFormat="1" x14ac:dyDescent="0.2">
      <c r="B48" s="154"/>
      <c r="C48" s="56"/>
      <c r="D48" s="331" t="s">
        <v>174</v>
      </c>
      <c r="E48" s="331"/>
      <c r="F48" s="331"/>
      <c r="G48" s="331"/>
      <c r="H48" s="331"/>
      <c r="I48" s="331"/>
      <c r="J48" s="331"/>
      <c r="K48" s="331"/>
      <c r="L48" s="331"/>
      <c r="M48" s="46"/>
      <c r="N48" s="84">
        <f>K47*262.7</f>
        <v>21230888.599999998</v>
      </c>
    </row>
    <row r="49" spans="1:35" ht="6" customHeight="1" x14ac:dyDescent="0.2">
      <c r="B49" s="41"/>
      <c r="C49" s="111"/>
      <c r="D49" s="103"/>
      <c r="E49" s="103"/>
      <c r="F49" s="103"/>
      <c r="G49" s="103"/>
      <c r="H49" s="103"/>
      <c r="I49" s="103"/>
      <c r="J49" s="103"/>
      <c r="K49" s="103"/>
      <c r="L49" s="103"/>
      <c r="M49" s="103"/>
      <c r="N49" s="110"/>
    </row>
    <row r="50" spans="1:35" s="155" customFormat="1" x14ac:dyDescent="0.2">
      <c r="B50" s="154"/>
      <c r="C50" s="56" t="s">
        <v>1</v>
      </c>
      <c r="D50" s="46" t="s">
        <v>176</v>
      </c>
      <c r="E50" s="62"/>
      <c r="F50" s="46"/>
      <c r="G50" s="46"/>
      <c r="H50" s="57"/>
      <c r="I50" s="46"/>
      <c r="J50" s="46"/>
      <c r="K50" s="45">
        <v>100254</v>
      </c>
      <c r="L50" s="42" t="s">
        <v>23</v>
      </c>
      <c r="M50" s="46"/>
      <c r="N50" s="47"/>
    </row>
    <row r="51" spans="1:35" s="155" customFormat="1" ht="25.15" customHeight="1" x14ac:dyDescent="0.2">
      <c r="B51" s="154"/>
      <c r="C51" s="56"/>
      <c r="D51" s="331" t="s">
        <v>175</v>
      </c>
      <c r="E51" s="331"/>
      <c r="F51" s="331"/>
      <c r="G51" s="331"/>
      <c r="H51" s="331"/>
      <c r="I51" s="331"/>
      <c r="J51" s="331"/>
      <c r="K51" s="331"/>
      <c r="L51" s="331"/>
      <c r="M51" s="46"/>
      <c r="N51" s="84">
        <f>K50*265.78</f>
        <v>26645508.119999997</v>
      </c>
    </row>
    <row r="52" spans="1:35" ht="5.25" customHeight="1" x14ac:dyDescent="0.2">
      <c r="B52" s="7"/>
      <c r="C52" s="7"/>
      <c r="D52" s="204"/>
      <c r="E52" s="204"/>
      <c r="F52" s="204"/>
      <c r="G52" s="204"/>
      <c r="H52" s="27"/>
      <c r="I52" s="27"/>
      <c r="J52" s="27"/>
      <c r="K52" s="27"/>
      <c r="L52" s="27"/>
      <c r="M52" s="27"/>
      <c r="N52" s="33"/>
    </row>
    <row r="53" spans="1:35" x14ac:dyDescent="0.2">
      <c r="B53" s="11" t="s">
        <v>35</v>
      </c>
      <c r="C53" s="12" t="s">
        <v>29</v>
      </c>
      <c r="D53" s="13"/>
      <c r="E53" s="13"/>
      <c r="F53" s="13"/>
      <c r="G53" s="13"/>
      <c r="H53" s="25"/>
      <c r="I53" s="25"/>
      <c r="J53" s="25"/>
      <c r="K53" s="25"/>
      <c r="L53" s="25"/>
      <c r="M53" s="25"/>
      <c r="N53" s="34"/>
      <c r="X53" s="56"/>
      <c r="Y53" s="46"/>
      <c r="Z53" s="46"/>
      <c r="AA53" s="46"/>
      <c r="AB53" s="46"/>
      <c r="AC53" s="57"/>
      <c r="AD53" s="46"/>
      <c r="AE53" s="46"/>
      <c r="AF53" s="45"/>
      <c r="AG53" s="42"/>
      <c r="AH53" s="46"/>
      <c r="AI53" s="47"/>
    </row>
    <row r="54" spans="1:35" x14ac:dyDescent="0.2">
      <c r="B54" s="14"/>
      <c r="C54" s="15" t="s">
        <v>25</v>
      </c>
      <c r="D54" s="13"/>
      <c r="E54" s="13"/>
      <c r="F54" s="13"/>
      <c r="G54" s="13"/>
      <c r="H54" s="25"/>
      <c r="I54" s="25"/>
      <c r="J54" s="25"/>
      <c r="K54" s="25"/>
      <c r="L54" s="25"/>
      <c r="M54" s="25"/>
      <c r="N54" s="34"/>
      <c r="X54" s="56"/>
      <c r="Y54" s="331"/>
      <c r="Z54" s="331"/>
      <c r="AA54" s="331"/>
      <c r="AB54" s="331"/>
      <c r="AC54" s="331"/>
      <c r="AD54" s="331"/>
      <c r="AE54" s="331"/>
      <c r="AF54" s="331"/>
      <c r="AG54" s="331"/>
      <c r="AH54" s="46"/>
      <c r="AI54" s="84"/>
    </row>
    <row r="55" spans="1:35" ht="6" customHeight="1" x14ac:dyDescent="0.2">
      <c r="B55" s="41"/>
      <c r="C55" s="4"/>
      <c r="D55" s="204"/>
      <c r="E55" s="204"/>
      <c r="F55" s="204"/>
      <c r="G55" s="204"/>
      <c r="H55" s="27"/>
      <c r="I55" s="27"/>
      <c r="J55" s="27"/>
      <c r="K55" s="27"/>
      <c r="L55" s="27"/>
      <c r="M55" s="27"/>
      <c r="N55" s="33"/>
      <c r="X55" s="14"/>
      <c r="Y55" s="92"/>
      <c r="Z55" s="16"/>
      <c r="AA55" s="13"/>
      <c r="AB55" s="13"/>
      <c r="AC55" s="85"/>
      <c r="AD55" s="50"/>
      <c r="AE55" s="166"/>
      <c r="AF55" s="37"/>
      <c r="AG55" s="50"/>
      <c r="AH55" s="36"/>
      <c r="AI55" s="34"/>
    </row>
    <row r="56" spans="1:35" x14ac:dyDescent="0.2">
      <c r="A56" s="30"/>
      <c r="B56" s="14"/>
      <c r="C56" s="56" t="s">
        <v>0</v>
      </c>
      <c r="D56" s="204" t="s">
        <v>168</v>
      </c>
      <c r="E56" s="46"/>
      <c r="F56" s="46"/>
      <c r="G56" s="46"/>
      <c r="H56" s="57"/>
      <c r="I56" s="46"/>
      <c r="J56" s="46"/>
      <c r="K56" s="45"/>
      <c r="L56" s="42"/>
      <c r="M56" s="46"/>
      <c r="N56" s="47"/>
      <c r="X56" s="4"/>
      <c r="Y56" s="204"/>
      <c r="Z56" s="204"/>
      <c r="AA56" s="204"/>
      <c r="AB56" s="204"/>
      <c r="AC56" s="27"/>
      <c r="AD56" s="27"/>
      <c r="AE56" s="27"/>
      <c r="AF56" s="27"/>
      <c r="AG56" s="27"/>
      <c r="AH56" s="27"/>
      <c r="AI56" s="33"/>
    </row>
    <row r="57" spans="1:35" x14ac:dyDescent="0.2">
      <c r="B57" s="14"/>
      <c r="C57" s="56"/>
      <c r="D57" s="331" t="s">
        <v>149</v>
      </c>
      <c r="E57" s="331"/>
      <c r="F57" s="331"/>
      <c r="G57" s="331"/>
      <c r="H57" s="331"/>
      <c r="I57" s="331"/>
      <c r="J57" s="331"/>
      <c r="K57" s="331"/>
      <c r="L57" s="331"/>
      <c r="M57" s="46"/>
      <c r="N57" s="47"/>
      <c r="X57" s="56"/>
      <c r="Y57" s="46"/>
      <c r="Z57" s="46"/>
      <c r="AA57" s="46"/>
      <c r="AB57" s="46"/>
      <c r="AC57" s="57"/>
      <c r="AD57" s="46"/>
      <c r="AE57" s="46"/>
      <c r="AF57" s="45"/>
      <c r="AG57" s="42"/>
      <c r="AH57" s="46"/>
      <c r="AI57" s="47"/>
    </row>
    <row r="58" spans="1:35" s="24" customFormat="1" x14ac:dyDescent="0.2">
      <c r="B58" s="14"/>
      <c r="C58" s="14"/>
      <c r="D58" s="92" t="s">
        <v>24</v>
      </c>
      <c r="E58" s="16">
        <v>4</v>
      </c>
      <c r="F58" s="13" t="s">
        <v>154</v>
      </c>
      <c r="G58" s="13"/>
      <c r="H58" s="85">
        <v>4750</v>
      </c>
      <c r="I58" s="50" t="s">
        <v>23</v>
      </c>
      <c r="J58" s="166"/>
      <c r="K58" s="37">
        <f>SUM(E58*H58)</f>
        <v>19000</v>
      </c>
      <c r="L58" s="50" t="s">
        <v>23</v>
      </c>
      <c r="M58" s="36">
        <v>0.71</v>
      </c>
      <c r="N58" s="34">
        <f>SUM(E58*H58)/M58*242.05</f>
        <v>6477394.3661971837</v>
      </c>
      <c r="X58" s="56"/>
      <c r="Y58" s="331"/>
      <c r="Z58" s="331"/>
      <c r="AA58" s="331"/>
      <c r="AB58" s="331"/>
      <c r="AC58" s="331"/>
      <c r="AD58" s="331"/>
      <c r="AE58" s="331"/>
      <c r="AF58" s="331"/>
      <c r="AG58" s="331"/>
      <c r="AH58" s="46"/>
      <c r="AI58" s="47"/>
    </row>
    <row r="59" spans="1:35" s="70" customFormat="1" ht="6" customHeight="1" x14ac:dyDescent="0.2">
      <c r="B59" s="14"/>
      <c r="C59" s="14"/>
      <c r="D59" s="13"/>
      <c r="E59" s="16"/>
      <c r="F59" s="13"/>
      <c r="G59" s="13"/>
      <c r="H59" s="85"/>
      <c r="I59" s="13"/>
      <c r="J59" s="13"/>
      <c r="K59" s="85"/>
      <c r="L59" s="13"/>
      <c r="M59" s="86"/>
      <c r="N59" s="83"/>
      <c r="X59" s="14"/>
      <c r="Y59" s="92"/>
      <c r="Z59" s="16"/>
      <c r="AA59" s="13"/>
      <c r="AB59" s="13"/>
      <c r="AC59" s="85"/>
      <c r="AD59" s="50"/>
      <c r="AE59" s="166"/>
      <c r="AF59" s="37"/>
      <c r="AG59" s="50"/>
      <c r="AH59" s="36"/>
      <c r="AI59" s="34"/>
    </row>
    <row r="60" spans="1:35" ht="14.25" x14ac:dyDescent="0.2">
      <c r="B60" s="8" t="s">
        <v>172</v>
      </c>
      <c r="C60" s="9"/>
      <c r="D60" s="10"/>
      <c r="E60" s="10"/>
      <c r="F60" s="10"/>
      <c r="G60" s="10"/>
      <c r="H60" s="31"/>
      <c r="I60" s="31"/>
      <c r="J60" s="31"/>
      <c r="K60" s="31"/>
      <c r="L60" s="31"/>
      <c r="M60" s="31"/>
      <c r="N60" s="32"/>
      <c r="X60" s="4"/>
      <c r="Y60" s="204"/>
      <c r="Z60" s="204"/>
      <c r="AA60" s="204"/>
      <c r="AB60" s="204"/>
      <c r="AC60" s="27"/>
      <c r="AD60" s="27"/>
      <c r="AE60" s="27"/>
      <c r="AF60" s="27"/>
      <c r="AG60" s="27"/>
      <c r="AH60" s="27"/>
      <c r="AI60" s="33"/>
    </row>
    <row r="61" spans="1:35" x14ac:dyDescent="0.2">
      <c r="B61" s="11" t="s">
        <v>151</v>
      </c>
      <c r="C61" s="12" t="s">
        <v>152</v>
      </c>
      <c r="D61" s="13"/>
      <c r="E61" s="13"/>
      <c r="F61" s="13"/>
      <c r="G61" s="13"/>
      <c r="H61" s="25"/>
      <c r="I61" s="25"/>
      <c r="J61" s="25"/>
      <c r="K61" s="25"/>
      <c r="L61" s="25"/>
      <c r="M61" s="25"/>
      <c r="N61" s="34"/>
      <c r="X61" s="56"/>
      <c r="Y61" s="46"/>
      <c r="Z61" s="46"/>
      <c r="AA61" s="46"/>
      <c r="AB61" s="46"/>
      <c r="AC61" s="57"/>
      <c r="AD61" s="46"/>
      <c r="AE61" s="46"/>
      <c r="AF61" s="45"/>
      <c r="AG61" s="42"/>
      <c r="AH61" s="46"/>
      <c r="AI61" s="47"/>
    </row>
    <row r="62" spans="1:35" ht="6" customHeight="1" x14ac:dyDescent="0.2">
      <c r="B62" s="41"/>
      <c r="C62" s="4"/>
      <c r="D62" s="204"/>
      <c r="E62" s="204"/>
      <c r="F62" s="204"/>
      <c r="G62" s="204"/>
      <c r="H62" s="27"/>
      <c r="I62" s="27"/>
      <c r="J62" s="27"/>
      <c r="K62" s="27"/>
      <c r="L62" s="27"/>
      <c r="M62" s="27"/>
      <c r="N62" s="33"/>
      <c r="X62" s="56"/>
      <c r="Y62" s="331"/>
      <c r="Z62" s="331"/>
      <c r="AA62" s="331"/>
      <c r="AB62" s="331"/>
      <c r="AC62" s="331"/>
      <c r="AD62" s="331"/>
      <c r="AE62" s="331"/>
      <c r="AF62" s="331"/>
      <c r="AG62" s="331"/>
      <c r="AH62" s="46"/>
      <c r="AI62" s="84"/>
    </row>
    <row r="63" spans="1:35" x14ac:dyDescent="0.2">
      <c r="B63" s="14"/>
      <c r="C63" s="56" t="s">
        <v>0</v>
      </c>
      <c r="D63" s="46" t="s">
        <v>124</v>
      </c>
      <c r="E63" s="62"/>
      <c r="F63" s="46"/>
      <c r="G63" s="46"/>
      <c r="H63" s="57"/>
      <c r="I63" s="46"/>
      <c r="J63" s="46"/>
      <c r="K63" s="45">
        <v>65736</v>
      </c>
      <c r="L63" s="42" t="s">
        <v>23</v>
      </c>
      <c r="M63" s="46"/>
      <c r="N63" s="47"/>
      <c r="X63" s="14"/>
      <c r="Y63" s="92"/>
      <c r="Z63" s="16"/>
      <c r="AA63" s="13"/>
      <c r="AB63" s="13"/>
      <c r="AC63" s="85"/>
      <c r="AD63" s="50"/>
      <c r="AE63" s="166"/>
      <c r="AF63" s="37"/>
      <c r="AG63" s="50"/>
      <c r="AH63" s="36"/>
      <c r="AI63" s="34"/>
    </row>
    <row r="64" spans="1:35" x14ac:dyDescent="0.2">
      <c r="B64" s="14"/>
      <c r="C64" s="56"/>
      <c r="D64" s="331" t="s">
        <v>125</v>
      </c>
      <c r="E64" s="331"/>
      <c r="F64" s="331"/>
      <c r="G64" s="331"/>
      <c r="H64" s="331"/>
      <c r="I64" s="331"/>
      <c r="J64" s="331"/>
      <c r="K64" s="331"/>
      <c r="L64" s="331"/>
      <c r="M64" s="46"/>
      <c r="N64" s="84">
        <f>K63*262.7</f>
        <v>17268847.199999999</v>
      </c>
      <c r="X64" s="4"/>
      <c r="Y64" s="204"/>
      <c r="Z64" s="204"/>
      <c r="AA64" s="204"/>
      <c r="AB64" s="204"/>
      <c r="AC64" s="27"/>
      <c r="AD64" s="27"/>
      <c r="AE64" s="27"/>
      <c r="AF64" s="27"/>
      <c r="AG64" s="27"/>
      <c r="AH64" s="27"/>
      <c r="AI64" s="33"/>
    </row>
    <row r="65" spans="1:35" ht="6" customHeight="1" x14ac:dyDescent="0.2">
      <c r="B65" s="41"/>
      <c r="C65" s="4"/>
      <c r="D65" s="204"/>
      <c r="E65" s="204"/>
      <c r="F65" s="204"/>
      <c r="G65" s="204"/>
      <c r="H65" s="27"/>
      <c r="I65" s="27"/>
      <c r="J65" s="27"/>
      <c r="K65" s="27"/>
      <c r="L65" s="27"/>
      <c r="M65" s="27"/>
      <c r="N65" s="33"/>
      <c r="X65" s="56"/>
      <c r="Y65" s="46"/>
      <c r="Z65" s="46"/>
      <c r="AA65" s="46"/>
      <c r="AB65" s="46"/>
      <c r="AC65" s="57"/>
      <c r="AD65" s="46"/>
      <c r="AE65" s="46"/>
      <c r="AF65" s="45"/>
      <c r="AG65" s="42"/>
      <c r="AH65" s="46"/>
      <c r="AI65" s="47"/>
    </row>
    <row r="66" spans="1:35" x14ac:dyDescent="0.2">
      <c r="B66" s="14"/>
      <c r="C66" s="56" t="s">
        <v>1</v>
      </c>
      <c r="D66" s="46" t="s">
        <v>127</v>
      </c>
      <c r="E66" s="62"/>
      <c r="F66" s="46"/>
      <c r="G66" s="46"/>
      <c r="H66" s="57"/>
      <c r="I66" s="46"/>
      <c r="J66" s="46"/>
      <c r="K66" s="45">
        <v>100254</v>
      </c>
      <c r="L66" s="42" t="s">
        <v>23</v>
      </c>
      <c r="M66" s="46"/>
      <c r="N66" s="47"/>
      <c r="X66" s="56"/>
      <c r="Y66" s="331"/>
      <c r="Z66" s="331"/>
      <c r="AA66" s="331"/>
      <c r="AB66" s="331"/>
      <c r="AC66" s="331"/>
      <c r="AD66" s="331"/>
      <c r="AE66" s="331"/>
      <c r="AF66" s="331"/>
      <c r="AG66" s="331"/>
      <c r="AH66" s="46"/>
      <c r="AI66" s="84"/>
    </row>
    <row r="67" spans="1:35" x14ac:dyDescent="0.2">
      <c r="B67" s="14"/>
      <c r="C67" s="56"/>
      <c r="D67" s="331" t="s">
        <v>157</v>
      </c>
      <c r="E67" s="331"/>
      <c r="F67" s="331"/>
      <c r="G67" s="331"/>
      <c r="H67" s="331"/>
      <c r="I67" s="331"/>
      <c r="J67" s="331"/>
      <c r="K67" s="331"/>
      <c r="L67" s="331"/>
      <c r="M67" s="46"/>
      <c r="N67" s="84">
        <f>K66*265.78</f>
        <v>26645508.119999997</v>
      </c>
      <c r="X67" s="14"/>
      <c r="Y67" s="92"/>
      <c r="Z67" s="16"/>
      <c r="AA67" s="13"/>
      <c r="AB67" s="13"/>
      <c r="AC67" s="85"/>
      <c r="AD67" s="50"/>
      <c r="AE67" s="166"/>
      <c r="AF67" s="37"/>
      <c r="AG67" s="50"/>
      <c r="AH67" s="36"/>
      <c r="AI67" s="34"/>
    </row>
    <row r="68" spans="1:35" ht="6" customHeight="1" x14ac:dyDescent="0.2">
      <c r="B68" s="41"/>
      <c r="C68" s="4"/>
      <c r="D68" s="204"/>
      <c r="E68" s="204"/>
      <c r="F68" s="204"/>
      <c r="G68" s="204"/>
      <c r="H68" s="27"/>
      <c r="I68" s="27"/>
      <c r="J68" s="27"/>
      <c r="K68" s="27"/>
      <c r="L68" s="27"/>
      <c r="M68" s="27"/>
      <c r="N68" s="33"/>
      <c r="X68" s="4"/>
      <c r="Y68" s="204"/>
      <c r="Z68" s="204"/>
      <c r="AA68" s="204"/>
      <c r="AB68" s="204"/>
      <c r="AC68" s="27"/>
      <c r="AD68" s="27"/>
      <c r="AE68" s="27"/>
      <c r="AF68" s="27"/>
      <c r="AG68" s="27"/>
      <c r="AH68" s="27"/>
      <c r="AI68" s="33"/>
    </row>
    <row r="69" spans="1:35" x14ac:dyDescent="0.2">
      <c r="B69" s="14"/>
      <c r="C69" s="56" t="s">
        <v>2</v>
      </c>
      <c r="D69" s="46" t="s">
        <v>128</v>
      </c>
      <c r="E69" s="62"/>
      <c r="F69" s="46"/>
      <c r="G69" s="46"/>
      <c r="H69" s="57"/>
      <c r="I69" s="46"/>
      <c r="J69" s="46"/>
      <c r="K69" s="45">
        <v>163434</v>
      </c>
      <c r="L69" s="42" t="s">
        <v>23</v>
      </c>
      <c r="M69" s="46"/>
      <c r="N69" s="47"/>
      <c r="X69" s="56"/>
      <c r="Y69" s="46"/>
      <c r="Z69" s="46"/>
      <c r="AA69" s="46"/>
      <c r="AB69" s="46"/>
      <c r="AC69" s="57"/>
      <c r="AD69" s="46"/>
      <c r="AE69" s="46"/>
      <c r="AF69" s="45"/>
      <c r="AG69" s="42"/>
      <c r="AH69" s="46"/>
      <c r="AI69" s="47"/>
    </row>
    <row r="70" spans="1:35" x14ac:dyDescent="0.2">
      <c r="B70" s="14"/>
      <c r="C70" s="56"/>
      <c r="D70" s="331" t="s">
        <v>158</v>
      </c>
      <c r="E70" s="331"/>
      <c r="F70" s="331"/>
      <c r="G70" s="331"/>
      <c r="H70" s="331"/>
      <c r="I70" s="331"/>
      <c r="J70" s="331"/>
      <c r="K70" s="331"/>
      <c r="L70" s="331"/>
      <c r="M70" s="46"/>
      <c r="N70" s="84">
        <f>K69*274.69</f>
        <v>44893685.460000001</v>
      </c>
      <c r="X70" s="56"/>
      <c r="Y70" s="331"/>
      <c r="Z70" s="331"/>
      <c r="AA70" s="331"/>
      <c r="AB70" s="331"/>
      <c r="AC70" s="331"/>
      <c r="AD70" s="331"/>
      <c r="AE70" s="331"/>
      <c r="AF70" s="331"/>
      <c r="AG70" s="331"/>
      <c r="AH70" s="46"/>
      <c r="AI70" s="47"/>
    </row>
    <row r="71" spans="1:35" ht="6" customHeight="1" x14ac:dyDescent="0.2">
      <c r="B71" s="146"/>
      <c r="C71" s="147"/>
      <c r="D71" s="146"/>
      <c r="E71" s="146"/>
      <c r="F71" s="146"/>
      <c r="G71" s="146"/>
      <c r="H71" s="148"/>
      <c r="I71" s="148"/>
      <c r="J71" s="148"/>
      <c r="K71" s="148"/>
      <c r="L71" s="148"/>
      <c r="M71" s="148"/>
      <c r="N71" s="148"/>
      <c r="X71" s="14"/>
      <c r="Y71" s="92"/>
      <c r="Z71" s="16"/>
      <c r="AA71" s="13"/>
      <c r="AB71" s="13"/>
      <c r="AC71" s="85"/>
      <c r="AD71" s="50"/>
      <c r="AE71" s="166"/>
      <c r="AF71" s="37"/>
      <c r="AG71" s="50"/>
      <c r="AH71" s="36"/>
      <c r="AI71" s="34"/>
    </row>
    <row r="72" spans="1:35" x14ac:dyDescent="0.2">
      <c r="A72" s="163"/>
      <c r="B72" s="164" t="s">
        <v>147</v>
      </c>
      <c r="C72" s="165" t="s">
        <v>148</v>
      </c>
      <c r="D72" s="25"/>
      <c r="E72" s="25"/>
      <c r="F72" s="25"/>
      <c r="G72" s="25"/>
      <c r="H72" s="113"/>
      <c r="I72" s="113"/>
      <c r="J72" s="113"/>
      <c r="K72" s="113"/>
      <c r="L72" s="113"/>
      <c r="M72" s="113"/>
      <c r="N72" s="112"/>
      <c r="X72" s="4"/>
      <c r="Y72" s="204"/>
      <c r="Z72" s="204"/>
      <c r="AA72" s="204"/>
      <c r="AB72" s="204"/>
      <c r="AC72" s="27"/>
      <c r="AD72" s="27"/>
      <c r="AE72" s="27"/>
      <c r="AF72" s="27"/>
      <c r="AG72" s="27"/>
      <c r="AH72" s="27"/>
      <c r="AI72" s="33"/>
    </row>
    <row r="73" spans="1:35" ht="6" customHeight="1" x14ac:dyDescent="0.2">
      <c r="A73" s="155"/>
      <c r="B73" s="157"/>
      <c r="C73" s="111"/>
      <c r="D73" s="103"/>
      <c r="E73" s="103"/>
      <c r="F73" s="103"/>
      <c r="G73" s="103"/>
      <c r="H73" s="103"/>
      <c r="I73" s="103"/>
      <c r="J73" s="103"/>
      <c r="K73" s="103"/>
      <c r="L73" s="103"/>
      <c r="M73" s="103"/>
      <c r="N73" s="110"/>
      <c r="X73" s="56"/>
      <c r="Y73" s="46"/>
      <c r="Z73" s="46"/>
      <c r="AA73" s="46"/>
      <c r="AB73" s="46"/>
      <c r="AC73" s="57"/>
      <c r="AD73" s="46"/>
      <c r="AE73" s="46"/>
      <c r="AF73" s="45"/>
      <c r="AG73" s="42"/>
      <c r="AH73" s="46"/>
      <c r="AI73" s="47"/>
    </row>
    <row r="74" spans="1:35" x14ac:dyDescent="0.2">
      <c r="A74" s="155"/>
      <c r="B74" s="154"/>
      <c r="C74" s="56" t="s">
        <v>0</v>
      </c>
      <c r="D74" s="46" t="s">
        <v>150</v>
      </c>
      <c r="E74" s="62"/>
      <c r="F74" s="46"/>
      <c r="G74" s="46"/>
      <c r="H74" s="57"/>
      <c r="I74" s="46"/>
      <c r="J74" s="46"/>
      <c r="K74" s="45">
        <v>82346</v>
      </c>
      <c r="L74" s="42" t="s">
        <v>23</v>
      </c>
      <c r="M74" s="46"/>
      <c r="N74" s="47"/>
      <c r="X74" s="14"/>
      <c r="Y74" s="92"/>
      <c r="Z74" s="16"/>
      <c r="AA74" s="13"/>
      <c r="AB74" s="13"/>
      <c r="AC74" s="85"/>
      <c r="AD74" s="50"/>
      <c r="AE74" s="166"/>
      <c r="AF74" s="37"/>
      <c r="AG74" s="50"/>
      <c r="AH74" s="36"/>
      <c r="AI74" s="34"/>
    </row>
    <row r="75" spans="1:35" x14ac:dyDescent="0.2">
      <c r="A75" s="155"/>
      <c r="B75" s="154"/>
      <c r="C75" s="56"/>
      <c r="D75" s="331" t="s">
        <v>177</v>
      </c>
      <c r="E75" s="331"/>
      <c r="F75" s="331"/>
      <c r="G75" s="331"/>
      <c r="H75" s="331"/>
      <c r="I75" s="331"/>
      <c r="J75" s="331"/>
      <c r="K75" s="331"/>
      <c r="L75" s="331"/>
      <c r="M75" s="46"/>
      <c r="N75" s="84">
        <f>K74*274.69</f>
        <v>22619622.739999998</v>
      </c>
      <c r="X75" s="4"/>
      <c r="Y75" s="204"/>
      <c r="Z75" s="204"/>
      <c r="AA75" s="204"/>
      <c r="AB75" s="204"/>
      <c r="AC75" s="27"/>
      <c r="AD75" s="27"/>
      <c r="AE75" s="27"/>
      <c r="AF75" s="27"/>
      <c r="AG75" s="27"/>
      <c r="AH75" s="27"/>
      <c r="AI75" s="33"/>
    </row>
    <row r="76" spans="1:35" ht="5.25" customHeight="1" x14ac:dyDescent="0.2">
      <c r="B76" s="7"/>
      <c r="C76" s="7"/>
      <c r="D76" s="204"/>
      <c r="E76" s="204"/>
      <c r="F76" s="204"/>
      <c r="G76" s="204"/>
      <c r="H76" s="27"/>
      <c r="I76" s="27"/>
      <c r="J76" s="27"/>
      <c r="K76" s="27"/>
      <c r="L76" s="27"/>
      <c r="M76" s="27"/>
      <c r="N76" s="33"/>
      <c r="X76" s="56"/>
      <c r="Y76" s="46"/>
      <c r="Z76" s="46"/>
      <c r="AA76" s="46"/>
      <c r="AB76" s="46"/>
      <c r="AC76" s="57"/>
      <c r="AD76" s="46"/>
      <c r="AE76" s="46"/>
      <c r="AF76" s="45"/>
      <c r="AG76" s="42"/>
      <c r="AH76" s="46"/>
      <c r="AI76" s="47"/>
    </row>
    <row r="77" spans="1:35" x14ac:dyDescent="0.2">
      <c r="B77" s="11" t="s">
        <v>26</v>
      </c>
      <c r="C77" s="12" t="s">
        <v>29</v>
      </c>
      <c r="D77" s="13"/>
      <c r="E77" s="13"/>
      <c r="F77" s="13"/>
      <c r="G77" s="13"/>
      <c r="H77" s="25"/>
      <c r="I77" s="25"/>
      <c r="J77" s="25"/>
      <c r="K77" s="25"/>
      <c r="L77" s="25"/>
      <c r="M77" s="25"/>
      <c r="N77" s="34"/>
      <c r="X77" s="56"/>
      <c r="Y77" s="331"/>
      <c r="Z77" s="331"/>
      <c r="AA77" s="331"/>
      <c r="AB77" s="331"/>
      <c r="AC77" s="331"/>
      <c r="AD77" s="331"/>
      <c r="AE77" s="331"/>
      <c r="AF77" s="331"/>
      <c r="AG77" s="331"/>
      <c r="AH77" s="46"/>
      <c r="AI77" s="47"/>
    </row>
    <row r="78" spans="1:35" x14ac:dyDescent="0.2">
      <c r="B78" s="14"/>
      <c r="C78" s="15" t="s">
        <v>25</v>
      </c>
      <c r="D78" s="13"/>
      <c r="E78" s="13"/>
      <c r="F78" s="13"/>
      <c r="G78" s="13"/>
      <c r="H78" s="25"/>
      <c r="I78" s="25"/>
      <c r="J78" s="25"/>
      <c r="K78" s="25"/>
      <c r="L78" s="25"/>
      <c r="M78" s="25"/>
      <c r="N78" s="34"/>
      <c r="X78" s="14"/>
      <c r="Y78" s="92"/>
      <c r="Z78" s="16"/>
      <c r="AA78" s="13"/>
      <c r="AB78" s="13"/>
      <c r="AC78" s="85"/>
      <c r="AD78" s="50"/>
      <c r="AE78" s="166"/>
      <c r="AF78" s="37"/>
      <c r="AG78" s="50"/>
      <c r="AH78" s="36"/>
      <c r="AI78" s="34"/>
    </row>
    <row r="79" spans="1:35" ht="6.75" customHeight="1" x14ac:dyDescent="0.2">
      <c r="B79" s="14"/>
      <c r="C79" s="56"/>
      <c r="D79" s="46"/>
      <c r="E79" s="49"/>
      <c r="F79" s="46"/>
      <c r="G79" s="46"/>
      <c r="H79" s="43"/>
      <c r="I79" s="42"/>
      <c r="J79" s="42"/>
      <c r="K79" s="43"/>
      <c r="L79" s="42"/>
      <c r="M79" s="61"/>
      <c r="N79" s="44"/>
      <c r="X79" s="4"/>
      <c r="Y79" s="204"/>
      <c r="Z79" s="204"/>
      <c r="AA79" s="204"/>
      <c r="AB79" s="204"/>
      <c r="AC79" s="27"/>
      <c r="AD79" s="27"/>
      <c r="AE79" s="27"/>
      <c r="AF79" s="27"/>
      <c r="AG79" s="27"/>
      <c r="AH79" s="27"/>
      <c r="AI79" s="33"/>
    </row>
    <row r="80" spans="1:35" x14ac:dyDescent="0.2">
      <c r="B80" s="14"/>
      <c r="C80" s="56" t="s">
        <v>0</v>
      </c>
      <c r="D80" s="46" t="s">
        <v>84</v>
      </c>
      <c r="E80" s="46"/>
      <c r="F80" s="46"/>
      <c r="G80" s="46"/>
      <c r="H80" s="57"/>
      <c r="I80" s="46"/>
      <c r="J80" s="46"/>
      <c r="K80" s="45">
        <v>54410</v>
      </c>
      <c r="L80" s="42" t="s">
        <v>23</v>
      </c>
      <c r="M80" s="46"/>
      <c r="N80" s="47"/>
      <c r="X80" s="56"/>
      <c r="Y80" s="46"/>
      <c r="Z80" s="46"/>
      <c r="AA80" s="46"/>
      <c r="AB80" s="46"/>
      <c r="AC80" s="57"/>
      <c r="AD80" s="46"/>
      <c r="AE80" s="46"/>
      <c r="AF80" s="45"/>
      <c r="AG80" s="42"/>
      <c r="AH80" s="46"/>
      <c r="AI80" s="47"/>
    </row>
    <row r="81" spans="2:35" ht="79.5" customHeight="1" x14ac:dyDescent="0.2">
      <c r="B81" s="14"/>
      <c r="C81" s="56"/>
      <c r="D81" s="331" t="s">
        <v>231</v>
      </c>
      <c r="E81" s="331"/>
      <c r="F81" s="331"/>
      <c r="G81" s="331"/>
      <c r="H81" s="331"/>
      <c r="I81" s="331"/>
      <c r="J81" s="331"/>
      <c r="K81" s="331"/>
      <c r="L81" s="331"/>
      <c r="M81" s="46"/>
      <c r="N81" s="84">
        <f>6339634*1.2</f>
        <v>7607560.7999999998</v>
      </c>
      <c r="X81" s="56"/>
      <c r="Y81" s="331"/>
      <c r="Z81" s="331"/>
      <c r="AA81" s="331"/>
      <c r="AB81" s="331"/>
      <c r="AC81" s="331"/>
      <c r="AD81" s="331"/>
      <c r="AE81" s="331"/>
      <c r="AF81" s="331"/>
      <c r="AG81" s="331"/>
      <c r="AH81" s="46"/>
      <c r="AI81" s="84"/>
    </row>
    <row r="82" spans="2:35" x14ac:dyDescent="0.2">
      <c r="B82" s="14"/>
      <c r="C82" s="56"/>
      <c r="D82" s="46" t="s">
        <v>24</v>
      </c>
      <c r="E82" s="49">
        <v>1</v>
      </c>
      <c r="F82" s="46" t="s">
        <v>71</v>
      </c>
      <c r="G82" s="46"/>
      <c r="H82" s="43">
        <v>800</v>
      </c>
      <c r="I82" s="42" t="s">
        <v>23</v>
      </c>
      <c r="J82" s="42"/>
      <c r="K82" s="87">
        <f t="shared" ref="K82:K86" si="1">SUM(E82*H82)</f>
        <v>800</v>
      </c>
      <c r="L82" s="42" t="s">
        <v>23</v>
      </c>
      <c r="M82" s="61">
        <v>0.74</v>
      </c>
      <c r="N82" s="83">
        <f>SUM(E82*H82)/M82*262.7</f>
        <v>284000</v>
      </c>
      <c r="X82" s="56"/>
      <c r="Y82" s="331"/>
      <c r="Z82" s="331"/>
      <c r="AA82" s="331"/>
      <c r="AB82" s="331"/>
      <c r="AC82" s="331"/>
      <c r="AD82" s="331"/>
      <c r="AE82" s="331"/>
      <c r="AF82" s="331"/>
      <c r="AG82" s="331"/>
      <c r="AH82" s="46"/>
      <c r="AI82" s="47"/>
    </row>
    <row r="83" spans="2:35" ht="15" x14ac:dyDescent="0.25">
      <c r="B83" s="14"/>
      <c r="C83" s="60"/>
      <c r="D83" s="46"/>
      <c r="E83" s="49">
        <v>1</v>
      </c>
      <c r="F83" s="46" t="s">
        <v>32</v>
      </c>
      <c r="G83" s="46"/>
      <c r="H83" s="43">
        <v>1000</v>
      </c>
      <c r="I83" s="42" t="s">
        <v>23</v>
      </c>
      <c r="J83" s="42"/>
      <c r="K83" s="87">
        <f t="shared" si="1"/>
        <v>1000</v>
      </c>
      <c r="L83" s="42" t="s">
        <v>23</v>
      </c>
      <c r="M83" s="61">
        <v>0.74</v>
      </c>
      <c r="N83" s="83">
        <f t="shared" ref="N83:N86" si="2">SUM(E83*H83)/M83*262.7</f>
        <v>355000</v>
      </c>
      <c r="X83" s="14"/>
      <c r="Y83" s="92"/>
      <c r="Z83" s="16"/>
      <c r="AA83" s="13"/>
      <c r="AB83" s="13"/>
      <c r="AC83" s="85"/>
      <c r="AD83" s="50"/>
      <c r="AE83" s="166"/>
      <c r="AF83" s="37"/>
      <c r="AG83" s="50"/>
      <c r="AH83" s="36"/>
      <c r="AI83" s="34"/>
    </row>
    <row r="84" spans="2:35" ht="15" x14ac:dyDescent="0.25">
      <c r="B84" s="14"/>
      <c r="C84" s="60"/>
      <c r="D84" s="46"/>
      <c r="E84" s="49">
        <v>1</v>
      </c>
      <c r="F84" s="46" t="s">
        <v>69</v>
      </c>
      <c r="G84" s="46"/>
      <c r="H84" s="43">
        <v>300</v>
      </c>
      <c r="I84" s="42" t="s">
        <v>23</v>
      </c>
      <c r="J84" s="42"/>
      <c r="K84" s="87">
        <f t="shared" si="1"/>
        <v>300</v>
      </c>
      <c r="L84" s="42" t="s">
        <v>23</v>
      </c>
      <c r="M84" s="61">
        <v>0.74</v>
      </c>
      <c r="N84" s="83">
        <f t="shared" si="2"/>
        <v>106500</v>
      </c>
    </row>
    <row r="85" spans="2:35" s="70" customFormat="1" ht="12.75" customHeight="1" x14ac:dyDescent="0.2">
      <c r="B85" s="14"/>
      <c r="C85" s="14"/>
      <c r="D85" s="88"/>
      <c r="E85" s="89">
        <v>7</v>
      </c>
      <c r="F85" s="46" t="s">
        <v>88</v>
      </c>
      <c r="G85" s="90"/>
      <c r="H85" s="87">
        <v>800</v>
      </c>
      <c r="I85" s="90" t="s">
        <v>23</v>
      </c>
      <c r="J85" s="90"/>
      <c r="K85" s="87">
        <f t="shared" ref="K85" si="3">SUM(E85*H85)</f>
        <v>5600</v>
      </c>
      <c r="L85" s="90" t="s">
        <v>23</v>
      </c>
      <c r="M85" s="91">
        <v>0.74</v>
      </c>
      <c r="N85" s="83">
        <f t="shared" si="2"/>
        <v>1988000</v>
      </c>
    </row>
    <row r="86" spans="2:35" s="70" customFormat="1" ht="12.75" customHeight="1" x14ac:dyDescent="0.2">
      <c r="B86" s="14"/>
      <c r="C86" s="14"/>
      <c r="D86" s="88"/>
      <c r="E86" s="89">
        <v>1</v>
      </c>
      <c r="F86" s="25" t="s">
        <v>96</v>
      </c>
      <c r="G86" s="90"/>
      <c r="H86" s="87">
        <v>5500</v>
      </c>
      <c r="I86" s="90" t="s">
        <v>23</v>
      </c>
      <c r="J86" s="90"/>
      <c r="K86" s="87">
        <f t="shared" si="1"/>
        <v>5500</v>
      </c>
      <c r="L86" s="90" t="s">
        <v>23</v>
      </c>
      <c r="M86" s="91">
        <v>0.74</v>
      </c>
      <c r="N86" s="83">
        <f t="shared" si="2"/>
        <v>1952500</v>
      </c>
    </row>
    <row r="87" spans="2:35" ht="16.350000000000001" customHeight="1" x14ac:dyDescent="0.2">
      <c r="B87" s="7"/>
      <c r="C87" s="7"/>
      <c r="D87" s="204"/>
      <c r="E87" s="204"/>
      <c r="F87" s="204"/>
      <c r="G87" s="204"/>
      <c r="H87" s="27"/>
      <c r="I87" s="273"/>
      <c r="J87" s="27"/>
      <c r="K87" s="274"/>
      <c r="L87" s="27"/>
      <c r="M87" s="27"/>
      <c r="N87" s="33"/>
    </row>
    <row r="88" spans="2:35" s="22" customFormat="1" x14ac:dyDescent="0.2">
      <c r="B88" s="14"/>
      <c r="C88" s="14" t="s">
        <v>1</v>
      </c>
      <c r="D88" s="204" t="s">
        <v>159</v>
      </c>
      <c r="E88" s="16"/>
      <c r="F88" s="13"/>
      <c r="G88" s="13"/>
      <c r="H88" s="25"/>
      <c r="I88" s="25"/>
      <c r="J88" s="25"/>
      <c r="K88" s="37">
        <v>201976</v>
      </c>
      <c r="L88" s="25" t="s">
        <v>23</v>
      </c>
      <c r="M88" s="36"/>
      <c r="N88" s="34"/>
    </row>
    <row r="89" spans="2:35" s="22" customFormat="1" ht="92.25" customHeight="1" x14ac:dyDescent="0.2">
      <c r="B89" s="14"/>
      <c r="C89" s="14"/>
      <c r="D89" s="331" t="s">
        <v>160</v>
      </c>
      <c r="E89" s="331"/>
      <c r="F89" s="331"/>
      <c r="G89" s="331"/>
      <c r="H89" s="331"/>
      <c r="I89" s="331"/>
      <c r="J89" s="331"/>
      <c r="K89" s="331"/>
      <c r="L89" s="331"/>
      <c r="M89" s="36"/>
      <c r="N89" s="84">
        <f>25863967*1.2</f>
        <v>31036760.399999999</v>
      </c>
    </row>
    <row r="90" spans="2:35" s="22" customFormat="1" x14ac:dyDescent="0.2">
      <c r="B90" s="14"/>
      <c r="C90" s="14"/>
      <c r="D90" s="77" t="s">
        <v>24</v>
      </c>
      <c r="E90" s="16">
        <v>8</v>
      </c>
      <c r="F90" s="13" t="s">
        <v>88</v>
      </c>
      <c r="G90" s="13"/>
      <c r="H90" s="85">
        <v>750</v>
      </c>
      <c r="I90" s="13" t="s">
        <v>23</v>
      </c>
      <c r="J90" s="13"/>
      <c r="K90" s="85">
        <f>SUM(E90*H90)</f>
        <v>6000</v>
      </c>
      <c r="L90" s="13" t="s">
        <v>23</v>
      </c>
      <c r="M90" s="86">
        <v>0.68</v>
      </c>
      <c r="N90" s="83">
        <f t="shared" ref="N90:N93" si="4">SUM(E90*H90)/M90*274.69</f>
        <v>2423735.2941176468</v>
      </c>
    </row>
    <row r="91" spans="2:35" s="13" customFormat="1" x14ac:dyDescent="0.2">
      <c r="B91" s="14"/>
      <c r="C91" s="14"/>
      <c r="E91" s="16">
        <v>1</v>
      </c>
      <c r="F91" s="13" t="s">
        <v>90</v>
      </c>
      <c r="H91" s="85">
        <v>825</v>
      </c>
      <c r="I91" s="13" t="s">
        <v>23</v>
      </c>
      <c r="K91" s="85">
        <f>SUM(E91*H91)</f>
        <v>825</v>
      </c>
      <c r="L91" s="13" t="s">
        <v>23</v>
      </c>
      <c r="M91" s="86">
        <v>0.68</v>
      </c>
      <c r="N91" s="83">
        <f t="shared" si="4"/>
        <v>333263.60294117645</v>
      </c>
    </row>
    <row r="92" spans="2:35" s="13" customFormat="1" x14ac:dyDescent="0.2">
      <c r="B92" s="14"/>
      <c r="C92" s="14"/>
      <c r="E92" s="16">
        <v>4</v>
      </c>
      <c r="F92" s="13" t="s">
        <v>89</v>
      </c>
      <c r="H92" s="85">
        <v>375</v>
      </c>
      <c r="I92" s="13" t="s">
        <v>23</v>
      </c>
      <c r="K92" s="85">
        <f>SUM(E92*H92)</f>
        <v>1500</v>
      </c>
      <c r="L92" s="13" t="s">
        <v>23</v>
      </c>
      <c r="M92" s="86">
        <v>0.68</v>
      </c>
      <c r="N92" s="83">
        <f t="shared" si="4"/>
        <v>605933.82352941169</v>
      </c>
    </row>
    <row r="93" spans="2:35" s="13" customFormat="1" x14ac:dyDescent="0.2">
      <c r="B93" s="14"/>
      <c r="C93" s="14"/>
      <c r="E93" s="16">
        <v>3</v>
      </c>
      <c r="F93" s="13" t="s">
        <v>91</v>
      </c>
      <c r="H93" s="85">
        <v>1000</v>
      </c>
      <c r="I93" s="13" t="s">
        <v>23</v>
      </c>
      <c r="K93" s="85">
        <f>SUM(E93*H93)</f>
        <v>3000</v>
      </c>
      <c r="L93" s="13" t="s">
        <v>23</v>
      </c>
      <c r="M93" s="86">
        <v>0.68</v>
      </c>
      <c r="N93" s="83">
        <f t="shared" si="4"/>
        <v>1211867.6470588234</v>
      </c>
    </row>
    <row r="94" spans="2:35" ht="6" customHeight="1" x14ac:dyDescent="0.2">
      <c r="B94" s="41"/>
      <c r="C94" s="4"/>
      <c r="D94" s="204"/>
      <c r="E94" s="204"/>
      <c r="F94" s="204"/>
      <c r="G94" s="204"/>
      <c r="H94" s="27"/>
      <c r="I94" s="27"/>
      <c r="J94" s="27"/>
      <c r="K94" s="27"/>
      <c r="L94" s="27"/>
      <c r="M94" s="27"/>
      <c r="N94" s="33"/>
    </row>
    <row r="95" spans="2:35" x14ac:dyDescent="0.2">
      <c r="B95" s="14"/>
      <c r="C95" s="56" t="s">
        <v>2</v>
      </c>
      <c r="D95" s="46" t="s">
        <v>44</v>
      </c>
      <c r="E95" s="46"/>
      <c r="F95" s="46"/>
      <c r="G95" s="46"/>
      <c r="H95" s="57"/>
      <c r="I95" s="46"/>
      <c r="J95" s="46"/>
      <c r="K95" s="45">
        <v>70406</v>
      </c>
      <c r="L95" s="42" t="s">
        <v>23</v>
      </c>
      <c r="M95" s="46"/>
      <c r="N95" s="47"/>
    </row>
    <row r="96" spans="2:35" ht="39" customHeight="1" x14ac:dyDescent="0.2">
      <c r="B96" s="14"/>
      <c r="C96" s="56"/>
      <c r="D96" s="331" t="s">
        <v>180</v>
      </c>
      <c r="E96" s="331"/>
      <c r="F96" s="331"/>
      <c r="G96" s="331"/>
      <c r="H96" s="331"/>
      <c r="I96" s="331"/>
      <c r="J96" s="331"/>
      <c r="K96" s="331"/>
      <c r="L96" s="331"/>
      <c r="M96" s="46"/>
      <c r="N96" s="84">
        <f>2450773*1.2</f>
        <v>2940927.6</v>
      </c>
    </row>
    <row r="97" spans="2:14" x14ac:dyDescent="0.2">
      <c r="B97" s="14"/>
      <c r="C97" s="58"/>
      <c r="D97" s="42" t="s">
        <v>24</v>
      </c>
      <c r="E97" s="48">
        <v>1</v>
      </c>
      <c r="F97" s="42" t="s">
        <v>68</v>
      </c>
      <c r="G97" s="42"/>
      <c r="H97" s="43">
        <v>1600</v>
      </c>
      <c r="I97" s="42" t="s">
        <v>23</v>
      </c>
      <c r="J97" s="42"/>
      <c r="K97" s="37">
        <f t="shared" ref="K97:K98" si="5">SUM(E97*H97)</f>
        <v>1600</v>
      </c>
      <c r="L97" s="42" t="s">
        <v>23</v>
      </c>
      <c r="M97" s="59">
        <v>0.71</v>
      </c>
      <c r="N97" s="83">
        <f>SUM(E97*H97)/M97*265.78</f>
        <v>598940.84507042251</v>
      </c>
    </row>
    <row r="98" spans="2:14" ht="15" x14ac:dyDescent="0.25">
      <c r="B98" s="14"/>
      <c r="C98" s="60"/>
      <c r="D98" s="46"/>
      <c r="E98" s="49">
        <v>1</v>
      </c>
      <c r="F98" s="46" t="s">
        <v>95</v>
      </c>
      <c r="G98" s="46"/>
      <c r="H98" s="43">
        <v>300</v>
      </c>
      <c r="I98" s="42" t="s">
        <v>23</v>
      </c>
      <c r="J98" s="42"/>
      <c r="K98" s="37">
        <f t="shared" si="5"/>
        <v>300</v>
      </c>
      <c r="L98" s="42" t="s">
        <v>23</v>
      </c>
      <c r="M98" s="61">
        <v>0.71</v>
      </c>
      <c r="N98" s="83">
        <f t="shared" ref="N98:N100" si="6">SUM(E98*H98)/M98*265.78</f>
        <v>112301.40845070421</v>
      </c>
    </row>
    <row r="99" spans="2:14" s="70" customFormat="1" x14ac:dyDescent="0.2">
      <c r="B99" s="14"/>
      <c r="C99" s="154"/>
      <c r="D99" s="25"/>
      <c r="E99" s="253">
        <v>1</v>
      </c>
      <c r="F99" s="346" t="s">
        <v>92</v>
      </c>
      <c r="G99" s="346"/>
      <c r="H99" s="37">
        <v>900</v>
      </c>
      <c r="I99" s="25" t="s">
        <v>23</v>
      </c>
      <c r="J99" s="25"/>
      <c r="K99" s="37">
        <f>SUM(E99*H99)</f>
        <v>900</v>
      </c>
      <c r="L99" s="25" t="s">
        <v>23</v>
      </c>
      <c r="M99" s="86">
        <v>0.71</v>
      </c>
      <c r="N99" s="83">
        <f t="shared" si="6"/>
        <v>336904.22535211267</v>
      </c>
    </row>
    <row r="100" spans="2:14" s="70" customFormat="1" x14ac:dyDescent="0.2">
      <c r="B100" s="14"/>
      <c r="C100" s="14"/>
      <c r="D100" s="13"/>
      <c r="E100" s="16">
        <v>3</v>
      </c>
      <c r="F100" s="13" t="s">
        <v>94</v>
      </c>
      <c r="G100" s="13"/>
      <c r="H100" s="85">
        <v>1000</v>
      </c>
      <c r="I100" s="13" t="s">
        <v>23</v>
      </c>
      <c r="J100" s="13"/>
      <c r="K100" s="85">
        <f>SUM(E100*H100)</f>
        <v>3000</v>
      </c>
      <c r="L100" s="13" t="s">
        <v>23</v>
      </c>
      <c r="M100" s="86">
        <v>0.71</v>
      </c>
      <c r="N100" s="83">
        <f t="shared" si="6"/>
        <v>1123014.0845070423</v>
      </c>
    </row>
    <row r="101" spans="2:14" s="24" customFormat="1" x14ac:dyDescent="0.2">
      <c r="B101" s="14"/>
      <c r="C101" s="14"/>
      <c r="D101" s="92"/>
      <c r="E101" s="16">
        <v>4</v>
      </c>
      <c r="F101" s="13" t="s">
        <v>88</v>
      </c>
      <c r="G101" s="13"/>
      <c r="H101" s="85">
        <v>750</v>
      </c>
      <c r="I101" s="50" t="s">
        <v>23</v>
      </c>
      <c r="J101" s="166"/>
      <c r="K101" s="37">
        <f>SUM(E101*H101)</f>
        <v>3000</v>
      </c>
      <c r="L101" s="50" t="s">
        <v>23</v>
      </c>
      <c r="M101" s="36">
        <v>0.71</v>
      </c>
      <c r="N101" s="34">
        <f>SUM(E101*H101)/M101*265.78</f>
        <v>1123014.0845070423</v>
      </c>
    </row>
    <row r="102" spans="2:14" ht="17.45" customHeight="1" x14ac:dyDescent="0.2">
      <c r="B102" s="41"/>
      <c r="C102" s="4"/>
      <c r="D102" s="204"/>
      <c r="E102" s="204"/>
      <c r="F102" s="204"/>
      <c r="G102" s="204"/>
      <c r="H102" s="27"/>
      <c r="I102" s="27"/>
      <c r="J102" s="27"/>
      <c r="K102" s="275"/>
      <c r="L102" s="27"/>
      <c r="M102" s="27"/>
      <c r="N102" s="33"/>
    </row>
    <row r="103" spans="2:14" x14ac:dyDescent="0.2">
      <c r="B103" s="14"/>
      <c r="C103" s="56" t="s">
        <v>3</v>
      </c>
      <c r="D103" s="46" t="s">
        <v>66</v>
      </c>
      <c r="E103" s="62"/>
      <c r="F103" s="46"/>
      <c r="G103" s="46"/>
      <c r="H103" s="57"/>
      <c r="I103" s="46"/>
      <c r="J103" s="46"/>
      <c r="K103" s="45">
        <v>63141</v>
      </c>
      <c r="L103" s="42" t="s">
        <v>23</v>
      </c>
      <c r="M103" s="46"/>
      <c r="N103" s="47"/>
    </row>
    <row r="104" spans="2:14" ht="54" customHeight="1" x14ac:dyDescent="0.2">
      <c r="B104" s="14"/>
      <c r="C104" s="56"/>
      <c r="D104" s="331" t="s">
        <v>182</v>
      </c>
      <c r="E104" s="331"/>
      <c r="F104" s="331"/>
      <c r="G104" s="331"/>
      <c r="H104" s="331"/>
      <c r="I104" s="331"/>
      <c r="J104" s="331"/>
      <c r="K104" s="331"/>
      <c r="L104" s="331"/>
      <c r="M104" s="46"/>
      <c r="N104" s="84">
        <f>4420546*1.5</f>
        <v>6630819</v>
      </c>
    </row>
    <row r="105" spans="2:14" s="70" customFormat="1" ht="12.75" customHeight="1" x14ac:dyDescent="0.2">
      <c r="B105" s="14"/>
      <c r="C105" s="14"/>
      <c r="D105" s="46" t="s">
        <v>24</v>
      </c>
      <c r="E105" s="16">
        <v>1</v>
      </c>
      <c r="F105" s="13" t="s">
        <v>90</v>
      </c>
      <c r="G105" s="13"/>
      <c r="H105" s="85">
        <v>825</v>
      </c>
      <c r="I105" s="90" t="s">
        <v>23</v>
      </c>
      <c r="J105" s="90"/>
      <c r="K105" s="87">
        <f t="shared" ref="K105:K107" si="7">SUM(E105*H105)</f>
        <v>825</v>
      </c>
      <c r="L105" s="90" t="s">
        <v>23</v>
      </c>
      <c r="M105" s="91">
        <v>0.74</v>
      </c>
      <c r="N105" s="83">
        <f>SUM(E105*H105)/M105*262.7</f>
        <v>292874.99999999994</v>
      </c>
    </row>
    <row r="106" spans="2:14" s="70" customFormat="1" ht="12.75" customHeight="1" x14ac:dyDescent="0.2">
      <c r="B106" s="14"/>
      <c r="C106" s="14"/>
      <c r="D106" s="88"/>
      <c r="E106" s="16">
        <v>3</v>
      </c>
      <c r="F106" s="13" t="s">
        <v>93</v>
      </c>
      <c r="G106" s="13"/>
      <c r="H106" s="85">
        <v>375</v>
      </c>
      <c r="I106" s="90" t="s">
        <v>23</v>
      </c>
      <c r="J106" s="90"/>
      <c r="K106" s="87">
        <f t="shared" si="7"/>
        <v>1125</v>
      </c>
      <c r="L106" s="90" t="s">
        <v>23</v>
      </c>
      <c r="M106" s="91">
        <v>0.74</v>
      </c>
      <c r="N106" s="83">
        <f t="shared" ref="N106:N107" si="8">SUM(E106*H106)/M106*262.7</f>
        <v>399374.99999999994</v>
      </c>
    </row>
    <row r="107" spans="2:14" s="70" customFormat="1" ht="12.75" customHeight="1" x14ac:dyDescent="0.2">
      <c r="B107" s="14"/>
      <c r="C107" s="14"/>
      <c r="D107" s="88"/>
      <c r="E107" s="89">
        <v>1</v>
      </c>
      <c r="F107" s="90" t="s">
        <v>97</v>
      </c>
      <c r="G107" s="90"/>
      <c r="H107" s="87">
        <v>800</v>
      </c>
      <c r="I107" s="90" t="s">
        <v>23</v>
      </c>
      <c r="J107" s="90"/>
      <c r="K107" s="87">
        <f t="shared" si="7"/>
        <v>800</v>
      </c>
      <c r="L107" s="90" t="s">
        <v>23</v>
      </c>
      <c r="M107" s="91">
        <v>0.74</v>
      </c>
      <c r="N107" s="83">
        <f t="shared" si="8"/>
        <v>284000</v>
      </c>
    </row>
    <row r="108" spans="2:14" s="24" customFormat="1" x14ac:dyDescent="0.2">
      <c r="B108" s="14"/>
      <c r="C108" s="14"/>
      <c r="D108" s="92"/>
      <c r="E108" s="16">
        <v>4</v>
      </c>
      <c r="F108" s="13" t="s">
        <v>88</v>
      </c>
      <c r="G108" s="13"/>
      <c r="H108" s="85">
        <v>800</v>
      </c>
      <c r="I108" s="50" t="s">
        <v>23</v>
      </c>
      <c r="J108" s="166"/>
      <c r="K108" s="37">
        <f>SUM(E108*H108)</f>
        <v>3200</v>
      </c>
      <c r="L108" s="50" t="s">
        <v>23</v>
      </c>
      <c r="M108" s="36">
        <v>0.74</v>
      </c>
      <c r="N108" s="34">
        <f>SUM(E108*H108)/M108*262.7</f>
        <v>1136000</v>
      </c>
    </row>
    <row r="109" spans="2:14" ht="24.75" customHeight="1" x14ac:dyDescent="0.2">
      <c r="B109" s="41"/>
      <c r="C109" s="4"/>
      <c r="D109" s="204"/>
      <c r="E109" s="204"/>
      <c r="F109" s="204"/>
      <c r="G109" s="204"/>
      <c r="H109" s="27"/>
      <c r="I109" s="27"/>
      <c r="J109" s="27"/>
      <c r="K109" s="275"/>
      <c r="L109" s="27"/>
      <c r="M109" s="27"/>
      <c r="N109" s="33"/>
    </row>
    <row r="110" spans="2:14" x14ac:dyDescent="0.2">
      <c r="B110" s="14"/>
      <c r="C110" s="56" t="s">
        <v>4</v>
      </c>
      <c r="D110" s="46" t="s">
        <v>81</v>
      </c>
      <c r="E110" s="46"/>
      <c r="F110" s="46"/>
      <c r="G110" s="46"/>
      <c r="H110" s="57"/>
      <c r="I110" s="46"/>
      <c r="J110" s="46"/>
      <c r="K110" s="45">
        <v>86607</v>
      </c>
      <c r="L110" s="42" t="s">
        <v>23</v>
      </c>
      <c r="M110" s="46"/>
      <c r="N110" s="47"/>
    </row>
    <row r="111" spans="2:14" ht="41.25" customHeight="1" x14ac:dyDescent="0.2">
      <c r="B111" s="14"/>
      <c r="C111" s="56"/>
      <c r="D111" s="331" t="s">
        <v>179</v>
      </c>
      <c r="E111" s="331"/>
      <c r="F111" s="331"/>
      <c r="G111" s="331"/>
      <c r="H111" s="331"/>
      <c r="I111" s="331"/>
      <c r="J111" s="331"/>
      <c r="K111" s="331"/>
      <c r="L111" s="331"/>
      <c r="M111" s="46"/>
      <c r="N111" s="84">
        <f>1836842*1.2</f>
        <v>2204210.4</v>
      </c>
    </row>
    <row r="112" spans="2:14" x14ac:dyDescent="0.2">
      <c r="B112" s="14"/>
      <c r="C112" s="58"/>
      <c r="D112" s="42" t="s">
        <v>24</v>
      </c>
      <c r="E112" s="48">
        <v>4</v>
      </c>
      <c r="F112" s="42" t="s">
        <v>70</v>
      </c>
      <c r="G112" s="42"/>
      <c r="H112" s="43">
        <v>375</v>
      </c>
      <c r="I112" s="42" t="s">
        <v>23</v>
      </c>
      <c r="J112" s="42"/>
      <c r="K112" s="85">
        <f t="shared" ref="K112:K113" si="9">SUM(E112*H112)</f>
        <v>1500</v>
      </c>
      <c r="L112" s="42" t="s">
        <v>23</v>
      </c>
      <c r="M112" s="59">
        <v>0.71</v>
      </c>
      <c r="N112" s="83">
        <f>SUM(E112*H112)/M112*265.78</f>
        <v>561507.04225352115</v>
      </c>
    </row>
    <row r="113" spans="2:14" ht="15" x14ac:dyDescent="0.25">
      <c r="B113" s="14"/>
      <c r="C113" s="60"/>
      <c r="D113" s="46"/>
      <c r="E113" s="49">
        <v>1</v>
      </c>
      <c r="F113" s="46" t="s">
        <v>95</v>
      </c>
      <c r="G113" s="46"/>
      <c r="H113" s="43">
        <v>300</v>
      </c>
      <c r="I113" s="42" t="s">
        <v>23</v>
      </c>
      <c r="J113" s="42"/>
      <c r="K113" s="85">
        <f t="shared" si="9"/>
        <v>300</v>
      </c>
      <c r="L113" s="42" t="s">
        <v>23</v>
      </c>
      <c r="M113" s="61">
        <v>0.71</v>
      </c>
      <c r="N113" s="83">
        <f t="shared" ref="N113:N115" si="10">SUM(E113*H113)/M113*265.78</f>
        <v>112301.40845070421</v>
      </c>
    </row>
    <row r="114" spans="2:14" s="70" customFormat="1" x14ac:dyDescent="0.2">
      <c r="B114" s="14"/>
      <c r="C114" s="14"/>
      <c r="D114" s="13"/>
      <c r="E114" s="16">
        <v>4</v>
      </c>
      <c r="F114" s="13" t="s">
        <v>88</v>
      </c>
      <c r="G114" s="13"/>
      <c r="H114" s="85">
        <v>750</v>
      </c>
      <c r="I114" s="13" t="s">
        <v>23</v>
      </c>
      <c r="J114" s="13"/>
      <c r="K114" s="85">
        <f>SUM(E114*H114)</f>
        <v>3000</v>
      </c>
      <c r="L114" s="13" t="s">
        <v>23</v>
      </c>
      <c r="M114" s="86">
        <v>0.71</v>
      </c>
      <c r="N114" s="83">
        <f t="shared" si="10"/>
        <v>1123014.0845070423</v>
      </c>
    </row>
    <row r="115" spans="2:14" s="70" customFormat="1" x14ac:dyDescent="0.2">
      <c r="B115" s="14"/>
      <c r="C115" s="14"/>
      <c r="D115" s="13"/>
      <c r="E115" s="16">
        <v>1</v>
      </c>
      <c r="F115" s="13" t="s">
        <v>92</v>
      </c>
      <c r="G115" s="13"/>
      <c r="H115" s="85">
        <v>900</v>
      </c>
      <c r="I115" s="13" t="s">
        <v>23</v>
      </c>
      <c r="J115" s="13"/>
      <c r="K115" s="85">
        <f>SUM(E115*H115)</f>
        <v>900</v>
      </c>
      <c r="L115" s="13" t="s">
        <v>23</v>
      </c>
      <c r="M115" s="86">
        <v>0.71</v>
      </c>
      <c r="N115" s="83">
        <f t="shared" si="10"/>
        <v>336904.22535211267</v>
      </c>
    </row>
    <row r="116" spans="2:14" s="24" customFormat="1" x14ac:dyDescent="0.2">
      <c r="B116" s="14"/>
      <c r="C116" s="14"/>
      <c r="D116" s="92"/>
      <c r="E116" s="16">
        <v>4</v>
      </c>
      <c r="F116" s="13" t="s">
        <v>88</v>
      </c>
      <c r="G116" s="13"/>
      <c r="H116" s="85">
        <v>750</v>
      </c>
      <c r="I116" s="50" t="s">
        <v>23</v>
      </c>
      <c r="J116" s="166"/>
      <c r="K116" s="37">
        <f>SUM(E116*H116)</f>
        <v>3000</v>
      </c>
      <c r="L116" s="50" t="s">
        <v>23</v>
      </c>
      <c r="M116" s="36">
        <v>0.71</v>
      </c>
      <c r="N116" s="34">
        <f>SUM(E116*H116)/M116*265.78</f>
        <v>1123014.0845070423</v>
      </c>
    </row>
    <row r="117" spans="2:14" ht="17.45" customHeight="1" x14ac:dyDescent="0.2">
      <c r="B117" s="41"/>
      <c r="C117" s="4"/>
      <c r="D117" s="204"/>
      <c r="E117" s="204"/>
      <c r="F117" s="204"/>
      <c r="G117" s="204"/>
      <c r="H117" s="27"/>
      <c r="I117" s="27"/>
      <c r="J117" s="27"/>
      <c r="K117" s="275"/>
      <c r="L117" s="27"/>
      <c r="M117" s="27"/>
      <c r="N117" s="33"/>
    </row>
    <row r="118" spans="2:14" x14ac:dyDescent="0.2">
      <c r="B118" s="14"/>
      <c r="C118" s="56" t="s">
        <v>86</v>
      </c>
      <c r="D118" s="46" t="s">
        <v>82</v>
      </c>
      <c r="E118" s="46"/>
      <c r="F118" s="46"/>
      <c r="G118" s="46"/>
      <c r="H118" s="57"/>
      <c r="I118" s="46"/>
      <c r="J118" s="46"/>
      <c r="K118" s="45">
        <v>51254</v>
      </c>
      <c r="L118" s="42" t="s">
        <v>23</v>
      </c>
      <c r="M118" s="46"/>
      <c r="N118" s="47"/>
    </row>
    <row r="119" spans="2:14" ht="54" customHeight="1" x14ac:dyDescent="0.2">
      <c r="B119" s="14"/>
      <c r="C119" s="56"/>
      <c r="D119" s="331" t="s">
        <v>181</v>
      </c>
      <c r="E119" s="331"/>
      <c r="F119" s="331"/>
      <c r="G119" s="331"/>
      <c r="H119" s="331"/>
      <c r="I119" s="331"/>
      <c r="J119" s="331"/>
      <c r="K119" s="331"/>
      <c r="L119" s="331"/>
      <c r="M119" s="46"/>
      <c r="N119" s="47">
        <f>3631852*1.2</f>
        <v>4358222.3999999994</v>
      </c>
    </row>
    <row r="120" spans="2:14" x14ac:dyDescent="0.2">
      <c r="B120" s="14"/>
      <c r="C120" s="56"/>
      <c r="D120" s="46" t="s">
        <v>24</v>
      </c>
      <c r="E120" s="49">
        <v>1</v>
      </c>
      <c r="F120" s="46" t="s">
        <v>83</v>
      </c>
      <c r="G120" s="46"/>
      <c r="H120" s="43">
        <v>1200</v>
      </c>
      <c r="I120" s="42" t="s">
        <v>23</v>
      </c>
      <c r="J120" s="42"/>
      <c r="K120" s="87">
        <f t="shared" ref="K120:K122" si="11">SUM(E120*H120)</f>
        <v>1200</v>
      </c>
      <c r="L120" s="42" t="s">
        <v>23</v>
      </c>
      <c r="M120" s="61">
        <v>0.74</v>
      </c>
      <c r="N120" s="83">
        <f>SUM(E120*H120)/M120*262.7</f>
        <v>426000</v>
      </c>
    </row>
    <row r="121" spans="2:14" x14ac:dyDescent="0.2">
      <c r="B121" s="14"/>
      <c r="C121" s="56"/>
      <c r="D121" s="46"/>
      <c r="E121" s="49">
        <v>1</v>
      </c>
      <c r="F121" s="46" t="s">
        <v>69</v>
      </c>
      <c r="G121" s="46"/>
      <c r="H121" s="43">
        <v>300</v>
      </c>
      <c r="I121" s="42" t="s">
        <v>23</v>
      </c>
      <c r="J121" s="42"/>
      <c r="K121" s="87">
        <f t="shared" si="11"/>
        <v>300</v>
      </c>
      <c r="L121" s="42" t="s">
        <v>23</v>
      </c>
      <c r="M121" s="61">
        <v>0.74</v>
      </c>
      <c r="N121" s="83">
        <f t="shared" ref="N121:N122" si="12">SUM(E121*H121)/M121*262.7</f>
        <v>106500</v>
      </c>
    </row>
    <row r="122" spans="2:14" s="70" customFormat="1" ht="12.75" customHeight="1" x14ac:dyDescent="0.2">
      <c r="B122" s="14"/>
      <c r="C122" s="14"/>
      <c r="D122" s="88"/>
      <c r="E122" s="89">
        <v>6</v>
      </c>
      <c r="F122" s="46" t="s">
        <v>88</v>
      </c>
      <c r="G122" s="90"/>
      <c r="H122" s="87">
        <v>800</v>
      </c>
      <c r="I122" s="90" t="s">
        <v>23</v>
      </c>
      <c r="J122" s="90"/>
      <c r="K122" s="87">
        <f t="shared" si="11"/>
        <v>4800</v>
      </c>
      <c r="L122" s="90" t="s">
        <v>23</v>
      </c>
      <c r="M122" s="91">
        <v>0.74</v>
      </c>
      <c r="N122" s="83">
        <f t="shared" si="12"/>
        <v>1704000</v>
      </c>
    </row>
    <row r="123" spans="2:14" ht="19.899999999999999" customHeight="1" x14ac:dyDescent="0.2">
      <c r="B123" s="41"/>
      <c r="C123" s="4"/>
      <c r="D123" s="204"/>
      <c r="E123" s="204"/>
      <c r="F123" s="204"/>
      <c r="G123" s="204"/>
      <c r="H123" s="27"/>
      <c r="I123" s="27"/>
      <c r="J123" s="27"/>
      <c r="K123" s="275"/>
      <c r="L123" s="27"/>
      <c r="M123" s="27"/>
      <c r="N123" s="33"/>
    </row>
    <row r="124" spans="2:14" x14ac:dyDescent="0.2">
      <c r="B124" s="14"/>
      <c r="C124" s="56" t="s">
        <v>80</v>
      </c>
      <c r="D124" s="46" t="s">
        <v>41</v>
      </c>
      <c r="E124" s="46"/>
      <c r="F124" s="46"/>
      <c r="G124" s="46"/>
      <c r="H124" s="57"/>
      <c r="I124" s="46"/>
      <c r="J124" s="46"/>
      <c r="K124" s="45">
        <v>198553</v>
      </c>
      <c r="L124" s="42" t="s">
        <v>23</v>
      </c>
      <c r="M124" s="46"/>
      <c r="N124" s="47"/>
    </row>
    <row r="125" spans="2:14" ht="30.75" customHeight="1" x14ac:dyDescent="0.2">
      <c r="B125" s="14"/>
      <c r="C125" s="56"/>
      <c r="D125" s="345" t="s">
        <v>85</v>
      </c>
      <c r="E125" s="345"/>
      <c r="F125" s="345"/>
      <c r="G125" s="345"/>
      <c r="H125" s="345"/>
      <c r="I125" s="345"/>
      <c r="J125" s="345"/>
      <c r="K125" s="345"/>
      <c r="L125" s="345"/>
      <c r="M125" s="46"/>
      <c r="N125" s="47">
        <f>3057950*1.2</f>
        <v>3669540</v>
      </c>
    </row>
    <row r="126" spans="2:14" s="24" customFormat="1" x14ac:dyDescent="0.2">
      <c r="B126" s="14"/>
      <c r="C126" s="14"/>
      <c r="D126" s="92" t="s">
        <v>24</v>
      </c>
      <c r="E126" s="16">
        <v>18</v>
      </c>
      <c r="F126" s="13" t="s">
        <v>88</v>
      </c>
      <c r="G126" s="13"/>
      <c r="H126" s="85">
        <v>750</v>
      </c>
      <c r="I126" s="50" t="s">
        <v>23</v>
      </c>
      <c r="J126" s="166"/>
      <c r="K126" s="37">
        <f>SUM(E126*H126)</f>
        <v>13500</v>
      </c>
      <c r="L126" s="50" t="s">
        <v>23</v>
      </c>
      <c r="M126" s="36">
        <v>0.68</v>
      </c>
      <c r="N126" s="34">
        <f>SUM(E126*H126)/M126*274.69</f>
        <v>5453404.4117647056</v>
      </c>
    </row>
    <row r="127" spans="2:14" s="70" customFormat="1" x14ac:dyDescent="0.2">
      <c r="B127" s="14"/>
      <c r="C127" s="14"/>
      <c r="D127" s="13"/>
      <c r="E127" s="16">
        <v>3</v>
      </c>
      <c r="F127" s="13" t="s">
        <v>89</v>
      </c>
      <c r="G127" s="13"/>
      <c r="H127" s="85">
        <v>375</v>
      </c>
      <c r="I127" s="13" t="s">
        <v>23</v>
      </c>
      <c r="J127" s="13"/>
      <c r="K127" s="85">
        <f>SUM(E127*H127)</f>
        <v>1125</v>
      </c>
      <c r="L127" s="13" t="s">
        <v>23</v>
      </c>
      <c r="M127" s="86">
        <v>0.68</v>
      </c>
      <c r="N127" s="34">
        <f t="shared" ref="N127:N128" si="13">SUM(E127*H127)/M127*274.69</f>
        <v>454450.3676470588</v>
      </c>
    </row>
    <row r="128" spans="2:14" s="70" customFormat="1" x14ac:dyDescent="0.2">
      <c r="B128" s="14"/>
      <c r="C128" s="14"/>
      <c r="D128" s="13"/>
      <c r="E128" s="16">
        <v>5</v>
      </c>
      <c r="F128" s="13" t="s">
        <v>91</v>
      </c>
      <c r="G128" s="13"/>
      <c r="H128" s="85">
        <v>1000</v>
      </c>
      <c r="I128" s="13" t="s">
        <v>23</v>
      </c>
      <c r="J128" s="13"/>
      <c r="K128" s="85">
        <f>SUM(E128*H128)</f>
        <v>5000</v>
      </c>
      <c r="L128" s="13" t="s">
        <v>23</v>
      </c>
      <c r="M128" s="86">
        <v>0.68</v>
      </c>
      <c r="N128" s="34">
        <f t="shared" si="13"/>
        <v>2019779.4117647056</v>
      </c>
    </row>
    <row r="129" spans="2:14" s="155" customFormat="1" ht="18.75" customHeight="1" x14ac:dyDescent="0.2">
      <c r="B129" s="157"/>
      <c r="C129" s="73"/>
      <c r="D129" s="27"/>
      <c r="E129" s="27"/>
      <c r="F129" s="27"/>
      <c r="G129" s="27"/>
      <c r="H129" s="27"/>
      <c r="I129" s="27"/>
      <c r="J129" s="27"/>
      <c r="K129" s="275"/>
      <c r="L129" s="27"/>
      <c r="M129" s="27"/>
      <c r="N129" s="33"/>
    </row>
    <row r="130" spans="2:14" x14ac:dyDescent="0.2">
      <c r="B130" s="14"/>
      <c r="C130" s="56" t="s">
        <v>126</v>
      </c>
      <c r="D130" s="46" t="s">
        <v>132</v>
      </c>
      <c r="E130" s="46"/>
      <c r="F130" s="46"/>
      <c r="G130" s="46"/>
      <c r="H130" s="352">
        <v>2005</v>
      </c>
      <c r="I130" s="352"/>
      <c r="J130" s="250"/>
      <c r="K130" s="251">
        <v>67036</v>
      </c>
      <c r="L130" s="252" t="s">
        <v>23</v>
      </c>
      <c r="M130" s="46"/>
      <c r="N130" s="47"/>
    </row>
    <row r="131" spans="2:14" ht="30.6" customHeight="1" x14ac:dyDescent="0.2">
      <c r="B131" s="14"/>
      <c r="C131" s="56"/>
      <c r="D131" s="331" t="s">
        <v>230</v>
      </c>
      <c r="E131" s="331"/>
      <c r="F131" s="331"/>
      <c r="G131" s="331"/>
      <c r="H131" s="331"/>
      <c r="I131" s="331"/>
      <c r="J131" s="331"/>
      <c r="K131" s="331"/>
      <c r="L131" s="331"/>
      <c r="M131" s="46"/>
      <c r="N131" s="84">
        <f>67036*100</f>
        <v>6703600</v>
      </c>
    </row>
    <row r="132" spans="2:14" s="24" customFormat="1" x14ac:dyDescent="0.2">
      <c r="B132" s="14"/>
      <c r="C132" s="14"/>
      <c r="D132" s="92" t="s">
        <v>24</v>
      </c>
      <c r="E132" s="16">
        <v>4</v>
      </c>
      <c r="F132" s="13" t="s">
        <v>88</v>
      </c>
      <c r="G132" s="13"/>
      <c r="H132" s="85">
        <v>800</v>
      </c>
      <c r="I132" s="50" t="s">
        <v>23</v>
      </c>
      <c r="J132" s="166"/>
      <c r="K132" s="37">
        <f>SUM(E132*H132)</f>
        <v>3200</v>
      </c>
      <c r="L132" s="50" t="s">
        <v>23</v>
      </c>
      <c r="M132" s="36">
        <v>0.74</v>
      </c>
      <c r="N132" s="34">
        <f>SUM(E132*H132)/M132*262.7</f>
        <v>1136000</v>
      </c>
    </row>
    <row r="133" spans="2:14" ht="6" customHeight="1" x14ac:dyDescent="0.2">
      <c r="B133" s="41"/>
      <c r="C133" s="4"/>
      <c r="D133" s="204"/>
      <c r="E133" s="204"/>
      <c r="F133" s="204"/>
      <c r="G133" s="204"/>
      <c r="H133" s="27"/>
      <c r="I133" s="27"/>
      <c r="J133" s="27"/>
      <c r="K133" s="27"/>
      <c r="L133" s="27"/>
      <c r="M133" s="27"/>
      <c r="N133" s="33"/>
    </row>
    <row r="134" spans="2:14" x14ac:dyDescent="0.2">
      <c r="B134" s="14"/>
      <c r="C134" s="56" t="s">
        <v>129</v>
      </c>
      <c r="D134" s="46" t="s">
        <v>134</v>
      </c>
      <c r="E134" s="46"/>
      <c r="F134" s="46"/>
      <c r="G134" s="46"/>
      <c r="H134" s="57"/>
      <c r="I134" s="46"/>
      <c r="J134" s="46"/>
      <c r="K134" s="45">
        <v>91300</v>
      </c>
      <c r="L134" s="42" t="s">
        <v>23</v>
      </c>
      <c r="M134" s="46"/>
      <c r="N134" s="47"/>
    </row>
    <row r="135" spans="2:14" ht="13.35" customHeight="1" x14ac:dyDescent="0.2">
      <c r="B135" s="14"/>
      <c r="C135" s="56"/>
      <c r="D135" s="353" t="s">
        <v>133</v>
      </c>
      <c r="E135" s="353"/>
      <c r="F135" s="353"/>
      <c r="G135" s="353"/>
      <c r="H135" s="353"/>
      <c r="I135" s="353"/>
      <c r="J135" s="353"/>
      <c r="K135" s="353"/>
      <c r="L135" s="353"/>
      <c r="M135" s="46"/>
      <c r="N135" s="47"/>
    </row>
    <row r="136" spans="2:14" s="24" customFormat="1" x14ac:dyDescent="0.2">
      <c r="B136" s="14"/>
      <c r="C136" s="14"/>
      <c r="D136" s="92" t="s">
        <v>24</v>
      </c>
      <c r="E136" s="16">
        <v>4</v>
      </c>
      <c r="F136" s="13" t="s">
        <v>88</v>
      </c>
      <c r="G136" s="13"/>
      <c r="H136" s="85">
        <v>800</v>
      </c>
      <c r="I136" s="50" t="s">
        <v>23</v>
      </c>
      <c r="J136" s="166"/>
      <c r="K136" s="37">
        <f>SUM(E136*H136)</f>
        <v>3200</v>
      </c>
      <c r="L136" s="50" t="s">
        <v>23</v>
      </c>
      <c r="M136" s="36">
        <v>0.74</v>
      </c>
      <c r="N136" s="34">
        <f>SUM(E136*H136)/M136*262.7</f>
        <v>1136000</v>
      </c>
    </row>
    <row r="137" spans="2:14" ht="6" customHeight="1" x14ac:dyDescent="0.2">
      <c r="B137" s="41"/>
      <c r="C137" s="4"/>
      <c r="D137" s="204"/>
      <c r="E137" s="204"/>
      <c r="F137" s="204"/>
      <c r="G137" s="204"/>
      <c r="H137" s="27"/>
      <c r="I137" s="27"/>
      <c r="J137" s="27"/>
      <c r="K137" s="27"/>
      <c r="L137" s="27"/>
      <c r="M137" s="27"/>
      <c r="N137" s="33"/>
    </row>
    <row r="138" spans="2:14" x14ac:dyDescent="0.2">
      <c r="B138" s="14"/>
      <c r="C138" s="56" t="s">
        <v>153</v>
      </c>
      <c r="D138" s="46" t="s">
        <v>135</v>
      </c>
      <c r="E138" s="46"/>
      <c r="F138" s="46"/>
      <c r="G138" s="46"/>
      <c r="H138" s="57"/>
      <c r="I138" s="46"/>
      <c r="J138" s="46"/>
      <c r="K138" s="45">
        <v>67036</v>
      </c>
      <c r="L138" s="42" t="s">
        <v>23</v>
      </c>
      <c r="M138" s="46"/>
      <c r="N138" s="47"/>
    </row>
    <row r="139" spans="2:14" ht="30.6" customHeight="1" x14ac:dyDescent="0.2">
      <c r="B139" s="14"/>
      <c r="C139" s="56"/>
      <c r="D139" s="331" t="s">
        <v>230</v>
      </c>
      <c r="E139" s="331"/>
      <c r="F139" s="331"/>
      <c r="G139" s="331"/>
      <c r="H139" s="331"/>
      <c r="I139" s="331"/>
      <c r="J139" s="331"/>
      <c r="K139" s="331"/>
      <c r="L139" s="331"/>
      <c r="M139" s="46"/>
      <c r="N139" s="84">
        <f>67036*100</f>
        <v>6703600</v>
      </c>
    </row>
    <row r="140" spans="2:14" s="24" customFormat="1" x14ac:dyDescent="0.2">
      <c r="B140" s="14"/>
      <c r="C140" s="14"/>
      <c r="D140" s="92" t="s">
        <v>24</v>
      </c>
      <c r="E140" s="16">
        <v>4</v>
      </c>
      <c r="F140" s="13" t="s">
        <v>88</v>
      </c>
      <c r="G140" s="13"/>
      <c r="H140" s="85">
        <v>800</v>
      </c>
      <c r="I140" s="50" t="s">
        <v>23</v>
      </c>
      <c r="J140" s="166"/>
      <c r="K140" s="37">
        <f>SUM(E140*H140)</f>
        <v>3200</v>
      </c>
      <c r="L140" s="50" t="s">
        <v>23</v>
      </c>
      <c r="M140" s="36">
        <v>0.74</v>
      </c>
      <c r="N140" s="34">
        <f>SUM(E140*H140)/M140*262.7</f>
        <v>1136000</v>
      </c>
    </row>
    <row r="141" spans="2:14" ht="6" customHeight="1" x14ac:dyDescent="0.2">
      <c r="B141" s="41"/>
      <c r="C141" s="4"/>
      <c r="D141" s="204"/>
      <c r="E141" s="204"/>
      <c r="F141" s="204"/>
      <c r="G141" s="204"/>
      <c r="H141" s="27"/>
      <c r="I141" s="27"/>
      <c r="J141" s="27"/>
      <c r="K141" s="27"/>
      <c r="L141" s="27"/>
      <c r="M141" s="27"/>
      <c r="N141" s="33"/>
    </row>
    <row r="142" spans="2:14" x14ac:dyDescent="0.2">
      <c r="B142" s="14"/>
      <c r="C142" s="56" t="s">
        <v>130</v>
      </c>
      <c r="D142" s="46" t="s">
        <v>136</v>
      </c>
      <c r="E142" s="46"/>
      <c r="F142" s="46"/>
      <c r="G142" s="46"/>
      <c r="H142" s="57"/>
      <c r="I142" s="46"/>
      <c r="J142" s="46"/>
      <c r="K142" s="45">
        <v>67036</v>
      </c>
      <c r="L142" s="42" t="s">
        <v>23</v>
      </c>
      <c r="M142" s="46"/>
      <c r="N142" s="47"/>
    </row>
    <row r="143" spans="2:14" ht="30.6" customHeight="1" x14ac:dyDescent="0.2">
      <c r="B143" s="14"/>
      <c r="C143" s="56"/>
      <c r="D143" s="331" t="s">
        <v>230</v>
      </c>
      <c r="E143" s="331"/>
      <c r="F143" s="331"/>
      <c r="G143" s="331"/>
      <c r="H143" s="331"/>
      <c r="I143" s="331"/>
      <c r="J143" s="331"/>
      <c r="K143" s="331"/>
      <c r="L143" s="331"/>
      <c r="M143" s="46"/>
      <c r="N143" s="84">
        <f>67036*100</f>
        <v>6703600</v>
      </c>
    </row>
    <row r="144" spans="2:14" s="24" customFormat="1" x14ac:dyDescent="0.2">
      <c r="B144" s="14"/>
      <c r="C144" s="14"/>
      <c r="D144" s="92" t="s">
        <v>24</v>
      </c>
      <c r="E144" s="16">
        <v>4</v>
      </c>
      <c r="F144" s="13" t="s">
        <v>88</v>
      </c>
      <c r="G144" s="13"/>
      <c r="H144" s="85">
        <v>800</v>
      </c>
      <c r="I144" s="50" t="s">
        <v>23</v>
      </c>
      <c r="J144" s="166"/>
      <c r="K144" s="37">
        <f>SUM(E144*H144)</f>
        <v>3200</v>
      </c>
      <c r="L144" s="50" t="s">
        <v>23</v>
      </c>
      <c r="M144" s="36">
        <v>0.74</v>
      </c>
      <c r="N144" s="34">
        <f>SUM(E144*H144)/M144*262.7</f>
        <v>1136000</v>
      </c>
    </row>
    <row r="145" spans="2:14" ht="6" customHeight="1" x14ac:dyDescent="0.2">
      <c r="B145" s="41"/>
      <c r="C145" s="4"/>
      <c r="D145" s="204"/>
      <c r="E145" s="204"/>
      <c r="F145" s="204"/>
      <c r="G145" s="204"/>
      <c r="H145" s="27"/>
      <c r="I145" s="27"/>
      <c r="J145" s="27"/>
      <c r="K145" s="27"/>
      <c r="L145" s="27"/>
      <c r="M145" s="27"/>
      <c r="N145" s="33"/>
    </row>
    <row r="146" spans="2:14" x14ac:dyDescent="0.2">
      <c r="B146" s="14"/>
      <c r="C146" s="56" t="s">
        <v>131</v>
      </c>
      <c r="D146" s="46" t="s">
        <v>137</v>
      </c>
      <c r="E146" s="46"/>
      <c r="F146" s="46"/>
      <c r="G146" s="46"/>
      <c r="H146" s="57"/>
      <c r="I146" s="46"/>
      <c r="J146" s="46"/>
      <c r="K146" s="45">
        <v>77597</v>
      </c>
      <c r="L146" s="42" t="s">
        <v>23</v>
      </c>
      <c r="M146" s="46"/>
      <c r="N146" s="47"/>
    </row>
    <row r="147" spans="2:14" ht="13.35" customHeight="1" x14ac:dyDescent="0.2">
      <c r="B147" s="14"/>
      <c r="C147" s="56"/>
      <c r="D147" s="353" t="s">
        <v>133</v>
      </c>
      <c r="E147" s="353"/>
      <c r="F147" s="353"/>
      <c r="G147" s="353"/>
      <c r="H147" s="353"/>
      <c r="I147" s="353"/>
      <c r="J147" s="353"/>
      <c r="K147" s="353"/>
      <c r="L147" s="353"/>
      <c r="M147" s="46"/>
      <c r="N147" s="47"/>
    </row>
    <row r="148" spans="2:14" s="24" customFormat="1" x14ac:dyDescent="0.2">
      <c r="B148" s="14"/>
      <c r="C148" s="14"/>
      <c r="D148" s="92" t="s">
        <v>24</v>
      </c>
      <c r="E148" s="16">
        <v>4</v>
      </c>
      <c r="F148" s="13" t="s">
        <v>88</v>
      </c>
      <c r="G148" s="13"/>
      <c r="H148" s="85">
        <v>800</v>
      </c>
      <c r="I148" s="50" t="s">
        <v>23</v>
      </c>
      <c r="J148" s="166"/>
      <c r="K148" s="37">
        <f>SUM(E148*H148)</f>
        <v>3200</v>
      </c>
      <c r="L148" s="50" t="s">
        <v>23</v>
      </c>
      <c r="M148" s="36">
        <v>0.74</v>
      </c>
      <c r="N148" s="34">
        <f>SUM(E148*H148)/M148*262.7</f>
        <v>1136000</v>
      </c>
    </row>
    <row r="149" spans="2:14" ht="6" customHeight="1" x14ac:dyDescent="0.2">
      <c r="B149" s="41"/>
      <c r="C149" s="4"/>
      <c r="D149" s="204"/>
      <c r="E149" s="204"/>
      <c r="F149" s="204"/>
      <c r="G149" s="204"/>
      <c r="H149" s="27"/>
      <c r="I149" s="27"/>
      <c r="J149" s="27"/>
      <c r="K149" s="27"/>
      <c r="L149" s="27"/>
      <c r="M149" s="27"/>
      <c r="N149" s="33"/>
    </row>
    <row r="150" spans="2:14" x14ac:dyDescent="0.2">
      <c r="B150" s="14"/>
      <c r="C150" s="56" t="s">
        <v>138</v>
      </c>
      <c r="D150" s="46" t="s">
        <v>144</v>
      </c>
      <c r="E150" s="46"/>
      <c r="F150" s="46"/>
      <c r="G150" s="46"/>
      <c r="H150" s="57"/>
      <c r="I150" s="46"/>
      <c r="J150" s="46"/>
      <c r="K150" s="45">
        <v>78947</v>
      </c>
      <c r="L150" s="42" t="s">
        <v>23</v>
      </c>
      <c r="M150" s="46"/>
      <c r="N150" s="47"/>
    </row>
    <row r="151" spans="2:14" s="24" customFormat="1" x14ac:dyDescent="0.2">
      <c r="B151" s="14"/>
      <c r="C151" s="14"/>
      <c r="D151" s="92" t="s">
        <v>24</v>
      </c>
      <c r="E151" s="16">
        <v>4</v>
      </c>
      <c r="F151" s="13" t="s">
        <v>88</v>
      </c>
      <c r="G151" s="13"/>
      <c r="H151" s="85">
        <v>800</v>
      </c>
      <c r="I151" s="50" t="s">
        <v>23</v>
      </c>
      <c r="J151" s="166"/>
      <c r="K151" s="37">
        <f>SUM(E151*H151)</f>
        <v>3200</v>
      </c>
      <c r="L151" s="50" t="s">
        <v>23</v>
      </c>
      <c r="M151" s="36">
        <v>0.74</v>
      </c>
      <c r="N151" s="34">
        <f>SUM(E151*H151)/M151*262.7</f>
        <v>1136000</v>
      </c>
    </row>
    <row r="152" spans="2:14" ht="6" customHeight="1" x14ac:dyDescent="0.2">
      <c r="B152" s="41"/>
      <c r="C152" s="4"/>
      <c r="D152" s="204"/>
      <c r="E152" s="204"/>
      <c r="F152" s="204"/>
      <c r="G152" s="204"/>
      <c r="H152" s="27"/>
      <c r="I152" s="27"/>
      <c r="J152" s="27"/>
      <c r="K152" s="27"/>
      <c r="L152" s="27"/>
      <c r="M152" s="27"/>
      <c r="N152" s="33"/>
    </row>
    <row r="153" spans="2:14" x14ac:dyDescent="0.2">
      <c r="B153" s="14"/>
      <c r="C153" s="56" t="s">
        <v>139</v>
      </c>
      <c r="D153" s="46" t="s">
        <v>145</v>
      </c>
      <c r="E153" s="46"/>
      <c r="F153" s="46"/>
      <c r="G153" s="46"/>
      <c r="H153" s="57"/>
      <c r="I153" s="46"/>
      <c r="J153" s="46"/>
      <c r="K153" s="45">
        <v>85978</v>
      </c>
      <c r="L153" s="42" t="s">
        <v>23</v>
      </c>
      <c r="M153" s="46"/>
      <c r="N153" s="47"/>
    </row>
    <row r="154" spans="2:14" ht="13.35" customHeight="1" x14ac:dyDescent="0.2">
      <c r="B154" s="14"/>
      <c r="C154" s="56"/>
      <c r="D154" s="353" t="s">
        <v>133</v>
      </c>
      <c r="E154" s="353"/>
      <c r="F154" s="353"/>
      <c r="G154" s="353"/>
      <c r="H154" s="353"/>
      <c r="I154" s="353"/>
      <c r="J154" s="353"/>
      <c r="K154" s="353"/>
      <c r="L154" s="353"/>
      <c r="M154" s="46"/>
      <c r="N154" s="47"/>
    </row>
    <row r="155" spans="2:14" s="24" customFormat="1" x14ac:dyDescent="0.2">
      <c r="B155" s="14"/>
      <c r="C155" s="14"/>
      <c r="D155" s="92" t="s">
        <v>24</v>
      </c>
      <c r="E155" s="16">
        <v>4</v>
      </c>
      <c r="F155" s="13" t="s">
        <v>88</v>
      </c>
      <c r="G155" s="13"/>
      <c r="H155" s="85">
        <v>800</v>
      </c>
      <c r="I155" s="50" t="s">
        <v>23</v>
      </c>
      <c r="J155" s="166"/>
      <c r="K155" s="37">
        <f>SUM(E155*H155)</f>
        <v>3200</v>
      </c>
      <c r="L155" s="50" t="s">
        <v>23</v>
      </c>
      <c r="M155" s="36">
        <v>0.74</v>
      </c>
      <c r="N155" s="34">
        <f>SUM(E155*H155)/M155*262.7</f>
        <v>1136000</v>
      </c>
    </row>
    <row r="156" spans="2:14" ht="6" customHeight="1" x14ac:dyDescent="0.2">
      <c r="B156" s="41"/>
      <c r="C156" s="4"/>
      <c r="D156" s="204"/>
      <c r="E156" s="204"/>
      <c r="F156" s="204"/>
      <c r="G156" s="204"/>
      <c r="H156" s="27"/>
      <c r="I156" s="27"/>
      <c r="J156" s="27"/>
      <c r="K156" s="27"/>
      <c r="L156" s="27"/>
      <c r="M156" s="27"/>
      <c r="N156" s="33"/>
    </row>
    <row r="157" spans="2:14" x14ac:dyDescent="0.2">
      <c r="B157" s="14"/>
      <c r="C157" s="56" t="s">
        <v>140</v>
      </c>
      <c r="D157" s="46" t="s">
        <v>146</v>
      </c>
      <c r="E157" s="46"/>
      <c r="F157" s="46"/>
      <c r="G157" s="46"/>
      <c r="H157" s="57"/>
      <c r="I157" s="46"/>
      <c r="J157" s="46"/>
      <c r="K157" s="45">
        <v>55386</v>
      </c>
      <c r="L157" s="42" t="s">
        <v>23</v>
      </c>
      <c r="M157" s="46"/>
      <c r="N157" s="47"/>
    </row>
    <row r="158" spans="2:14" ht="30.6" customHeight="1" x14ac:dyDescent="0.2">
      <c r="B158" s="14"/>
      <c r="C158" s="56"/>
      <c r="D158" s="331" t="s">
        <v>230</v>
      </c>
      <c r="E158" s="331"/>
      <c r="F158" s="331"/>
      <c r="G158" s="331"/>
      <c r="H158" s="331"/>
      <c r="I158" s="331"/>
      <c r="J158" s="331"/>
      <c r="K158" s="331"/>
      <c r="L158" s="331"/>
      <c r="M158" s="46"/>
      <c r="N158" s="84">
        <f>56128*100</f>
        <v>5612800</v>
      </c>
    </row>
    <row r="159" spans="2:14" x14ac:dyDescent="0.2">
      <c r="B159" s="14"/>
      <c r="C159" s="56"/>
      <c r="D159" s="353" t="s">
        <v>133</v>
      </c>
      <c r="E159" s="353"/>
      <c r="F159" s="353"/>
      <c r="G159" s="353"/>
      <c r="H159" s="353"/>
      <c r="I159" s="353"/>
      <c r="J159" s="353"/>
      <c r="K159" s="353"/>
      <c r="L159" s="353"/>
      <c r="M159" s="46"/>
      <c r="N159" s="47"/>
    </row>
    <row r="160" spans="2:14" s="24" customFormat="1" x14ac:dyDescent="0.2">
      <c r="B160" s="14"/>
      <c r="C160" s="14"/>
      <c r="D160" s="92" t="s">
        <v>24</v>
      </c>
      <c r="E160" s="16">
        <v>4</v>
      </c>
      <c r="F160" s="13" t="s">
        <v>88</v>
      </c>
      <c r="G160" s="13"/>
      <c r="H160" s="85">
        <v>800</v>
      </c>
      <c r="I160" s="50" t="s">
        <v>23</v>
      </c>
      <c r="J160" s="166"/>
      <c r="K160" s="37">
        <f>SUM(E160*H160)</f>
        <v>3200</v>
      </c>
      <c r="L160" s="50" t="s">
        <v>23</v>
      </c>
      <c r="M160" s="36">
        <v>0.74</v>
      </c>
      <c r="N160" s="34">
        <f>SUM(E160*H160)/M160*262.7</f>
        <v>1136000</v>
      </c>
    </row>
    <row r="161" spans="2:14" ht="6" customHeight="1" x14ac:dyDescent="0.2">
      <c r="B161" s="41"/>
      <c r="C161" s="4"/>
      <c r="D161" s="204"/>
      <c r="E161" s="204"/>
      <c r="F161" s="204"/>
      <c r="G161" s="204"/>
      <c r="H161" s="27"/>
      <c r="I161" s="27"/>
      <c r="J161" s="27"/>
      <c r="K161" s="27"/>
      <c r="L161" s="27"/>
      <c r="M161" s="27"/>
      <c r="N161" s="33"/>
    </row>
    <row r="162" spans="2:14" x14ac:dyDescent="0.2">
      <c r="B162" s="14"/>
      <c r="C162" s="56" t="s">
        <v>141</v>
      </c>
      <c r="D162" s="46" t="s">
        <v>47</v>
      </c>
      <c r="E162" s="46"/>
      <c r="F162" s="46"/>
      <c r="G162" s="46"/>
      <c r="H162" s="57"/>
      <c r="I162" s="46"/>
      <c r="J162" s="46"/>
      <c r="K162" s="45">
        <v>73400</v>
      </c>
      <c r="L162" s="42" t="s">
        <v>23</v>
      </c>
      <c r="M162" s="46"/>
      <c r="N162" s="47"/>
    </row>
    <row r="163" spans="2:14" ht="30.6" customHeight="1" x14ac:dyDescent="0.2">
      <c r="B163" s="14"/>
      <c r="C163" s="56"/>
      <c r="D163" s="331" t="s">
        <v>230</v>
      </c>
      <c r="E163" s="331"/>
      <c r="F163" s="331"/>
      <c r="G163" s="331"/>
      <c r="H163" s="331"/>
      <c r="I163" s="331"/>
      <c r="J163" s="331"/>
      <c r="K163" s="331"/>
      <c r="L163" s="331"/>
      <c r="M163" s="46"/>
      <c r="N163" s="84">
        <f>102924*100</f>
        <v>10292400</v>
      </c>
    </row>
    <row r="164" spans="2:14" x14ac:dyDescent="0.2">
      <c r="B164" s="14"/>
      <c r="C164" s="56"/>
      <c r="D164" s="353" t="s">
        <v>133</v>
      </c>
      <c r="E164" s="353"/>
      <c r="F164" s="353"/>
      <c r="G164" s="353"/>
      <c r="H164" s="353"/>
      <c r="I164" s="353"/>
      <c r="J164" s="353"/>
      <c r="K164" s="353"/>
      <c r="L164" s="353"/>
      <c r="M164" s="46"/>
      <c r="N164" s="47"/>
    </row>
    <row r="165" spans="2:14" s="24" customFormat="1" x14ac:dyDescent="0.2">
      <c r="B165" s="14"/>
      <c r="C165" s="14"/>
      <c r="D165" s="92" t="s">
        <v>24</v>
      </c>
      <c r="E165" s="16">
        <v>4</v>
      </c>
      <c r="F165" s="13" t="s">
        <v>88</v>
      </c>
      <c r="G165" s="13"/>
      <c r="H165" s="85">
        <v>750</v>
      </c>
      <c r="I165" s="50" t="s">
        <v>23</v>
      </c>
      <c r="J165" s="166"/>
      <c r="K165" s="37">
        <f>SUM(E165*H165)</f>
        <v>3000</v>
      </c>
      <c r="L165" s="50" t="s">
        <v>23</v>
      </c>
      <c r="M165" s="36">
        <v>0.71</v>
      </c>
      <c r="N165" s="34">
        <f>SUM(E165*H165)/M165*265.78</f>
        <v>1123014.0845070423</v>
      </c>
    </row>
    <row r="166" spans="2:14" ht="6" customHeight="1" x14ac:dyDescent="0.2">
      <c r="B166" s="41"/>
      <c r="C166" s="4"/>
      <c r="D166" s="204"/>
      <c r="E166" s="204"/>
      <c r="F166" s="204"/>
      <c r="G166" s="204"/>
      <c r="H166" s="27"/>
      <c r="I166" s="27"/>
      <c r="J166" s="27"/>
      <c r="K166" s="27"/>
      <c r="L166" s="27"/>
      <c r="M166" s="27"/>
      <c r="N166" s="33"/>
    </row>
    <row r="167" spans="2:14" x14ac:dyDescent="0.2">
      <c r="B167" s="14"/>
      <c r="C167" s="56" t="s">
        <v>142</v>
      </c>
      <c r="D167" s="46" t="s">
        <v>42</v>
      </c>
      <c r="E167" s="46"/>
      <c r="F167" s="46"/>
      <c r="G167" s="46"/>
      <c r="H167" s="57"/>
      <c r="I167" s="46"/>
      <c r="J167" s="46"/>
      <c r="K167" s="45"/>
      <c r="L167" s="42"/>
      <c r="M167" s="46"/>
      <c r="N167" s="47"/>
    </row>
    <row r="168" spans="2:14" ht="30.6" customHeight="1" x14ac:dyDescent="0.2">
      <c r="B168" s="14"/>
      <c r="C168" s="56"/>
      <c r="D168" s="331" t="s">
        <v>230</v>
      </c>
      <c r="E168" s="331"/>
      <c r="F168" s="331"/>
      <c r="G168" s="331"/>
      <c r="H168" s="331"/>
      <c r="I168" s="331"/>
      <c r="J168" s="331"/>
      <c r="K168" s="331"/>
      <c r="L168" s="331"/>
      <c r="M168" s="46"/>
      <c r="N168" s="84">
        <f>230000*100</f>
        <v>23000000</v>
      </c>
    </row>
    <row r="169" spans="2:14" s="24" customFormat="1" x14ac:dyDescent="0.2">
      <c r="B169" s="14"/>
      <c r="C169" s="14"/>
      <c r="D169" s="92" t="s">
        <v>24</v>
      </c>
      <c r="E169" s="16">
        <v>4</v>
      </c>
      <c r="F169" s="13" t="s">
        <v>88</v>
      </c>
      <c r="G169" s="13"/>
      <c r="H169" s="85">
        <v>750</v>
      </c>
      <c r="I169" s="50" t="s">
        <v>23</v>
      </c>
      <c r="J169" s="166"/>
      <c r="K169" s="37">
        <f>SUM(E169*H169)</f>
        <v>3000</v>
      </c>
      <c r="L169" s="50" t="s">
        <v>23</v>
      </c>
      <c r="M169" s="36">
        <v>0.68</v>
      </c>
      <c r="N169" s="34">
        <f>SUM(E169*H169)/M169*274.69</f>
        <v>1211867.6470588234</v>
      </c>
    </row>
    <row r="170" spans="2:14" s="24" customFormat="1" ht="5.25" customHeight="1" x14ac:dyDescent="0.2">
      <c r="B170" s="14"/>
      <c r="C170" s="14"/>
      <c r="D170" s="77"/>
      <c r="E170" s="78"/>
      <c r="F170" s="78"/>
      <c r="G170" s="78"/>
      <c r="H170" s="35"/>
      <c r="I170" s="35"/>
      <c r="J170" s="35"/>
      <c r="K170" s="35"/>
      <c r="L170" s="35"/>
      <c r="M170" s="36"/>
      <c r="N170" s="34"/>
    </row>
    <row r="171" spans="2:14" ht="14.25" x14ac:dyDescent="0.2">
      <c r="B171" s="8" t="s">
        <v>27</v>
      </c>
      <c r="C171" s="9"/>
      <c r="D171" s="10"/>
      <c r="E171" s="10"/>
      <c r="F171" s="10"/>
      <c r="G171" s="10"/>
      <c r="H171" s="31"/>
      <c r="I171" s="31"/>
      <c r="J171" s="31"/>
      <c r="K171" s="31"/>
      <c r="L171" s="31"/>
      <c r="M171" s="31"/>
      <c r="N171" s="32"/>
    </row>
    <row r="172" spans="2:14" ht="5.25" customHeight="1" x14ac:dyDescent="0.2">
      <c r="B172" s="7"/>
      <c r="C172" s="7"/>
      <c r="D172" s="204"/>
      <c r="E172" s="204"/>
      <c r="F172" s="204"/>
      <c r="G172" s="204"/>
      <c r="H172" s="27"/>
      <c r="I172" s="27"/>
      <c r="J172" s="27"/>
      <c r="K172" s="27"/>
      <c r="L172" s="27"/>
      <c r="M172" s="27"/>
      <c r="N172" s="33"/>
    </row>
    <row r="173" spans="2:14" x14ac:dyDescent="0.2">
      <c r="B173" s="11" t="s">
        <v>3</v>
      </c>
      <c r="C173" s="17" t="s">
        <v>30</v>
      </c>
      <c r="D173" s="13"/>
      <c r="E173" s="13"/>
      <c r="F173" s="13"/>
      <c r="G173" s="13"/>
      <c r="H173" s="25"/>
      <c r="I173" s="25"/>
      <c r="J173" s="25"/>
      <c r="K173" s="25"/>
      <c r="L173" s="25"/>
      <c r="M173" s="25"/>
      <c r="N173" s="34"/>
    </row>
    <row r="174" spans="2:14" ht="6" customHeight="1" x14ac:dyDescent="0.2">
      <c r="B174" s="41"/>
      <c r="C174" s="4"/>
      <c r="D174" s="204"/>
      <c r="E174" s="204"/>
      <c r="F174" s="204"/>
      <c r="G174" s="204"/>
      <c r="H174" s="27"/>
      <c r="I174" s="27"/>
      <c r="J174" s="27"/>
      <c r="K174" s="27"/>
      <c r="L174" s="27"/>
      <c r="M174" s="27"/>
      <c r="N174" s="33"/>
    </row>
    <row r="175" spans="2:14" x14ac:dyDescent="0.2">
      <c r="B175" s="14"/>
      <c r="C175" s="114" t="s">
        <v>0</v>
      </c>
      <c r="D175" s="115" t="s">
        <v>155</v>
      </c>
      <c r="E175" s="115"/>
      <c r="F175" s="115"/>
      <c r="G175" s="115"/>
      <c r="H175" s="115"/>
      <c r="I175" s="115"/>
      <c r="J175" s="115"/>
      <c r="K175" s="116">
        <v>15000</v>
      </c>
      <c r="L175" s="115" t="s">
        <v>23</v>
      </c>
      <c r="M175" s="117"/>
      <c r="N175" s="123"/>
    </row>
    <row r="176" spans="2:14" x14ac:dyDescent="0.2">
      <c r="B176" s="14"/>
      <c r="C176" s="129"/>
      <c r="D176" s="342" t="s">
        <v>156</v>
      </c>
      <c r="E176" s="342"/>
      <c r="F176" s="342"/>
      <c r="G176" s="342"/>
      <c r="H176" s="342"/>
      <c r="I176" s="342"/>
      <c r="J176" s="342"/>
      <c r="K176" s="342"/>
      <c r="L176" s="342"/>
      <c r="M176" s="130"/>
      <c r="N176" s="124">
        <f>K175*222.39</f>
        <v>3335850</v>
      </c>
    </row>
    <row r="177" spans="2:14" ht="6" customHeight="1" x14ac:dyDescent="0.2">
      <c r="B177" s="14"/>
      <c r="C177" s="129"/>
      <c r="D177" s="167"/>
      <c r="E177" s="167"/>
      <c r="F177" s="167"/>
      <c r="G177" s="167"/>
      <c r="H177" s="167"/>
      <c r="I177" s="167"/>
      <c r="J177" s="167"/>
      <c r="K177" s="167"/>
      <c r="L177" s="167"/>
      <c r="M177" s="130"/>
      <c r="N177" s="124"/>
    </row>
    <row r="178" spans="2:14" x14ac:dyDescent="0.2">
      <c r="B178" s="14"/>
      <c r="C178" s="114" t="s">
        <v>1</v>
      </c>
      <c r="D178" s="115" t="s">
        <v>75</v>
      </c>
      <c r="E178" s="115"/>
      <c r="F178" s="115"/>
      <c r="G178" s="115"/>
      <c r="H178" s="115"/>
      <c r="I178" s="115"/>
      <c r="J178" s="115"/>
      <c r="K178" s="116">
        <v>38335</v>
      </c>
      <c r="L178" s="115" t="s">
        <v>23</v>
      </c>
      <c r="M178" s="117"/>
      <c r="N178" s="118"/>
    </row>
    <row r="179" spans="2:14" ht="15.75" customHeight="1" x14ac:dyDescent="0.2">
      <c r="B179" s="14"/>
      <c r="C179" s="114"/>
      <c r="D179" s="343" t="s">
        <v>101</v>
      </c>
      <c r="E179" s="343"/>
      <c r="F179" s="343"/>
      <c r="G179" s="343"/>
      <c r="H179" s="343"/>
      <c r="I179" s="343"/>
      <c r="J179" s="343"/>
      <c r="K179" s="343"/>
      <c r="L179" s="343"/>
      <c r="M179" s="119"/>
      <c r="N179" s="120">
        <f>1358207*1.2</f>
        <v>1629848.4</v>
      </c>
    </row>
    <row r="180" spans="2:14" ht="6" customHeight="1" x14ac:dyDescent="0.2">
      <c r="B180" s="41"/>
      <c r="C180" s="121"/>
      <c r="D180" s="122"/>
      <c r="E180" s="122"/>
      <c r="F180" s="122"/>
      <c r="G180" s="122"/>
      <c r="H180" s="103"/>
      <c r="I180" s="103"/>
      <c r="J180" s="103"/>
      <c r="K180" s="103"/>
      <c r="L180" s="103"/>
      <c r="M180" s="103"/>
      <c r="N180" s="110"/>
    </row>
    <row r="181" spans="2:14" s="95" customFormat="1" x14ac:dyDescent="0.2">
      <c r="B181" s="94"/>
      <c r="C181" s="114" t="s">
        <v>2</v>
      </c>
      <c r="D181" s="115" t="s">
        <v>78</v>
      </c>
      <c r="E181" s="115"/>
      <c r="F181" s="115"/>
      <c r="G181" s="115"/>
      <c r="H181" s="115"/>
      <c r="I181" s="115"/>
      <c r="J181" s="115"/>
      <c r="K181" s="116">
        <v>25583</v>
      </c>
      <c r="L181" s="115" t="s">
        <v>23</v>
      </c>
      <c r="M181" s="117"/>
      <c r="N181" s="123"/>
    </row>
    <row r="182" spans="2:14" s="95" customFormat="1" ht="27.75" customHeight="1" x14ac:dyDescent="0.2">
      <c r="B182" s="94"/>
      <c r="C182" s="107"/>
      <c r="D182" s="344" t="s">
        <v>79</v>
      </c>
      <c r="E182" s="344"/>
      <c r="F182" s="344"/>
      <c r="G182" s="344"/>
      <c r="H182" s="344"/>
      <c r="I182" s="344"/>
      <c r="J182" s="344"/>
      <c r="K182" s="344"/>
      <c r="L182" s="344"/>
      <c r="M182" s="107"/>
      <c r="N182" s="124">
        <f>1812808*1.2</f>
        <v>2175369.6</v>
      </c>
    </row>
    <row r="183" spans="2:14" s="95" customFormat="1" ht="5.25" customHeight="1" x14ac:dyDescent="0.2">
      <c r="B183" s="94"/>
      <c r="C183" s="125"/>
      <c r="D183" s="126"/>
      <c r="E183" s="126"/>
      <c r="F183" s="126"/>
      <c r="G183" s="126"/>
      <c r="H183" s="113"/>
      <c r="I183" s="113"/>
      <c r="J183" s="113"/>
      <c r="K183" s="113"/>
      <c r="L183" s="113"/>
      <c r="M183" s="113"/>
      <c r="N183" s="112"/>
    </row>
    <row r="184" spans="2:14" x14ac:dyDescent="0.2">
      <c r="B184" s="14"/>
      <c r="C184" s="114" t="s">
        <v>3</v>
      </c>
      <c r="D184" s="115" t="s">
        <v>76</v>
      </c>
      <c r="E184" s="115"/>
      <c r="F184" s="115"/>
      <c r="G184" s="115"/>
      <c r="H184" s="115"/>
      <c r="I184" s="115"/>
      <c r="J184" s="115"/>
      <c r="K184" s="116">
        <v>23800</v>
      </c>
      <c r="L184" s="115" t="s">
        <v>23</v>
      </c>
      <c r="M184" s="117"/>
      <c r="N184" s="123"/>
    </row>
    <row r="185" spans="2:14" ht="30" customHeight="1" x14ac:dyDescent="0.2">
      <c r="B185" s="14"/>
      <c r="C185" s="114"/>
      <c r="D185" s="342" t="s">
        <v>77</v>
      </c>
      <c r="E185" s="342"/>
      <c r="F185" s="342"/>
      <c r="G185" s="342"/>
      <c r="H185" s="342"/>
      <c r="I185" s="342"/>
      <c r="J185" s="342"/>
      <c r="K185" s="342"/>
      <c r="L185" s="342"/>
      <c r="M185" s="127"/>
      <c r="N185" s="128">
        <f>1264849*1.2</f>
        <v>1517818.8</v>
      </c>
    </row>
    <row r="186" spans="2:14" ht="6" customHeight="1" x14ac:dyDescent="0.2">
      <c r="B186" s="41"/>
      <c r="C186" s="121"/>
      <c r="D186" s="122"/>
      <c r="E186" s="122"/>
      <c r="F186" s="122"/>
      <c r="G186" s="122"/>
      <c r="H186" s="103"/>
      <c r="I186" s="103"/>
      <c r="J186" s="103"/>
      <c r="K186" s="103"/>
      <c r="L186" s="103"/>
      <c r="M186" s="103"/>
      <c r="N186" s="110"/>
    </row>
    <row r="187" spans="2:14" x14ac:dyDescent="0.2">
      <c r="B187" s="14"/>
      <c r="C187" s="114" t="s">
        <v>4</v>
      </c>
      <c r="D187" s="115" t="s">
        <v>161</v>
      </c>
      <c r="E187" s="115"/>
      <c r="F187" s="115"/>
      <c r="G187" s="115"/>
      <c r="H187" s="115"/>
      <c r="I187" s="115"/>
      <c r="J187" s="115"/>
      <c r="K187" s="116">
        <v>7395</v>
      </c>
      <c r="L187" s="115" t="s">
        <v>23</v>
      </c>
      <c r="M187" s="117"/>
      <c r="N187" s="123"/>
    </row>
    <row r="188" spans="2:14" ht="27" customHeight="1" x14ac:dyDescent="0.2">
      <c r="B188" s="14"/>
      <c r="C188" s="129"/>
      <c r="D188" s="342" t="s">
        <v>77</v>
      </c>
      <c r="E188" s="342"/>
      <c r="F188" s="342"/>
      <c r="G188" s="342"/>
      <c r="H188" s="342"/>
      <c r="I188" s="342"/>
      <c r="J188" s="342"/>
      <c r="K188" s="342"/>
      <c r="L188" s="342"/>
      <c r="M188" s="130"/>
      <c r="N188" s="124">
        <f>524009*1.2</f>
        <v>628810.79999999993</v>
      </c>
    </row>
    <row r="189" spans="2:14" ht="6" customHeight="1" x14ac:dyDescent="0.2">
      <c r="B189" s="41"/>
      <c r="C189" s="121"/>
      <c r="D189" s="122"/>
      <c r="E189" s="122"/>
      <c r="F189" s="122"/>
      <c r="G189" s="122"/>
      <c r="H189" s="103"/>
      <c r="I189" s="103"/>
      <c r="J189" s="103"/>
      <c r="K189" s="103"/>
      <c r="L189" s="103"/>
      <c r="M189" s="103"/>
      <c r="N189" s="110"/>
    </row>
    <row r="190" spans="2:14" x14ac:dyDescent="0.2">
      <c r="B190" s="14"/>
      <c r="C190" s="114" t="s">
        <v>86</v>
      </c>
      <c r="D190" s="115" t="s">
        <v>162</v>
      </c>
      <c r="E190" s="115"/>
      <c r="F190" s="115"/>
      <c r="G190" s="115"/>
      <c r="H190" s="115"/>
      <c r="I190" s="115"/>
      <c r="J190" s="115"/>
      <c r="K190" s="116">
        <v>50000</v>
      </c>
      <c r="L190" s="115" t="s">
        <v>23</v>
      </c>
      <c r="M190" s="117"/>
      <c r="N190" s="123"/>
    </row>
    <row r="191" spans="2:14" x14ac:dyDescent="0.2">
      <c r="B191" s="14"/>
      <c r="C191" s="129"/>
      <c r="D191" s="342" t="s">
        <v>163</v>
      </c>
      <c r="E191" s="342"/>
      <c r="F191" s="342"/>
      <c r="G191" s="342"/>
      <c r="H191" s="342"/>
      <c r="I191" s="342"/>
      <c r="J191" s="342"/>
      <c r="K191" s="342"/>
      <c r="L191" s="342"/>
      <c r="M191" s="130"/>
      <c r="N191" s="124">
        <f>K190*147.21</f>
        <v>7360500</v>
      </c>
    </row>
    <row r="192" spans="2:14" ht="6" customHeight="1" thickBot="1" x14ac:dyDescent="0.25">
      <c r="B192" s="41"/>
      <c r="C192" s="4"/>
      <c r="D192" s="204"/>
      <c r="E192" s="204"/>
      <c r="F192" s="204"/>
      <c r="G192" s="204"/>
      <c r="H192" s="27"/>
      <c r="I192" s="27"/>
      <c r="J192" s="27"/>
      <c r="K192" s="27"/>
      <c r="L192" s="27"/>
      <c r="M192" s="27"/>
      <c r="N192" s="33"/>
    </row>
    <row r="193" spans="2:14" ht="13.5" thickBot="1" x14ac:dyDescent="0.25">
      <c r="B193" s="18" t="s">
        <v>33</v>
      </c>
      <c r="C193" s="19"/>
      <c r="D193" s="20"/>
      <c r="E193" s="20"/>
      <c r="F193" s="20"/>
      <c r="G193" s="20"/>
      <c r="H193" s="38"/>
      <c r="I193" s="38"/>
      <c r="J193" s="38"/>
      <c r="K193" s="38"/>
      <c r="L193" s="38"/>
      <c r="M193" s="38"/>
      <c r="N193" s="141">
        <f>SUM(N48:N192)</f>
        <v>339404674.58954448</v>
      </c>
    </row>
    <row r="194" spans="2:14" ht="5.25" customHeight="1" x14ac:dyDescent="0.2">
      <c r="B194" s="7"/>
      <c r="C194" s="7"/>
      <c r="D194" s="204"/>
      <c r="E194" s="204"/>
      <c r="F194" s="204"/>
      <c r="G194" s="204"/>
      <c r="H194" s="27"/>
      <c r="I194" s="27"/>
      <c r="J194" s="27"/>
      <c r="K194" s="27"/>
      <c r="L194" s="27"/>
      <c r="M194" s="27"/>
      <c r="N194" s="33"/>
    </row>
    <row r="195" spans="2:14" x14ac:dyDescent="0.2">
      <c r="B195" s="11" t="s">
        <v>4</v>
      </c>
      <c r="C195" s="17" t="s">
        <v>31</v>
      </c>
      <c r="D195" s="13"/>
      <c r="E195" s="13"/>
      <c r="F195" s="13"/>
      <c r="G195" s="13"/>
      <c r="H195" s="25"/>
      <c r="I195" s="25"/>
      <c r="J195" s="25"/>
      <c r="K195" s="25"/>
      <c r="L195" s="25"/>
      <c r="M195" s="25"/>
      <c r="N195" s="34"/>
    </row>
    <row r="196" spans="2:14" x14ac:dyDescent="0.2">
      <c r="B196" s="14"/>
      <c r="C196" s="15" t="s">
        <v>28</v>
      </c>
      <c r="D196" s="13"/>
      <c r="E196" s="13"/>
      <c r="F196" s="13"/>
      <c r="G196" s="13"/>
      <c r="H196" s="25"/>
      <c r="I196" s="25"/>
      <c r="J196" s="25"/>
      <c r="K196" s="25"/>
      <c r="L196" s="25"/>
      <c r="M196" s="25"/>
      <c r="N196" s="34"/>
    </row>
    <row r="197" spans="2:14" ht="6" customHeight="1" x14ac:dyDescent="0.2">
      <c r="B197" s="41"/>
      <c r="C197" s="4"/>
      <c r="D197" s="204"/>
      <c r="E197" s="204"/>
      <c r="F197" s="204"/>
      <c r="G197" s="204"/>
      <c r="H197" s="27"/>
      <c r="I197" s="27"/>
      <c r="J197" s="27"/>
      <c r="K197" s="27"/>
      <c r="L197" s="27"/>
      <c r="M197" s="27"/>
      <c r="N197" s="33"/>
    </row>
    <row r="198" spans="2:14" s="21" customFormat="1" x14ac:dyDescent="0.2">
      <c r="B198" s="23"/>
      <c r="C198" s="52" t="s">
        <v>0</v>
      </c>
      <c r="D198" s="53" t="s">
        <v>72</v>
      </c>
      <c r="E198" s="50"/>
      <c r="F198" s="50"/>
      <c r="G198" s="50"/>
      <c r="H198" s="51"/>
      <c r="I198" s="50"/>
      <c r="J198" s="50"/>
      <c r="K198" s="51">
        <v>16000</v>
      </c>
      <c r="L198" s="50" t="s">
        <v>23</v>
      </c>
      <c r="M198" s="50"/>
      <c r="N198" s="54"/>
    </row>
    <row r="199" spans="2:14" s="21" customFormat="1" ht="13.15" customHeight="1" x14ac:dyDescent="0.2">
      <c r="B199" s="23"/>
      <c r="C199" s="52"/>
      <c r="D199" s="55" t="s">
        <v>73</v>
      </c>
      <c r="E199" s="23"/>
      <c r="F199" s="76"/>
      <c r="G199" s="76"/>
      <c r="H199" s="76"/>
      <c r="I199" s="76"/>
      <c r="J199" s="76"/>
      <c r="K199" s="51"/>
      <c r="L199" s="50"/>
      <c r="M199" s="50"/>
      <c r="N199" s="54">
        <f>K198*350</f>
        <v>5600000</v>
      </c>
    </row>
    <row r="200" spans="2:14" ht="6" customHeight="1" x14ac:dyDescent="0.2">
      <c r="B200" s="41"/>
      <c r="C200" s="4"/>
      <c r="D200" s="204"/>
      <c r="E200" s="204"/>
      <c r="F200" s="204"/>
      <c r="G200" s="204"/>
      <c r="H200" s="27"/>
      <c r="I200" s="27"/>
      <c r="J200" s="27"/>
      <c r="K200" s="27"/>
      <c r="L200" s="27"/>
      <c r="M200" s="27"/>
      <c r="N200" s="33"/>
    </row>
    <row r="201" spans="2:14" x14ac:dyDescent="0.2">
      <c r="C201" s="52" t="s">
        <v>1</v>
      </c>
      <c r="D201" s="204" t="s">
        <v>40</v>
      </c>
      <c r="K201" s="51">
        <v>30000</v>
      </c>
      <c r="L201" s="50" t="s">
        <v>23</v>
      </c>
      <c r="N201" s="54"/>
    </row>
    <row r="202" spans="2:14" x14ac:dyDescent="0.2">
      <c r="C202" s="52"/>
      <c r="D202" s="204" t="s">
        <v>164</v>
      </c>
      <c r="K202" s="51"/>
      <c r="L202" s="50"/>
      <c r="N202" s="54">
        <f>5550000*1.2</f>
        <v>6660000</v>
      </c>
    </row>
    <row r="203" spans="2:14" ht="6" customHeight="1" x14ac:dyDescent="0.2">
      <c r="B203" s="41"/>
      <c r="C203" s="4"/>
      <c r="D203" s="204"/>
      <c r="E203" s="204"/>
      <c r="F203" s="204"/>
      <c r="G203" s="204"/>
      <c r="H203" s="27"/>
      <c r="I203" s="27"/>
      <c r="J203" s="27"/>
      <c r="K203" s="27"/>
      <c r="L203" s="27"/>
      <c r="M203" s="27"/>
      <c r="N203" s="33"/>
    </row>
    <row r="204" spans="2:14" x14ac:dyDescent="0.2">
      <c r="C204" s="52" t="s">
        <v>2</v>
      </c>
      <c r="D204" s="204" t="s">
        <v>41</v>
      </c>
      <c r="K204" s="51">
        <v>30000</v>
      </c>
      <c r="L204" s="50" t="s">
        <v>23</v>
      </c>
      <c r="N204" s="54"/>
    </row>
    <row r="205" spans="2:14" x14ac:dyDescent="0.2">
      <c r="C205" s="52"/>
      <c r="D205" s="204" t="s">
        <v>164</v>
      </c>
      <c r="K205" s="51"/>
      <c r="L205" s="50"/>
      <c r="N205" s="54">
        <f>5550000*1.2</f>
        <v>6660000</v>
      </c>
    </row>
    <row r="206" spans="2:14" ht="6" customHeight="1" x14ac:dyDescent="0.2">
      <c r="B206" s="41"/>
      <c r="C206" s="4"/>
      <c r="D206" s="204"/>
      <c r="E206" s="204"/>
      <c r="F206" s="204"/>
      <c r="G206" s="204"/>
      <c r="H206" s="27"/>
      <c r="I206" s="27"/>
      <c r="J206" s="27"/>
      <c r="K206" s="27"/>
      <c r="L206" s="27"/>
      <c r="M206" s="27"/>
      <c r="N206" s="33"/>
    </row>
    <row r="207" spans="2:14" x14ac:dyDescent="0.2">
      <c r="C207" s="52" t="s">
        <v>3</v>
      </c>
      <c r="D207" s="204" t="s">
        <v>42</v>
      </c>
      <c r="K207" s="51">
        <v>30000</v>
      </c>
      <c r="L207" s="50" t="s">
        <v>23</v>
      </c>
      <c r="N207" s="54"/>
    </row>
    <row r="208" spans="2:14" x14ac:dyDescent="0.2">
      <c r="C208" s="52"/>
      <c r="D208" s="204" t="s">
        <v>164</v>
      </c>
      <c r="K208" s="51"/>
      <c r="L208" s="50"/>
      <c r="N208" s="54">
        <f>5550000*1.2</f>
        <v>6660000</v>
      </c>
    </row>
    <row r="209" spans="2:14" ht="6" customHeight="1" x14ac:dyDescent="0.2">
      <c r="B209" s="41"/>
      <c r="C209" s="4"/>
      <c r="D209" s="204"/>
      <c r="E209" s="204"/>
      <c r="F209" s="204"/>
      <c r="G209" s="204"/>
      <c r="H209" s="27"/>
      <c r="I209" s="27"/>
      <c r="J209" s="27"/>
      <c r="K209" s="27"/>
      <c r="L209" s="27"/>
      <c r="M209" s="27"/>
      <c r="N209" s="33"/>
    </row>
    <row r="210" spans="2:14" x14ac:dyDescent="0.2">
      <c r="C210" s="52" t="s">
        <v>4</v>
      </c>
      <c r="D210" s="27" t="s">
        <v>40</v>
      </c>
      <c r="E210" s="27"/>
      <c r="F210" s="27"/>
      <c r="G210" s="27"/>
      <c r="H210" s="27"/>
      <c r="I210" s="27"/>
      <c r="J210" s="27"/>
      <c r="K210" s="51"/>
      <c r="L210" s="50"/>
      <c r="M210" s="27"/>
      <c r="N210" s="54"/>
    </row>
    <row r="211" spans="2:14" x14ac:dyDescent="0.2">
      <c r="C211" s="52"/>
      <c r="D211" s="93" t="s">
        <v>178</v>
      </c>
      <c r="F211" s="27"/>
      <c r="G211" s="27"/>
      <c r="H211" s="27"/>
      <c r="I211" s="27"/>
      <c r="J211" s="27"/>
      <c r="K211" s="51"/>
      <c r="L211" s="50"/>
      <c r="M211" s="27"/>
      <c r="N211" s="54">
        <f>140000*1.2</f>
        <v>168000</v>
      </c>
    </row>
    <row r="212" spans="2:14" ht="6" customHeight="1" x14ac:dyDescent="0.2">
      <c r="C212" s="52"/>
      <c r="D212" s="204"/>
      <c r="L212" s="50"/>
      <c r="N212" s="54"/>
    </row>
    <row r="213" spans="2:14" s="21" customFormat="1" x14ac:dyDescent="0.2">
      <c r="B213" s="23"/>
      <c r="C213" s="52" t="s">
        <v>86</v>
      </c>
      <c r="D213" s="27" t="s">
        <v>45</v>
      </c>
      <c r="E213" s="27"/>
      <c r="F213" s="27"/>
      <c r="G213" s="27"/>
      <c r="H213" s="27"/>
      <c r="I213" s="27"/>
      <c r="J213" s="27"/>
      <c r="K213" s="51"/>
      <c r="L213" s="50"/>
      <c r="M213" s="27"/>
      <c r="N213" s="54"/>
    </row>
    <row r="214" spans="2:14" x14ac:dyDescent="0.2">
      <c r="C214" s="52"/>
      <c r="D214" s="27" t="s">
        <v>74</v>
      </c>
      <c r="F214" s="27"/>
      <c r="G214" s="27"/>
      <c r="H214" s="27"/>
      <c r="I214" s="27"/>
      <c r="J214" s="27"/>
      <c r="K214" s="51"/>
      <c r="L214" s="50"/>
      <c r="M214" s="27"/>
      <c r="N214" s="54">
        <f>500000*1.2</f>
        <v>600000</v>
      </c>
    </row>
    <row r="215" spans="2:14" ht="6" customHeight="1" x14ac:dyDescent="0.2">
      <c r="B215" s="41"/>
      <c r="C215" s="4"/>
      <c r="D215" s="204"/>
      <c r="E215" s="204"/>
      <c r="F215" s="204"/>
      <c r="G215" s="204"/>
      <c r="H215" s="27"/>
      <c r="I215" s="27"/>
      <c r="J215" s="27"/>
      <c r="K215" s="27"/>
      <c r="L215" s="27"/>
      <c r="M215" s="27"/>
      <c r="N215" s="33"/>
    </row>
  </sheetData>
  <mergeCells count="46">
    <mergeCell ref="D182:L182"/>
    <mergeCell ref="D185:L185"/>
    <mergeCell ref="D188:L188"/>
    <mergeCell ref="D191:L191"/>
    <mergeCell ref="D159:L159"/>
    <mergeCell ref="D163:L163"/>
    <mergeCell ref="D164:L164"/>
    <mergeCell ref="D168:L168"/>
    <mergeCell ref="D176:L176"/>
    <mergeCell ref="D179:L179"/>
    <mergeCell ref="D158:L158"/>
    <mergeCell ref="D104:L104"/>
    <mergeCell ref="D111:L111"/>
    <mergeCell ref="D119:L119"/>
    <mergeCell ref="D125:L125"/>
    <mergeCell ref="H130:I130"/>
    <mergeCell ref="D131:L131"/>
    <mergeCell ref="D135:L135"/>
    <mergeCell ref="D139:L139"/>
    <mergeCell ref="D143:L143"/>
    <mergeCell ref="D147:L147"/>
    <mergeCell ref="D154:L154"/>
    <mergeCell ref="Y54:AG54"/>
    <mergeCell ref="D57:L57"/>
    <mergeCell ref="Y58:AG58"/>
    <mergeCell ref="Y62:AG62"/>
    <mergeCell ref="F99:G99"/>
    <mergeCell ref="Y66:AG66"/>
    <mergeCell ref="D67:L67"/>
    <mergeCell ref="D70:L70"/>
    <mergeCell ref="Y70:AG70"/>
    <mergeCell ref="D75:L75"/>
    <mergeCell ref="Y77:AG77"/>
    <mergeCell ref="D81:L81"/>
    <mergeCell ref="Y81:AG81"/>
    <mergeCell ref="Y82:AG82"/>
    <mergeCell ref="D89:L89"/>
    <mergeCell ref="D96:L96"/>
    <mergeCell ref="D64:L64"/>
    <mergeCell ref="B3:G3"/>
    <mergeCell ref="I3:K3"/>
    <mergeCell ref="B4:G6"/>
    <mergeCell ref="B7:F7"/>
    <mergeCell ref="D37:I37"/>
    <mergeCell ref="D48:L48"/>
    <mergeCell ref="D51:L51"/>
  </mergeCells>
  <pageMargins left="0.7" right="0.45" top="0.75" bottom="0.75" header="0.3" footer="0.3"/>
  <pageSetup paperSize="17" orientation="landscape" cellComments="asDisplayed" r:id="rId1"/>
  <headerFooter alignWithMargins="0"/>
  <rowBreaks count="3" manualBreakCount="3">
    <brk id="42" max="16383" man="1"/>
    <brk id="108" max="16383" man="1"/>
    <brk id="170"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15"/>
  <sheetViews>
    <sheetView workbookViewId="0"/>
    <sheetView workbookViewId="1"/>
  </sheetViews>
  <sheetFormatPr defaultRowHeight="12.75" x14ac:dyDescent="0.2"/>
  <cols>
    <col min="1" max="1" width="14.5703125" bestFit="1" customWidth="1"/>
    <col min="2" max="2" width="4" style="22" customWidth="1"/>
    <col min="3" max="3" width="2.85546875" style="22" customWidth="1"/>
    <col min="4" max="4" width="9.140625" style="22"/>
    <col min="5" max="5" width="5.140625" style="22" customWidth="1"/>
    <col min="6" max="6" width="11.140625" style="22" customWidth="1"/>
    <col min="7" max="7" width="12.85546875" style="22" customWidth="1"/>
    <col min="8" max="8" width="6.140625" style="30" customWidth="1"/>
    <col min="9" max="9" width="10" style="30" customWidth="1"/>
    <col min="10" max="10" width="2.85546875" style="30" customWidth="1"/>
    <col min="11" max="11" width="11.140625" style="30" customWidth="1"/>
    <col min="12" max="12" width="5.5703125" style="30" customWidth="1"/>
    <col min="13" max="13" width="5.85546875" style="30" customWidth="1"/>
    <col min="14" max="14" width="11.85546875" style="30" customWidth="1"/>
    <col min="17" max="18" width="9" customWidth="1"/>
    <col min="21" max="21" width="12.140625" customWidth="1"/>
    <col min="24" max="24" width="25" customWidth="1"/>
    <col min="25" max="25" width="10" customWidth="1"/>
    <col min="27" max="27" width="14" customWidth="1"/>
    <col min="28" max="28" width="16" customWidth="1"/>
    <col min="29" max="29" width="10.42578125" customWidth="1"/>
  </cols>
  <sheetData>
    <row r="1" spans="2:30" s="63" customFormat="1" ht="12" x14ac:dyDescent="0.2">
      <c r="B1" s="79"/>
      <c r="C1" s="80"/>
      <c r="D1" s="81"/>
      <c r="E1" s="81"/>
      <c r="F1" s="81"/>
      <c r="G1" s="81"/>
      <c r="H1" s="82"/>
      <c r="I1" s="81"/>
      <c r="J1" s="81"/>
      <c r="K1" s="81"/>
      <c r="L1" s="81"/>
      <c r="M1" s="81"/>
      <c r="N1" s="81"/>
    </row>
    <row r="2" spans="2:30" s="63" customFormat="1" thickBot="1" x14ac:dyDescent="0.25">
      <c r="B2" s="79"/>
      <c r="C2" s="80"/>
      <c r="D2" s="81"/>
      <c r="E2" s="81"/>
      <c r="F2" s="81"/>
      <c r="G2" s="81"/>
      <c r="H2" s="82"/>
      <c r="I2" s="81"/>
      <c r="J2" s="81"/>
      <c r="K2" s="81"/>
      <c r="L2" s="81"/>
      <c r="M2" s="81"/>
      <c r="N2" s="81"/>
    </row>
    <row r="3" spans="2:30" s="67" customFormat="1" ht="15" customHeight="1" x14ac:dyDescent="0.25">
      <c r="B3" s="347" t="s">
        <v>171</v>
      </c>
      <c r="C3" s="348"/>
      <c r="D3" s="348"/>
      <c r="E3" s="348"/>
      <c r="F3" s="348"/>
      <c r="G3" s="348"/>
      <c r="H3" s="64"/>
      <c r="I3" s="334" t="s">
        <v>103</v>
      </c>
      <c r="J3" s="334"/>
      <c r="K3" s="334"/>
      <c r="L3" s="65"/>
      <c r="M3" s="65"/>
      <c r="N3" s="66"/>
    </row>
    <row r="4" spans="2:30" s="67" customFormat="1" ht="15" customHeight="1" x14ac:dyDescent="0.25">
      <c r="B4" s="335" t="s">
        <v>184</v>
      </c>
      <c r="C4" s="336"/>
      <c r="D4" s="336"/>
      <c r="E4" s="336"/>
      <c r="F4" s="336"/>
      <c r="G4" s="336"/>
      <c r="H4" s="101"/>
      <c r="I4" s="168"/>
      <c r="J4" s="168"/>
      <c r="K4" s="168"/>
      <c r="L4" s="140"/>
      <c r="M4" s="140"/>
      <c r="N4" s="102"/>
    </row>
    <row r="5" spans="2:30" s="67" customFormat="1" ht="15" customHeight="1" x14ac:dyDescent="0.25">
      <c r="B5" s="335"/>
      <c r="C5" s="336"/>
      <c r="D5" s="336"/>
      <c r="E5" s="336"/>
      <c r="F5" s="336"/>
      <c r="G5" s="336"/>
      <c r="H5" s="142"/>
      <c r="I5" s="169"/>
      <c r="J5" s="169"/>
      <c r="K5" s="169"/>
      <c r="L5" s="96"/>
      <c r="M5" s="161"/>
      <c r="N5" s="162"/>
    </row>
    <row r="6" spans="2:30" s="67" customFormat="1" ht="15" customHeight="1" x14ac:dyDescent="0.25">
      <c r="B6" s="335"/>
      <c r="C6" s="336"/>
      <c r="D6" s="336"/>
      <c r="E6" s="336"/>
      <c r="F6" s="336"/>
      <c r="G6" s="336"/>
      <c r="H6" s="68"/>
      <c r="I6" s="97"/>
      <c r="J6" s="97"/>
      <c r="K6" s="144"/>
      <c r="L6" s="97"/>
      <c r="M6" s="161"/>
      <c r="N6" s="162"/>
    </row>
    <row r="7" spans="2:30" s="72" customFormat="1" ht="20.25" customHeight="1" thickBot="1" x14ac:dyDescent="0.35">
      <c r="B7" s="349" t="s">
        <v>170</v>
      </c>
      <c r="C7" s="350"/>
      <c r="D7" s="350"/>
      <c r="E7" s="350"/>
      <c r="F7" s="350"/>
      <c r="G7" s="71"/>
      <c r="H7" s="69"/>
      <c r="I7" s="98"/>
      <c r="J7" s="98"/>
      <c r="K7" s="98"/>
      <c r="L7" s="98"/>
      <c r="M7" s="98"/>
      <c r="N7" s="99"/>
    </row>
    <row r="8" spans="2:30" s="22" customFormat="1" ht="20.25" customHeight="1" x14ac:dyDescent="0.25">
      <c r="B8" s="1" t="s">
        <v>12</v>
      </c>
      <c r="C8" s="2"/>
      <c r="D8" s="3"/>
      <c r="E8" s="3"/>
      <c r="F8" s="3"/>
      <c r="G8" s="3"/>
      <c r="H8" s="26"/>
      <c r="I8" s="26"/>
      <c r="J8" s="26"/>
      <c r="K8" s="26"/>
      <c r="L8" s="26"/>
      <c r="M8" s="26"/>
      <c r="N8" s="26"/>
    </row>
    <row r="9" spans="2:30" s="22" customFormat="1" x14ac:dyDescent="0.2">
      <c r="B9" s="4" t="s">
        <v>0</v>
      </c>
      <c r="C9" s="4" t="s">
        <v>13</v>
      </c>
      <c r="D9" s="5"/>
      <c r="E9" s="5"/>
      <c r="F9" s="5" t="s">
        <v>39</v>
      </c>
      <c r="G9" s="5"/>
      <c r="H9" s="27"/>
      <c r="I9" s="27"/>
      <c r="J9" s="27"/>
      <c r="K9" s="27"/>
      <c r="L9" s="27"/>
      <c r="M9" s="27"/>
      <c r="N9" s="27"/>
    </row>
    <row r="10" spans="2:30" s="22" customFormat="1" x14ac:dyDescent="0.2">
      <c r="B10" s="4" t="s">
        <v>1</v>
      </c>
      <c r="C10" s="4" t="s">
        <v>14</v>
      </c>
      <c r="D10" s="5"/>
      <c r="E10" s="5"/>
      <c r="F10" s="5" t="s">
        <v>189</v>
      </c>
      <c r="G10" s="5"/>
      <c r="H10" s="100"/>
      <c r="I10" s="100"/>
      <c r="J10" s="27"/>
      <c r="K10" s="27"/>
      <c r="L10" s="27"/>
      <c r="M10" s="27"/>
      <c r="N10" s="27"/>
    </row>
    <row r="11" spans="2:30" s="22" customFormat="1" ht="52.5" thickBot="1" x14ac:dyDescent="0.3">
      <c r="B11" s="6" t="s">
        <v>15</v>
      </c>
      <c r="C11" s="2"/>
      <c r="D11" s="3"/>
      <c r="E11" s="3"/>
      <c r="F11" s="3"/>
      <c r="G11" s="171" t="s">
        <v>186</v>
      </c>
      <c r="H11" s="170"/>
      <c r="I11" s="28" t="s">
        <v>16</v>
      </c>
      <c r="J11" s="28"/>
      <c r="K11" s="28" t="s">
        <v>17</v>
      </c>
      <c r="L11" s="176">
        <v>7.0000000000000007E-2</v>
      </c>
      <c r="M11" s="176" t="s">
        <v>192</v>
      </c>
      <c r="N11" s="29" t="s">
        <v>190</v>
      </c>
      <c r="O11" s="188" t="s">
        <v>191</v>
      </c>
      <c r="P11" s="138"/>
      <c r="Q11" s="139"/>
      <c r="Y11" s="78" t="s">
        <v>224</v>
      </c>
      <c r="Z11" s="78" t="s">
        <v>225</v>
      </c>
      <c r="AA11" s="78" t="s">
        <v>226</v>
      </c>
      <c r="AB11" s="78" t="s">
        <v>227</v>
      </c>
      <c r="AC11" s="78" t="s">
        <v>228</v>
      </c>
      <c r="AD11" s="78" t="s">
        <v>229</v>
      </c>
    </row>
    <row r="12" spans="2:30" s="202" customFormat="1" ht="15" customHeight="1" x14ac:dyDescent="0.2">
      <c r="B12" s="193" t="s">
        <v>0</v>
      </c>
      <c r="C12" s="193" t="s">
        <v>18</v>
      </c>
      <c r="D12" s="194"/>
      <c r="E12" s="194"/>
      <c r="F12" s="194"/>
      <c r="G12" s="195"/>
      <c r="H12" s="196"/>
      <c r="I12" s="196"/>
      <c r="J12" s="196"/>
      <c r="K12" s="196"/>
      <c r="L12" s="197"/>
      <c r="M12" s="198"/>
      <c r="N12" s="196"/>
      <c r="O12" s="199"/>
      <c r="P12" s="200"/>
      <c r="Q12" s="201"/>
      <c r="W12" s="242" t="s">
        <v>212</v>
      </c>
      <c r="X12" s="243"/>
      <c r="Y12" s="243"/>
      <c r="Z12" s="243"/>
      <c r="AA12" s="243"/>
      <c r="AB12" s="243"/>
      <c r="AC12" s="243"/>
      <c r="AD12" s="244"/>
    </row>
    <row r="13" spans="2:30" s="22" customFormat="1" ht="12.75" customHeight="1" x14ac:dyDescent="0.2">
      <c r="B13" s="4"/>
      <c r="C13" s="7" t="s">
        <v>5</v>
      </c>
      <c r="D13" s="5" t="s">
        <v>40</v>
      </c>
      <c r="E13" s="5"/>
      <c r="F13" s="5"/>
      <c r="G13" s="172" t="s">
        <v>185</v>
      </c>
      <c r="H13" s="103"/>
      <c r="I13" s="103" t="s">
        <v>19</v>
      </c>
      <c r="J13" s="103"/>
      <c r="K13" s="103" t="s">
        <v>20</v>
      </c>
      <c r="L13" s="177">
        <f>(M13*0.07)+M13</f>
        <v>2086.5</v>
      </c>
      <c r="M13" s="178">
        <v>1950</v>
      </c>
      <c r="N13" s="106" t="s">
        <v>122</v>
      </c>
      <c r="O13" s="189">
        <v>1800</v>
      </c>
      <c r="P13" s="131"/>
      <c r="Q13" s="133"/>
      <c r="W13" s="220"/>
      <c r="X13" s="245" t="s">
        <v>40</v>
      </c>
      <c r="Y13" s="232">
        <f>L13</f>
        <v>2086.5</v>
      </c>
      <c r="Z13" s="175">
        <v>1800</v>
      </c>
      <c r="AA13" s="153">
        <f>8*33</f>
        <v>264</v>
      </c>
      <c r="AB13" s="233">
        <f>SUM(Z13,AA13)</f>
        <v>2064</v>
      </c>
      <c r="AC13" s="214">
        <f>Y13/AB13</f>
        <v>1.0109011627906976</v>
      </c>
      <c r="AD13" s="212" t="s">
        <v>201</v>
      </c>
    </row>
    <row r="14" spans="2:30" s="22" customFormat="1" ht="12.75" customHeight="1" x14ac:dyDescent="0.2">
      <c r="B14" s="4"/>
      <c r="C14" s="7" t="s">
        <v>6</v>
      </c>
      <c r="D14" s="5" t="s">
        <v>41</v>
      </c>
      <c r="E14" s="5"/>
      <c r="F14" s="5"/>
      <c r="G14" s="172" t="s">
        <v>185</v>
      </c>
      <c r="H14" s="103"/>
      <c r="I14" s="103" t="s">
        <v>19</v>
      </c>
      <c r="J14" s="103"/>
      <c r="K14" s="103" t="s">
        <v>20</v>
      </c>
      <c r="L14" s="177">
        <f>(M14*0.07)+M14</f>
        <v>1763.3600000000001</v>
      </c>
      <c r="M14" s="179">
        <v>1648</v>
      </c>
      <c r="N14" s="106" t="s">
        <v>121</v>
      </c>
      <c r="O14" s="190">
        <v>1785</v>
      </c>
      <c r="P14" s="131"/>
      <c r="Q14" s="133"/>
      <c r="W14" s="220"/>
      <c r="X14" s="245" t="s">
        <v>41</v>
      </c>
      <c r="Y14" s="232">
        <f>L14</f>
        <v>1763.3600000000001</v>
      </c>
      <c r="Z14" s="175">
        <v>1785</v>
      </c>
      <c r="AA14" s="153">
        <f>18*33</f>
        <v>594</v>
      </c>
      <c r="AB14" s="233">
        <f>SUM(Z14,AA14)</f>
        <v>2379</v>
      </c>
      <c r="AC14" s="211">
        <f>Y14/AB14</f>
        <v>0.74121899957965542</v>
      </c>
      <c r="AD14" s="212" t="s">
        <v>203</v>
      </c>
    </row>
    <row r="15" spans="2:30" s="22" customFormat="1" ht="12.75" customHeight="1" x14ac:dyDescent="0.2">
      <c r="B15" s="4"/>
      <c r="C15" s="7" t="s">
        <v>7</v>
      </c>
      <c r="D15" s="5" t="s">
        <v>42</v>
      </c>
      <c r="E15" s="5"/>
      <c r="F15" s="5"/>
      <c r="G15" s="172" t="s">
        <v>185</v>
      </c>
      <c r="H15" s="103"/>
      <c r="I15" s="103" t="s">
        <v>19</v>
      </c>
      <c r="J15" s="103"/>
      <c r="K15" s="103" t="s">
        <v>20</v>
      </c>
      <c r="L15" s="177">
        <f>(M15*0.07)+M15</f>
        <v>933.04</v>
      </c>
      <c r="M15" s="178">
        <v>872</v>
      </c>
      <c r="N15" s="106" t="s">
        <v>104</v>
      </c>
      <c r="O15" s="190">
        <v>970</v>
      </c>
      <c r="P15" s="131"/>
      <c r="Q15" s="133"/>
      <c r="W15" s="220"/>
      <c r="X15" s="245" t="s">
        <v>42</v>
      </c>
      <c r="Y15" s="232">
        <f>L15</f>
        <v>933.04</v>
      </c>
      <c r="Z15" s="175">
        <v>970</v>
      </c>
      <c r="AA15" s="153">
        <f>4*33</f>
        <v>132</v>
      </c>
      <c r="AB15" s="233">
        <f>SUM(Z15,AA15)</f>
        <v>1102</v>
      </c>
      <c r="AC15" s="214">
        <f>Y15/AB15</f>
        <v>0.84667876588021773</v>
      </c>
      <c r="AD15" s="212" t="s">
        <v>202</v>
      </c>
    </row>
    <row r="16" spans="2:30" s="22" customFormat="1" ht="12.75" customHeight="1" x14ac:dyDescent="0.2">
      <c r="B16" s="4"/>
      <c r="C16" s="7" t="s">
        <v>8</v>
      </c>
      <c r="D16" s="5" t="s">
        <v>87</v>
      </c>
      <c r="E16" s="5"/>
      <c r="F16" s="5"/>
      <c r="G16" s="172" t="s">
        <v>187</v>
      </c>
      <c r="H16" s="103"/>
      <c r="I16" s="103" t="s">
        <v>19</v>
      </c>
      <c r="J16" s="103"/>
      <c r="K16" s="103" t="s">
        <v>43</v>
      </c>
      <c r="L16" s="177">
        <f>(M16*0.07)+M16</f>
        <v>217.21</v>
      </c>
      <c r="M16" s="178">
        <v>203</v>
      </c>
      <c r="N16" s="106" t="s">
        <v>123</v>
      </c>
      <c r="O16" s="190">
        <v>1085</v>
      </c>
      <c r="P16" s="131"/>
      <c r="Q16" s="133"/>
      <c r="W16" s="220"/>
      <c r="X16" s="25" t="s">
        <v>128</v>
      </c>
      <c r="Y16" s="158">
        <v>0</v>
      </c>
      <c r="Z16" s="175"/>
      <c r="AA16" s="153">
        <v>1200</v>
      </c>
      <c r="AB16" s="233">
        <f>SUM(Z16,AA16)</f>
        <v>1200</v>
      </c>
      <c r="AC16" s="221" t="s">
        <v>205</v>
      </c>
      <c r="AD16" s="212" t="s">
        <v>200</v>
      </c>
    </row>
    <row r="17" spans="2:30" s="22" customFormat="1" x14ac:dyDescent="0.2">
      <c r="C17" s="7" t="s">
        <v>10</v>
      </c>
      <c r="D17" s="5" t="s">
        <v>168</v>
      </c>
      <c r="G17" s="172" t="s">
        <v>188</v>
      </c>
      <c r="H17" s="107"/>
      <c r="I17" s="103" t="s">
        <v>19</v>
      </c>
      <c r="J17" s="107"/>
      <c r="K17" s="103" t="s">
        <v>20</v>
      </c>
      <c r="L17" s="180"/>
      <c r="M17" s="181"/>
      <c r="N17" s="106" t="s">
        <v>183</v>
      </c>
      <c r="O17" s="191">
        <v>400</v>
      </c>
      <c r="P17" s="131"/>
      <c r="Q17" s="133"/>
      <c r="W17" s="220"/>
      <c r="X17" s="245" t="s">
        <v>199</v>
      </c>
      <c r="Y17" s="246">
        <f>SUM(Y13,Y14,Y15,Y16)</f>
        <v>4782.8999999999996</v>
      </c>
      <c r="Z17" s="233">
        <f>SUM(Z13:Z16)</f>
        <v>4555</v>
      </c>
      <c r="AA17" s="214">
        <f>Y17/Z17</f>
        <v>1.050032930845225</v>
      </c>
      <c r="AB17" s="233">
        <f>SUM(AB13:AB16)</f>
        <v>6745</v>
      </c>
      <c r="AC17" s="211">
        <f>Y17/AB17</f>
        <v>0.70910303928836171</v>
      </c>
      <c r="AD17" s="212"/>
    </row>
    <row r="18" spans="2:30" s="22" customFormat="1" ht="12" customHeight="1" thickBot="1" x14ac:dyDescent="0.25">
      <c r="G18" s="172"/>
      <c r="H18" s="107"/>
      <c r="I18" s="107"/>
      <c r="J18" s="107"/>
      <c r="K18" s="107"/>
      <c r="L18" s="180"/>
      <c r="M18" s="181"/>
      <c r="N18" s="107"/>
      <c r="O18" s="191"/>
      <c r="P18" s="131"/>
      <c r="Q18" s="133"/>
      <c r="W18" s="236"/>
      <c r="X18" s="247"/>
      <c r="Y18" s="248"/>
      <c r="Z18" s="248"/>
      <c r="AA18" s="248"/>
      <c r="AB18" s="248"/>
      <c r="AC18" s="248"/>
      <c r="AD18" s="241"/>
    </row>
    <row r="19" spans="2:30" s="22" customFormat="1" x14ac:dyDescent="0.2">
      <c r="B19" s="4" t="s">
        <v>1</v>
      </c>
      <c r="C19" s="4" t="s">
        <v>21</v>
      </c>
      <c r="D19" s="5"/>
      <c r="E19" s="5"/>
      <c r="F19" s="5"/>
      <c r="G19" s="172"/>
      <c r="H19" s="103"/>
      <c r="I19" s="103"/>
      <c r="J19" s="103"/>
      <c r="K19" s="103"/>
      <c r="L19" s="182"/>
      <c r="M19" s="183"/>
      <c r="N19" s="103"/>
      <c r="O19" s="191"/>
      <c r="P19" s="133"/>
      <c r="Q19" s="136"/>
      <c r="W19" s="229" t="s">
        <v>211</v>
      </c>
      <c r="X19" s="207"/>
      <c r="Y19" s="230"/>
      <c r="Z19" s="230"/>
      <c r="AA19" s="207"/>
      <c r="AB19" s="207"/>
      <c r="AC19" s="207"/>
      <c r="AD19" s="209"/>
    </row>
    <row r="20" spans="2:30" s="22" customFormat="1" x14ac:dyDescent="0.2">
      <c r="B20" s="4"/>
      <c r="C20" s="7" t="s">
        <v>5</v>
      </c>
      <c r="D20" s="5" t="s">
        <v>44</v>
      </c>
      <c r="E20" s="5"/>
      <c r="F20" s="5"/>
      <c r="G20" s="172" t="s">
        <v>185</v>
      </c>
      <c r="H20" s="103"/>
      <c r="I20" s="103" t="s">
        <v>19</v>
      </c>
      <c r="J20" s="103"/>
      <c r="K20" s="103" t="s">
        <v>49</v>
      </c>
      <c r="L20" s="177">
        <f>(M20*0.07)+M20</f>
        <v>636.65</v>
      </c>
      <c r="M20" s="179">
        <v>595</v>
      </c>
      <c r="N20" s="108" t="s">
        <v>118</v>
      </c>
      <c r="O20" s="190">
        <v>745</v>
      </c>
      <c r="P20" s="135"/>
      <c r="Q20" s="136"/>
      <c r="W20" s="220"/>
      <c r="X20" s="231" t="s">
        <v>44</v>
      </c>
      <c r="Y20" s="232">
        <f>L20</f>
        <v>636.65</v>
      </c>
      <c r="Z20" s="175">
        <v>745</v>
      </c>
      <c r="AA20" s="153">
        <f>4*33</f>
        <v>132</v>
      </c>
      <c r="AB20" s="233">
        <f>SUM(Z20,AA20)</f>
        <v>877</v>
      </c>
      <c r="AC20" s="211">
        <f>Y20/AB20</f>
        <v>0.72594070695553015</v>
      </c>
      <c r="AD20" s="212" t="s">
        <v>196</v>
      </c>
    </row>
    <row r="21" spans="2:30" s="22" customFormat="1" x14ac:dyDescent="0.2">
      <c r="B21" s="4"/>
      <c r="C21" s="7" t="s">
        <v>6</v>
      </c>
      <c r="D21" s="5" t="s">
        <v>45</v>
      </c>
      <c r="E21" s="5"/>
      <c r="F21" s="5"/>
      <c r="G21" s="172" t="s">
        <v>185</v>
      </c>
      <c r="H21" s="103"/>
      <c r="I21" s="103" t="s">
        <v>19</v>
      </c>
      <c r="J21" s="103"/>
      <c r="K21" s="103" t="s">
        <v>49</v>
      </c>
      <c r="L21" s="177">
        <f>(M21*0.07)+M21</f>
        <v>846.37</v>
      </c>
      <c r="M21" s="178">
        <v>791</v>
      </c>
      <c r="N21" s="108" t="s">
        <v>105</v>
      </c>
      <c r="O21" s="190">
        <v>800</v>
      </c>
      <c r="P21" s="135"/>
      <c r="Q21" s="136"/>
      <c r="W21" s="220"/>
      <c r="X21" s="231" t="s">
        <v>45</v>
      </c>
      <c r="Y21" s="232">
        <f>L21</f>
        <v>846.37</v>
      </c>
      <c r="Z21" s="175">
        <v>800</v>
      </c>
      <c r="AA21" s="153"/>
      <c r="AB21" s="233">
        <f>SUM(Z21,AA21)</f>
        <v>800</v>
      </c>
      <c r="AC21" s="214">
        <f>Y21/AB21</f>
        <v>1.0579624999999999</v>
      </c>
      <c r="AD21" s="212"/>
    </row>
    <row r="22" spans="2:30" s="22" customFormat="1" x14ac:dyDescent="0.2">
      <c r="B22" s="4"/>
      <c r="C22" s="7" t="s">
        <v>7</v>
      </c>
      <c r="D22" s="5" t="s">
        <v>46</v>
      </c>
      <c r="E22" s="5"/>
      <c r="F22" s="5"/>
      <c r="G22" s="172" t="s">
        <v>185</v>
      </c>
      <c r="H22" s="103"/>
      <c r="I22" s="103" t="s">
        <v>19</v>
      </c>
      <c r="J22" s="103"/>
      <c r="K22" s="103" t="s">
        <v>49</v>
      </c>
      <c r="L22" s="177">
        <f>(M22*0.07)+M22</f>
        <v>807.85</v>
      </c>
      <c r="M22" s="178">
        <v>755</v>
      </c>
      <c r="N22" s="108" t="s">
        <v>119</v>
      </c>
      <c r="O22" s="190">
        <v>625</v>
      </c>
      <c r="P22" s="135"/>
      <c r="Q22" s="133"/>
      <c r="W22" s="220"/>
      <c r="X22" s="231" t="s">
        <v>46</v>
      </c>
      <c r="Y22" s="232">
        <f>L22</f>
        <v>807.85</v>
      </c>
      <c r="Z22" s="175">
        <v>625</v>
      </c>
      <c r="AA22" s="153">
        <f>8*33</f>
        <v>264</v>
      </c>
      <c r="AB22" s="233">
        <f>SUM(Z22,AA22)</f>
        <v>889</v>
      </c>
      <c r="AC22" s="214">
        <f>Y22/AB22</f>
        <v>0.90871766029246348</v>
      </c>
      <c r="AD22" s="212" t="s">
        <v>197</v>
      </c>
    </row>
    <row r="23" spans="2:30" s="22" customFormat="1" x14ac:dyDescent="0.2">
      <c r="B23" s="4"/>
      <c r="C23" s="7" t="s">
        <v>8</v>
      </c>
      <c r="D23" s="5" t="s">
        <v>47</v>
      </c>
      <c r="E23" s="5"/>
      <c r="F23" s="5"/>
      <c r="G23" s="172" t="s">
        <v>185</v>
      </c>
      <c r="H23" s="103"/>
      <c r="I23" s="103" t="s">
        <v>19</v>
      </c>
      <c r="J23" s="103"/>
      <c r="K23" s="103" t="s">
        <v>49</v>
      </c>
      <c r="L23" s="177">
        <f>(M23*0.07)+M23</f>
        <v>735.09</v>
      </c>
      <c r="M23" s="178">
        <v>687</v>
      </c>
      <c r="N23" s="108" t="s">
        <v>106</v>
      </c>
      <c r="O23" s="190">
        <v>570</v>
      </c>
      <c r="P23" s="131"/>
      <c r="Q23" s="133"/>
      <c r="R23" s="205" t="s">
        <v>204</v>
      </c>
      <c r="S23" s="205"/>
      <c r="T23" s="205"/>
      <c r="W23" s="220"/>
      <c r="X23" s="231" t="s">
        <v>47</v>
      </c>
      <c r="Y23" s="232">
        <f>L23</f>
        <v>735.09</v>
      </c>
      <c r="Z23" s="175">
        <v>570</v>
      </c>
      <c r="AA23" s="153">
        <f>4*33</f>
        <v>132</v>
      </c>
      <c r="AB23" s="233">
        <f>SUM(Z23,AA23)</f>
        <v>702</v>
      </c>
      <c r="AC23" s="214">
        <f>Y23/AB23</f>
        <v>1.0471367521367523</v>
      </c>
      <c r="AD23" s="212" t="s">
        <v>198</v>
      </c>
    </row>
    <row r="24" spans="2:30" s="22" customFormat="1" x14ac:dyDescent="0.2">
      <c r="B24" s="4"/>
      <c r="C24" s="7" t="s">
        <v>9</v>
      </c>
      <c r="D24" s="5" t="s">
        <v>48</v>
      </c>
      <c r="E24" s="5"/>
      <c r="F24" s="5"/>
      <c r="G24" s="172" t="s">
        <v>185</v>
      </c>
      <c r="H24" s="109"/>
      <c r="I24" s="103" t="s">
        <v>19</v>
      </c>
      <c r="J24" s="103"/>
      <c r="K24" s="103" t="s">
        <v>102</v>
      </c>
      <c r="L24" s="177">
        <f>(M24*0.07)+M24</f>
        <v>640.93000000000006</v>
      </c>
      <c r="M24" s="178">
        <v>599</v>
      </c>
      <c r="N24" s="106" t="s">
        <v>120</v>
      </c>
      <c r="O24" s="190">
        <v>640</v>
      </c>
      <c r="P24" s="131"/>
      <c r="Q24" s="133"/>
      <c r="W24" s="220"/>
      <c r="X24" s="231" t="s">
        <v>48</v>
      </c>
      <c r="Y24" s="234">
        <f>L24</f>
        <v>640.93000000000006</v>
      </c>
      <c r="Z24" s="235">
        <v>640</v>
      </c>
      <c r="AA24" s="153"/>
      <c r="AB24" s="153"/>
      <c r="AC24" s="214"/>
      <c r="AD24" s="212"/>
    </row>
    <row r="25" spans="2:30" s="22" customFormat="1" x14ac:dyDescent="0.2">
      <c r="B25" s="4"/>
      <c r="C25" s="7"/>
      <c r="D25" s="5"/>
      <c r="E25" s="5"/>
      <c r="F25" s="5"/>
      <c r="G25" s="172"/>
      <c r="H25" s="109"/>
      <c r="I25" s="103"/>
      <c r="J25" s="103"/>
      <c r="K25" s="103"/>
      <c r="L25" s="184"/>
      <c r="M25" s="178"/>
      <c r="N25" s="106"/>
      <c r="O25" s="190"/>
      <c r="P25" s="131"/>
      <c r="Q25" s="133"/>
      <c r="W25" s="220"/>
      <c r="X25" s="25" t="s">
        <v>193</v>
      </c>
      <c r="Y25" s="232">
        <v>641</v>
      </c>
      <c r="Z25" s="175"/>
      <c r="AA25" s="153">
        <v>750</v>
      </c>
      <c r="AB25" s="233">
        <f>SUM(Z25,AA25)</f>
        <v>750</v>
      </c>
      <c r="AC25" s="211">
        <f>Y25/AB25</f>
        <v>0.85466666666666669</v>
      </c>
      <c r="AD25" s="212" t="s">
        <v>194</v>
      </c>
    </row>
    <row r="26" spans="2:30" s="22" customFormat="1" x14ac:dyDescent="0.2">
      <c r="G26" s="172"/>
      <c r="H26" s="107"/>
      <c r="I26" s="107"/>
      <c r="J26" s="107"/>
      <c r="K26" s="107"/>
      <c r="L26" s="180"/>
      <c r="M26" s="181"/>
      <c r="N26" s="107"/>
      <c r="O26" s="190"/>
      <c r="P26" s="135"/>
      <c r="Q26" s="137"/>
      <c r="W26" s="220"/>
      <c r="X26" s="25" t="s">
        <v>127</v>
      </c>
      <c r="Y26" s="158">
        <v>0</v>
      </c>
      <c r="Z26" s="175"/>
      <c r="AA26" s="153">
        <v>800</v>
      </c>
      <c r="AB26" s="233">
        <v>800</v>
      </c>
      <c r="AC26" s="221" t="s">
        <v>205</v>
      </c>
      <c r="AD26" s="212" t="s">
        <v>195</v>
      </c>
    </row>
    <row r="27" spans="2:30" s="22" customFormat="1" ht="13.5" thickBot="1" x14ac:dyDescent="0.25">
      <c r="B27" s="4" t="s">
        <v>2</v>
      </c>
      <c r="C27" s="4" t="s">
        <v>22</v>
      </c>
      <c r="D27" s="5"/>
      <c r="E27" s="5"/>
      <c r="F27" s="5"/>
      <c r="G27" s="172"/>
      <c r="H27" s="103"/>
      <c r="I27" s="103"/>
      <c r="J27" s="103"/>
      <c r="K27" s="103"/>
      <c r="L27" s="184"/>
      <c r="M27" s="178"/>
      <c r="N27" s="103"/>
      <c r="O27" s="191"/>
      <c r="P27" s="136"/>
      <c r="Q27" s="136"/>
      <c r="U27" s="30"/>
      <c r="V27" s="30"/>
      <c r="W27" s="236"/>
      <c r="X27" s="237" t="s">
        <v>199</v>
      </c>
      <c r="Y27" s="238">
        <f>SUM(Y20,Y21,Y22,Y23,Y25,Y26)</f>
        <v>3666.96</v>
      </c>
      <c r="Z27" s="239">
        <f>SUM(Z20,Z21,Z22,Z23,Z24)</f>
        <v>3380</v>
      </c>
      <c r="AA27" s="240">
        <f>Y27/Z27</f>
        <v>1.0848994082840238</v>
      </c>
      <c r="AB27" s="239">
        <f>SUM(AB20:AB26)</f>
        <v>4818</v>
      </c>
      <c r="AC27" s="227">
        <f>Y27/AB27</f>
        <v>0.76109589041095893</v>
      </c>
      <c r="AD27" s="241"/>
    </row>
    <row r="28" spans="2:30" s="22" customFormat="1" x14ac:dyDescent="0.2">
      <c r="B28" s="4"/>
      <c r="C28" s="7" t="s">
        <v>5</v>
      </c>
      <c r="D28" s="5" t="s">
        <v>57</v>
      </c>
      <c r="E28" s="5"/>
      <c r="F28" s="5"/>
      <c r="G28" s="172" t="s">
        <v>185</v>
      </c>
      <c r="H28" s="109"/>
      <c r="I28" s="103" t="s">
        <v>19</v>
      </c>
      <c r="J28" s="103"/>
      <c r="K28" s="103" t="s">
        <v>34</v>
      </c>
      <c r="L28" s="177">
        <f t="shared" ref="L28:L36" si="0">(M28*0.07)+M28</f>
        <v>448.33</v>
      </c>
      <c r="M28" s="185">
        <v>419</v>
      </c>
      <c r="N28" s="106" t="s">
        <v>107</v>
      </c>
      <c r="O28" s="189">
        <v>600</v>
      </c>
      <c r="P28" s="131"/>
      <c r="Q28" s="133"/>
      <c r="W28" s="249" t="s">
        <v>210</v>
      </c>
      <c r="X28" s="206"/>
      <c r="Y28" s="207"/>
      <c r="Z28" s="208"/>
      <c r="AA28" s="207"/>
      <c r="AB28" s="208"/>
      <c r="AC28" s="207"/>
      <c r="AD28" s="209"/>
    </row>
    <row r="29" spans="2:30" s="22" customFormat="1" x14ac:dyDescent="0.2">
      <c r="B29" s="73"/>
      <c r="C29" s="74" t="s">
        <v>6</v>
      </c>
      <c r="D29" s="27" t="s">
        <v>98</v>
      </c>
      <c r="E29" s="27"/>
      <c r="F29" s="27"/>
      <c r="G29" s="173" t="s">
        <v>185</v>
      </c>
      <c r="H29" s="109"/>
      <c r="I29" s="103" t="s">
        <v>19</v>
      </c>
      <c r="J29" s="103"/>
      <c r="K29" s="103" t="s">
        <v>34</v>
      </c>
      <c r="L29" s="177">
        <f t="shared" si="0"/>
        <v>799.29</v>
      </c>
      <c r="M29" s="186">
        <v>747</v>
      </c>
      <c r="N29" s="106" t="s">
        <v>108</v>
      </c>
      <c r="O29" s="189">
        <v>750</v>
      </c>
      <c r="P29" s="131"/>
      <c r="Q29" s="133"/>
      <c r="W29" s="210"/>
      <c r="X29" s="203" t="s">
        <v>57</v>
      </c>
      <c r="Y29" s="153">
        <v>448</v>
      </c>
      <c r="Z29" s="153">
        <v>600</v>
      </c>
      <c r="AA29" s="153">
        <v>100</v>
      </c>
      <c r="AB29" s="153">
        <f t="shared" ref="AB29:AB37" si="1">SUM(Z29:AA29)</f>
        <v>700</v>
      </c>
      <c r="AC29" s="211">
        <f t="shared" ref="AC29:AC37" si="2">Y29/AB29</f>
        <v>0.64</v>
      </c>
      <c r="AD29" s="212" t="s">
        <v>216</v>
      </c>
    </row>
    <row r="30" spans="2:30" s="153" customFormat="1" ht="13.5" customHeight="1" x14ac:dyDescent="0.2">
      <c r="B30" s="150"/>
      <c r="C30" s="14" t="s">
        <v>7</v>
      </c>
      <c r="D30" s="13" t="s">
        <v>165</v>
      </c>
      <c r="E30" s="13"/>
      <c r="F30" s="13"/>
      <c r="G30" s="174" t="s">
        <v>185</v>
      </c>
      <c r="H30" s="159"/>
      <c r="I30" s="25" t="s">
        <v>19</v>
      </c>
      <c r="J30" s="25"/>
      <c r="K30" s="25" t="s">
        <v>34</v>
      </c>
      <c r="L30" s="177">
        <f t="shared" si="0"/>
        <v>345.61</v>
      </c>
      <c r="M30" s="186">
        <v>323</v>
      </c>
      <c r="N30" s="154" t="s">
        <v>166</v>
      </c>
      <c r="O30" s="192">
        <v>525</v>
      </c>
      <c r="P30" s="151"/>
      <c r="Q30" s="152"/>
      <c r="W30" s="213"/>
      <c r="X30" s="203" t="s">
        <v>98</v>
      </c>
      <c r="Y30" s="153">
        <v>799</v>
      </c>
      <c r="Z30" s="153">
        <v>750</v>
      </c>
      <c r="AA30" s="153">
        <v>100</v>
      </c>
      <c r="AB30" s="153">
        <f t="shared" si="1"/>
        <v>850</v>
      </c>
      <c r="AC30" s="214">
        <f t="shared" si="2"/>
        <v>0.94</v>
      </c>
      <c r="AD30" s="212" t="s">
        <v>217</v>
      </c>
    </row>
    <row r="31" spans="2:30" s="22" customFormat="1" x14ac:dyDescent="0.2">
      <c r="B31" s="4"/>
      <c r="C31" s="7" t="s">
        <v>8</v>
      </c>
      <c r="D31" s="5" t="s">
        <v>67</v>
      </c>
      <c r="E31" s="5"/>
      <c r="F31" s="5"/>
      <c r="G31" s="172" t="s">
        <v>185</v>
      </c>
      <c r="H31" s="109"/>
      <c r="I31" s="103" t="s">
        <v>19</v>
      </c>
      <c r="J31" s="103"/>
      <c r="K31" s="103" t="s">
        <v>34</v>
      </c>
      <c r="L31" s="177">
        <f t="shared" si="0"/>
        <v>618.46</v>
      </c>
      <c r="M31" s="185">
        <v>578</v>
      </c>
      <c r="N31" s="106" t="s">
        <v>109</v>
      </c>
      <c r="O31" s="190">
        <v>650</v>
      </c>
      <c r="P31" s="131"/>
      <c r="Q31" s="134"/>
      <c r="W31" s="210"/>
      <c r="X31" s="203" t="s">
        <v>165</v>
      </c>
      <c r="Y31" s="158">
        <v>346</v>
      </c>
      <c r="Z31" s="153">
        <v>525</v>
      </c>
      <c r="AA31" s="153"/>
      <c r="AB31" s="153">
        <f t="shared" si="1"/>
        <v>525</v>
      </c>
      <c r="AC31" s="211">
        <f t="shared" si="2"/>
        <v>0.65904761904761899</v>
      </c>
      <c r="AD31" s="212"/>
    </row>
    <row r="32" spans="2:30" s="22" customFormat="1" x14ac:dyDescent="0.2">
      <c r="B32" s="4"/>
      <c r="C32" s="7" t="s">
        <v>10</v>
      </c>
      <c r="D32" s="5" t="s">
        <v>58</v>
      </c>
      <c r="E32" s="5"/>
      <c r="F32" s="5"/>
      <c r="G32" s="172" t="s">
        <v>185</v>
      </c>
      <c r="H32" s="109"/>
      <c r="I32" s="103" t="s">
        <v>19</v>
      </c>
      <c r="J32" s="103"/>
      <c r="K32" s="103" t="s">
        <v>34</v>
      </c>
      <c r="L32" s="177">
        <f t="shared" si="0"/>
        <v>526.44000000000005</v>
      </c>
      <c r="M32" s="185">
        <v>492</v>
      </c>
      <c r="N32" s="106" t="s">
        <v>110</v>
      </c>
      <c r="O32" s="189">
        <v>600</v>
      </c>
      <c r="P32" s="131"/>
      <c r="Q32" s="136"/>
      <c r="W32" s="210"/>
      <c r="X32" s="203" t="s">
        <v>67</v>
      </c>
      <c r="Y32" s="158">
        <v>618</v>
      </c>
      <c r="Z32" s="153">
        <v>650</v>
      </c>
      <c r="AA32" s="153">
        <v>100</v>
      </c>
      <c r="AB32" s="153">
        <f t="shared" si="1"/>
        <v>750</v>
      </c>
      <c r="AC32" s="211">
        <f t="shared" si="2"/>
        <v>0.82399999999999995</v>
      </c>
      <c r="AD32" s="215" t="s">
        <v>218</v>
      </c>
    </row>
    <row r="33" spans="1:30" s="22" customFormat="1" x14ac:dyDescent="0.2">
      <c r="B33" s="4"/>
      <c r="C33" s="7" t="s">
        <v>11</v>
      </c>
      <c r="D33" s="5" t="s">
        <v>59</v>
      </c>
      <c r="E33" s="5"/>
      <c r="F33" s="5"/>
      <c r="G33" s="172" t="s">
        <v>185</v>
      </c>
      <c r="H33" s="109"/>
      <c r="I33" s="103" t="s">
        <v>19</v>
      </c>
      <c r="J33" s="27"/>
      <c r="K33" s="27" t="s">
        <v>34</v>
      </c>
      <c r="L33" s="177">
        <f t="shared" si="0"/>
        <v>552.12</v>
      </c>
      <c r="M33" s="186">
        <v>516</v>
      </c>
      <c r="N33" s="74" t="s">
        <v>167</v>
      </c>
      <c r="O33" s="189">
        <v>600</v>
      </c>
      <c r="P33" s="131"/>
      <c r="Q33" s="133"/>
      <c r="W33" s="216"/>
      <c r="X33" s="203" t="s">
        <v>58</v>
      </c>
      <c r="Y33" s="158">
        <v>526</v>
      </c>
      <c r="Z33" s="153">
        <v>600</v>
      </c>
      <c r="AA33" s="153">
        <v>100</v>
      </c>
      <c r="AB33" s="153">
        <f t="shared" si="1"/>
        <v>700</v>
      </c>
      <c r="AC33" s="211">
        <f t="shared" si="2"/>
        <v>0.75142857142857145</v>
      </c>
      <c r="AD33" s="215" t="s">
        <v>219</v>
      </c>
    </row>
    <row r="34" spans="1:30" s="22" customFormat="1" x14ac:dyDescent="0.2">
      <c r="B34" s="4"/>
      <c r="C34" s="7" t="s">
        <v>50</v>
      </c>
      <c r="D34" s="5" t="s">
        <v>60</v>
      </c>
      <c r="E34" s="5"/>
      <c r="F34" s="5"/>
      <c r="G34" s="172" t="s">
        <v>185</v>
      </c>
      <c r="H34" s="109"/>
      <c r="I34" s="103" t="s">
        <v>19</v>
      </c>
      <c r="J34" s="103"/>
      <c r="K34" s="103" t="s">
        <v>100</v>
      </c>
      <c r="L34" s="177">
        <f t="shared" si="0"/>
        <v>558.54</v>
      </c>
      <c r="M34" s="185">
        <v>522</v>
      </c>
      <c r="N34" s="106" t="s">
        <v>111</v>
      </c>
      <c r="O34" s="189">
        <v>500</v>
      </c>
      <c r="P34" s="131"/>
      <c r="Q34" s="134"/>
      <c r="W34" s="210"/>
      <c r="X34" s="203" t="s">
        <v>59</v>
      </c>
      <c r="Y34" s="158">
        <v>552</v>
      </c>
      <c r="Z34" s="153">
        <v>600</v>
      </c>
      <c r="AA34" s="153">
        <v>100</v>
      </c>
      <c r="AB34" s="153">
        <f t="shared" si="1"/>
        <v>700</v>
      </c>
      <c r="AC34" s="211">
        <f t="shared" si="2"/>
        <v>0.78857142857142859</v>
      </c>
      <c r="AD34" s="215" t="s">
        <v>220</v>
      </c>
    </row>
    <row r="35" spans="1:30" s="22" customFormat="1" x14ac:dyDescent="0.2">
      <c r="B35" s="4"/>
      <c r="C35" s="7" t="s">
        <v>51</v>
      </c>
      <c r="D35" s="5" t="s">
        <v>61</v>
      </c>
      <c r="E35" s="5"/>
      <c r="F35" s="5"/>
      <c r="G35" s="172" t="s">
        <v>185</v>
      </c>
      <c r="H35" s="109"/>
      <c r="I35" s="103" t="s">
        <v>19</v>
      </c>
      <c r="J35" s="103"/>
      <c r="K35" s="103" t="s">
        <v>34</v>
      </c>
      <c r="L35" s="177">
        <f t="shared" si="0"/>
        <v>467.59000000000003</v>
      </c>
      <c r="M35" s="186">
        <v>437</v>
      </c>
      <c r="N35" s="106" t="s">
        <v>112</v>
      </c>
      <c r="O35" s="190">
        <v>425</v>
      </c>
      <c r="P35" s="131"/>
      <c r="Q35" s="133"/>
      <c r="W35" s="210"/>
      <c r="X35" s="203" t="s">
        <v>60</v>
      </c>
      <c r="Y35" s="158">
        <v>559</v>
      </c>
      <c r="Z35" s="153">
        <v>500</v>
      </c>
      <c r="AA35" s="153">
        <f>6*25</f>
        <v>150</v>
      </c>
      <c r="AB35" s="153">
        <f t="shared" si="1"/>
        <v>650</v>
      </c>
      <c r="AC35" s="214">
        <f t="shared" si="2"/>
        <v>0.86</v>
      </c>
      <c r="AD35" s="212" t="s">
        <v>215</v>
      </c>
    </row>
    <row r="36" spans="1:30" s="22" customFormat="1" x14ac:dyDescent="0.2">
      <c r="B36" s="4"/>
      <c r="C36" s="7" t="s">
        <v>52</v>
      </c>
      <c r="D36" s="5" t="s">
        <v>62</v>
      </c>
      <c r="E36" s="5"/>
      <c r="F36" s="5"/>
      <c r="G36" s="172" t="s">
        <v>185</v>
      </c>
      <c r="H36" s="109"/>
      <c r="I36" s="103" t="s">
        <v>19</v>
      </c>
      <c r="J36" s="103"/>
      <c r="K36" s="103" t="s">
        <v>99</v>
      </c>
      <c r="L36" s="177">
        <f t="shared" si="0"/>
        <v>437.63</v>
      </c>
      <c r="M36" s="186">
        <v>409</v>
      </c>
      <c r="N36" s="106" t="s">
        <v>113</v>
      </c>
      <c r="O36" s="190">
        <v>475</v>
      </c>
      <c r="P36" s="135"/>
      <c r="Q36" s="136"/>
      <c r="U36" s="23"/>
      <c r="V36" s="23"/>
      <c r="W36" s="217"/>
      <c r="X36" s="203" t="s">
        <v>61</v>
      </c>
      <c r="Y36" s="158">
        <v>468</v>
      </c>
      <c r="Z36" s="153">
        <v>425</v>
      </c>
      <c r="AA36" s="153">
        <f>7*25</f>
        <v>175</v>
      </c>
      <c r="AB36" s="153">
        <f t="shared" si="1"/>
        <v>600</v>
      </c>
      <c r="AC36" s="211">
        <f t="shared" si="2"/>
        <v>0.78</v>
      </c>
      <c r="AD36" s="212" t="s">
        <v>213</v>
      </c>
    </row>
    <row r="37" spans="1:30" s="22" customFormat="1" x14ac:dyDescent="0.2">
      <c r="B37" s="4"/>
      <c r="C37" s="7"/>
      <c r="D37" s="351" t="s">
        <v>232</v>
      </c>
      <c r="E37" s="351"/>
      <c r="F37" s="351"/>
      <c r="G37" s="351"/>
      <c r="H37" s="351"/>
      <c r="I37" s="351"/>
      <c r="J37" s="103"/>
      <c r="K37" s="103"/>
      <c r="L37" s="184"/>
      <c r="M37" s="187"/>
      <c r="N37" s="106"/>
      <c r="O37" s="190"/>
      <c r="P37" s="135"/>
      <c r="Q37" s="136"/>
      <c r="U37" s="23"/>
      <c r="V37" s="23"/>
      <c r="W37" s="217" t="s">
        <v>207</v>
      </c>
      <c r="X37" s="203" t="s">
        <v>62</v>
      </c>
      <c r="Y37" s="158">
        <v>438</v>
      </c>
      <c r="Z37" s="153">
        <v>475</v>
      </c>
      <c r="AA37" s="153">
        <v>-25</v>
      </c>
      <c r="AB37" s="153">
        <f t="shared" si="1"/>
        <v>450</v>
      </c>
      <c r="AC37" s="214">
        <f t="shared" si="2"/>
        <v>0.97333333333333338</v>
      </c>
      <c r="AD37" s="212" t="s">
        <v>208</v>
      </c>
    </row>
    <row r="38" spans="1:30" s="22" customFormat="1" ht="12.75" customHeight="1" x14ac:dyDescent="0.2">
      <c r="B38" s="4"/>
      <c r="C38" s="7" t="s">
        <v>53</v>
      </c>
      <c r="D38" s="5" t="s">
        <v>63</v>
      </c>
      <c r="E38" s="5"/>
      <c r="F38" s="5"/>
      <c r="G38" s="172" t="s">
        <v>185</v>
      </c>
      <c r="H38" s="109"/>
      <c r="I38" s="103" t="s">
        <v>19</v>
      </c>
      <c r="J38" s="103"/>
      <c r="K38" s="103" t="s">
        <v>100</v>
      </c>
      <c r="L38" s="177">
        <f>(M38*0.07)+M38</f>
        <v>512.53</v>
      </c>
      <c r="M38" s="185">
        <v>479</v>
      </c>
      <c r="N38" s="106" t="s">
        <v>114</v>
      </c>
      <c r="O38" s="189">
        <v>500</v>
      </c>
      <c r="P38" s="135"/>
      <c r="Q38" s="136"/>
      <c r="W38" s="210"/>
      <c r="X38" s="25"/>
      <c r="Y38" s="153"/>
      <c r="Z38" s="153"/>
      <c r="AA38" s="153"/>
      <c r="AB38" s="153"/>
      <c r="AC38" s="153"/>
      <c r="AD38" s="212"/>
    </row>
    <row r="39" spans="1:30" s="22" customFormat="1" x14ac:dyDescent="0.2">
      <c r="B39" s="4"/>
      <c r="C39" s="7" t="s">
        <v>54</v>
      </c>
      <c r="D39" s="5" t="s">
        <v>64</v>
      </c>
      <c r="E39" s="5"/>
      <c r="F39" s="5"/>
      <c r="G39" s="172" t="s">
        <v>185</v>
      </c>
      <c r="H39" s="109"/>
      <c r="I39" s="103" t="s">
        <v>19</v>
      </c>
      <c r="J39" s="103"/>
      <c r="K39" s="103" t="s">
        <v>34</v>
      </c>
      <c r="L39" s="177">
        <f>(M39*0.07)+M39</f>
        <v>618.46</v>
      </c>
      <c r="M39" s="185">
        <v>578</v>
      </c>
      <c r="N39" s="106" t="s">
        <v>117</v>
      </c>
      <c r="O39" s="189">
        <v>600</v>
      </c>
      <c r="P39" s="135"/>
      <c r="Q39" s="136"/>
      <c r="W39" s="210"/>
      <c r="X39" s="203" t="s">
        <v>63</v>
      </c>
      <c r="Y39" s="153">
        <v>513</v>
      </c>
      <c r="Z39" s="153">
        <v>500</v>
      </c>
      <c r="AA39" s="153">
        <v>100</v>
      </c>
      <c r="AB39" s="153">
        <f>SUM(Z39:AA39)</f>
        <v>600</v>
      </c>
      <c r="AC39" s="214">
        <f>Y39/AB39</f>
        <v>0.85499999999999998</v>
      </c>
      <c r="AD39" s="212" t="s">
        <v>221</v>
      </c>
    </row>
    <row r="40" spans="1:30" s="22" customFormat="1" x14ac:dyDescent="0.2">
      <c r="B40" s="4"/>
      <c r="C40" s="7" t="s">
        <v>55</v>
      </c>
      <c r="D40" s="5" t="s">
        <v>65</v>
      </c>
      <c r="E40" s="5"/>
      <c r="F40" s="5"/>
      <c r="G40" s="172" t="s">
        <v>185</v>
      </c>
      <c r="H40" s="109"/>
      <c r="I40" s="103" t="s">
        <v>19</v>
      </c>
      <c r="J40" s="103"/>
      <c r="K40" s="103" t="s">
        <v>100</v>
      </c>
      <c r="L40" s="177">
        <f>(M40*0.07)+M40</f>
        <v>537.14</v>
      </c>
      <c r="M40" s="185">
        <v>502</v>
      </c>
      <c r="N40" s="106" t="s">
        <v>115</v>
      </c>
      <c r="O40" s="190">
        <v>525</v>
      </c>
      <c r="P40" s="143"/>
      <c r="Q40" s="136"/>
      <c r="W40" s="210"/>
      <c r="X40" s="203" t="s">
        <v>64</v>
      </c>
      <c r="Y40" s="153">
        <v>618</v>
      </c>
      <c r="Z40" s="153">
        <v>600</v>
      </c>
      <c r="AA40" s="153">
        <v>100</v>
      </c>
      <c r="AB40" s="153">
        <f>SUM(Z40:AA40)</f>
        <v>700</v>
      </c>
      <c r="AC40" s="214">
        <f>Y40/AB40</f>
        <v>0.8828571428571429</v>
      </c>
      <c r="AD40" s="212" t="s">
        <v>222</v>
      </c>
    </row>
    <row r="41" spans="1:30" s="22" customFormat="1" x14ac:dyDescent="0.2">
      <c r="B41" s="4"/>
      <c r="C41" s="7" t="s">
        <v>56</v>
      </c>
      <c r="D41" s="5" t="s">
        <v>66</v>
      </c>
      <c r="E41" s="5"/>
      <c r="F41" s="5"/>
      <c r="G41" s="172" t="s">
        <v>185</v>
      </c>
      <c r="H41" s="109"/>
      <c r="I41" s="103" t="s">
        <v>19</v>
      </c>
      <c r="J41" s="103"/>
      <c r="K41" s="103" t="s">
        <v>100</v>
      </c>
      <c r="L41" s="177">
        <f>(M41*0.07)+M41</f>
        <v>605.62</v>
      </c>
      <c r="M41" s="185">
        <v>566</v>
      </c>
      <c r="N41" s="106" t="s">
        <v>116</v>
      </c>
      <c r="O41" s="190">
        <v>550</v>
      </c>
      <c r="P41" s="135"/>
      <c r="Q41" s="136"/>
      <c r="W41" s="210"/>
      <c r="X41" s="203" t="s">
        <v>65</v>
      </c>
      <c r="Y41" s="153">
        <v>537</v>
      </c>
      <c r="Z41" s="153">
        <v>525</v>
      </c>
      <c r="AA41" s="153">
        <v>100</v>
      </c>
      <c r="AB41" s="153">
        <f>SUM(Z41:AA41)</f>
        <v>625</v>
      </c>
      <c r="AC41" s="214">
        <f>Y41/AB41</f>
        <v>0.85919999999999996</v>
      </c>
      <c r="AD41" s="212" t="s">
        <v>223</v>
      </c>
    </row>
    <row r="42" spans="1:30" ht="13.5" customHeight="1" x14ac:dyDescent="0.2">
      <c r="G42" s="107"/>
      <c r="H42" s="107"/>
      <c r="I42" s="107"/>
      <c r="J42" s="107"/>
      <c r="K42" s="107"/>
      <c r="L42" s="104"/>
      <c r="M42" s="105"/>
      <c r="N42" s="107"/>
      <c r="O42" s="132"/>
      <c r="P42" s="135"/>
      <c r="Q42" s="137"/>
      <c r="W42" s="218"/>
      <c r="X42" s="203" t="s">
        <v>66</v>
      </c>
      <c r="Y42" s="153">
        <v>606</v>
      </c>
      <c r="Z42" s="153">
        <v>550</v>
      </c>
      <c r="AA42" s="219">
        <f>4*25</f>
        <v>100</v>
      </c>
      <c r="AB42" s="153">
        <f>SUM(Z42:AA42)</f>
        <v>650</v>
      </c>
      <c r="AC42" s="214">
        <f>Y42/AB42</f>
        <v>0.93230769230769228</v>
      </c>
      <c r="AD42" s="212" t="s">
        <v>214</v>
      </c>
    </row>
    <row r="43" spans="1:30" ht="14.25" x14ac:dyDescent="0.2">
      <c r="B43" s="8" t="s">
        <v>169</v>
      </c>
      <c r="C43" s="9"/>
      <c r="D43" s="10"/>
      <c r="E43" s="10"/>
      <c r="F43" s="10"/>
      <c r="G43" s="10"/>
      <c r="H43" s="31"/>
      <c r="I43" s="31"/>
      <c r="J43" s="31"/>
      <c r="K43" s="31"/>
      <c r="L43" s="31"/>
      <c r="M43" s="31"/>
      <c r="N43" s="32"/>
      <c r="Q43" s="137"/>
      <c r="W43" s="220"/>
      <c r="X43" s="25" t="s">
        <v>206</v>
      </c>
      <c r="Y43" s="219"/>
      <c r="Z43" s="219"/>
      <c r="AA43" s="219">
        <v>600</v>
      </c>
      <c r="AB43" s="153">
        <f>SUM(Z43:AA43)</f>
        <v>600</v>
      </c>
      <c r="AC43" s="221" t="s">
        <v>205</v>
      </c>
      <c r="AD43" s="212" t="s">
        <v>209</v>
      </c>
    </row>
    <row r="44" spans="1:30" ht="5.25" customHeight="1" x14ac:dyDescent="0.2">
      <c r="B44" s="7"/>
      <c r="C44" s="7"/>
      <c r="D44" s="5"/>
      <c r="E44" s="5"/>
      <c r="F44" s="5"/>
      <c r="G44" s="5"/>
      <c r="H44" s="27"/>
      <c r="I44" s="27"/>
      <c r="J44" s="27"/>
      <c r="K44" s="27"/>
      <c r="L44" s="27"/>
      <c r="M44" s="27"/>
      <c r="N44" s="33"/>
      <c r="W44" s="222"/>
      <c r="X44" s="219"/>
      <c r="Y44" s="219"/>
      <c r="Z44" s="219"/>
      <c r="AA44" s="219"/>
      <c r="AB44" s="219"/>
      <c r="AC44" s="219"/>
      <c r="AD44" s="223"/>
    </row>
    <row r="45" spans="1:30" ht="13.5" thickBot="1" x14ac:dyDescent="0.25">
      <c r="B45" s="11" t="s">
        <v>173</v>
      </c>
      <c r="C45" s="12" t="s">
        <v>148</v>
      </c>
      <c r="D45" s="13"/>
      <c r="E45" s="13"/>
      <c r="F45" s="13"/>
      <c r="G45" s="13"/>
      <c r="H45" s="113"/>
      <c r="I45" s="113"/>
      <c r="J45" s="113"/>
      <c r="K45" s="113"/>
      <c r="L45" s="113"/>
      <c r="M45" s="113"/>
      <c r="N45" s="112"/>
      <c r="W45" s="224"/>
      <c r="X45" s="225" t="s">
        <v>199</v>
      </c>
      <c r="Y45" s="226">
        <f>SUM(Y29:Y43)</f>
        <v>7028</v>
      </c>
      <c r="Z45" s="226">
        <f>SUM(Z29:Z42)</f>
        <v>7300</v>
      </c>
      <c r="AA45" s="226"/>
      <c r="AB45" s="226">
        <f>SUM(AB29:AB43)</f>
        <v>9100</v>
      </c>
      <c r="AC45" s="227">
        <f>Y45/AB45</f>
        <v>0.77230769230769236</v>
      </c>
      <c r="AD45" s="228"/>
    </row>
    <row r="46" spans="1:30" s="155" customFormat="1" ht="6" customHeight="1" x14ac:dyDescent="0.2">
      <c r="B46" s="154"/>
      <c r="C46" s="56"/>
      <c r="D46" s="149"/>
      <c r="E46" s="149"/>
      <c r="F46" s="149"/>
      <c r="G46" s="149"/>
      <c r="H46" s="149"/>
      <c r="I46" s="149"/>
      <c r="J46" s="149"/>
      <c r="K46" s="149"/>
      <c r="L46" s="149"/>
      <c r="M46" s="46"/>
      <c r="N46" s="84"/>
    </row>
    <row r="47" spans="1:30" s="155" customFormat="1" x14ac:dyDescent="0.2">
      <c r="A47" s="163"/>
      <c r="B47" s="154"/>
      <c r="C47" s="56" t="s">
        <v>0</v>
      </c>
      <c r="D47" s="46" t="s">
        <v>143</v>
      </c>
      <c r="E47" s="62"/>
      <c r="F47" s="46"/>
      <c r="G47" s="46"/>
      <c r="H47" s="57"/>
      <c r="I47" s="46"/>
      <c r="J47" s="46"/>
      <c r="K47" s="45">
        <v>80818</v>
      </c>
      <c r="L47" s="42" t="s">
        <v>23</v>
      </c>
      <c r="M47" s="46"/>
      <c r="N47" s="47"/>
    </row>
    <row r="48" spans="1:30" s="155" customFormat="1" x14ac:dyDescent="0.2">
      <c r="B48" s="154"/>
      <c r="C48" s="56"/>
      <c r="D48" s="331" t="s">
        <v>174</v>
      </c>
      <c r="E48" s="331"/>
      <c r="F48" s="331"/>
      <c r="G48" s="331"/>
      <c r="H48" s="331"/>
      <c r="I48" s="331"/>
      <c r="J48" s="331"/>
      <c r="K48" s="331"/>
      <c r="L48" s="331"/>
      <c r="M48" s="46"/>
      <c r="N48" s="84">
        <f>K47*262.7</f>
        <v>21230888.599999998</v>
      </c>
    </row>
    <row r="49" spans="1:35" ht="6" customHeight="1" x14ac:dyDescent="0.2">
      <c r="B49" s="41"/>
      <c r="C49" s="111"/>
      <c r="D49" s="103"/>
      <c r="E49" s="103"/>
      <c r="F49" s="103"/>
      <c r="G49" s="103"/>
      <c r="H49" s="103"/>
      <c r="I49" s="103"/>
      <c r="J49" s="103"/>
      <c r="K49" s="103"/>
      <c r="L49" s="103"/>
      <c r="M49" s="103"/>
      <c r="N49" s="110"/>
    </row>
    <row r="50" spans="1:35" s="155" customFormat="1" x14ac:dyDescent="0.2">
      <c r="B50" s="154"/>
      <c r="C50" s="56" t="s">
        <v>1</v>
      </c>
      <c r="D50" s="46" t="s">
        <v>176</v>
      </c>
      <c r="E50" s="62"/>
      <c r="F50" s="46"/>
      <c r="G50" s="46"/>
      <c r="H50" s="57"/>
      <c r="I50" s="46"/>
      <c r="J50" s="46"/>
      <c r="K50" s="45">
        <v>100254</v>
      </c>
      <c r="L50" s="42" t="s">
        <v>23</v>
      </c>
      <c r="M50" s="46"/>
      <c r="N50" s="47"/>
    </row>
    <row r="51" spans="1:35" s="155" customFormat="1" ht="25.15" customHeight="1" x14ac:dyDescent="0.2">
      <c r="B51" s="154"/>
      <c r="C51" s="56"/>
      <c r="D51" s="331" t="s">
        <v>175</v>
      </c>
      <c r="E51" s="331"/>
      <c r="F51" s="331"/>
      <c r="G51" s="331"/>
      <c r="H51" s="331"/>
      <c r="I51" s="331"/>
      <c r="J51" s="331"/>
      <c r="K51" s="331"/>
      <c r="L51" s="331"/>
      <c r="M51" s="46"/>
      <c r="N51" s="84">
        <f>K50*265.78</f>
        <v>26645508.119999997</v>
      </c>
    </row>
    <row r="52" spans="1:35" ht="5.25" customHeight="1" x14ac:dyDescent="0.2">
      <c r="B52" s="7"/>
      <c r="C52" s="7"/>
      <c r="D52" s="5"/>
      <c r="E52" s="5"/>
      <c r="F52" s="5"/>
      <c r="G52" s="5"/>
      <c r="H52" s="27"/>
      <c r="I52" s="27"/>
      <c r="J52" s="27"/>
      <c r="K52" s="27"/>
      <c r="L52" s="27"/>
      <c r="M52" s="27"/>
      <c r="N52" s="33"/>
    </row>
    <row r="53" spans="1:35" x14ac:dyDescent="0.2">
      <c r="B53" s="11" t="s">
        <v>35</v>
      </c>
      <c r="C53" s="12" t="s">
        <v>29</v>
      </c>
      <c r="D53" s="13"/>
      <c r="E53" s="13"/>
      <c r="F53" s="13"/>
      <c r="G53" s="13"/>
      <c r="H53" s="25"/>
      <c r="I53" s="25"/>
      <c r="J53" s="25"/>
      <c r="K53" s="25"/>
      <c r="L53" s="25"/>
      <c r="M53" s="25"/>
      <c r="N53" s="34"/>
      <c r="X53" s="56"/>
      <c r="Y53" s="46"/>
      <c r="Z53" s="46"/>
      <c r="AA53" s="46"/>
      <c r="AB53" s="46"/>
      <c r="AC53" s="57"/>
      <c r="AD53" s="46"/>
      <c r="AE53" s="46"/>
      <c r="AF53" s="45"/>
      <c r="AG53" s="42"/>
      <c r="AH53" s="46"/>
      <c r="AI53" s="47"/>
    </row>
    <row r="54" spans="1:35" x14ac:dyDescent="0.2">
      <c r="B54" s="14"/>
      <c r="C54" s="15" t="s">
        <v>25</v>
      </c>
      <c r="D54" s="13"/>
      <c r="E54" s="13"/>
      <c r="F54" s="13"/>
      <c r="G54" s="13"/>
      <c r="H54" s="25"/>
      <c r="I54" s="25"/>
      <c r="J54" s="25"/>
      <c r="K54" s="25"/>
      <c r="L54" s="25"/>
      <c r="M54" s="25"/>
      <c r="N54" s="34"/>
      <c r="X54" s="56"/>
      <c r="Y54" s="331"/>
      <c r="Z54" s="331"/>
      <c r="AA54" s="331"/>
      <c r="AB54" s="331"/>
      <c r="AC54" s="331"/>
      <c r="AD54" s="331"/>
      <c r="AE54" s="331"/>
      <c r="AF54" s="331"/>
      <c r="AG54" s="331"/>
      <c r="AH54" s="46"/>
      <c r="AI54" s="84"/>
    </row>
    <row r="55" spans="1:35" ht="6" customHeight="1" x14ac:dyDescent="0.2">
      <c r="B55" s="41"/>
      <c r="C55" s="4"/>
      <c r="D55" s="5"/>
      <c r="E55" s="5"/>
      <c r="F55" s="5"/>
      <c r="G55" s="5"/>
      <c r="H55" s="27"/>
      <c r="I55" s="27"/>
      <c r="J55" s="27"/>
      <c r="K55" s="27"/>
      <c r="L55" s="27"/>
      <c r="M55" s="27"/>
      <c r="N55" s="33"/>
      <c r="X55" s="14"/>
      <c r="Y55" s="92"/>
      <c r="Z55" s="16"/>
      <c r="AA55" s="13"/>
      <c r="AB55" s="13"/>
      <c r="AC55" s="85"/>
      <c r="AD55" s="50"/>
      <c r="AE55" s="160"/>
      <c r="AF55" s="37"/>
      <c r="AG55" s="50"/>
      <c r="AH55" s="36"/>
      <c r="AI55" s="34"/>
    </row>
    <row r="56" spans="1:35" x14ac:dyDescent="0.2">
      <c r="A56" s="30"/>
      <c r="B56" s="14"/>
      <c r="C56" s="56" t="s">
        <v>0</v>
      </c>
      <c r="D56" s="5" t="s">
        <v>168</v>
      </c>
      <c r="E56" s="46"/>
      <c r="F56" s="46"/>
      <c r="G56" s="46"/>
      <c r="H56" s="57"/>
      <c r="I56" s="46"/>
      <c r="J56" s="46"/>
      <c r="K56" s="45"/>
      <c r="L56" s="42"/>
      <c r="M56" s="46"/>
      <c r="N56" s="47"/>
      <c r="X56" s="4"/>
      <c r="Y56" s="5"/>
      <c r="Z56" s="5"/>
      <c r="AA56" s="5"/>
      <c r="AB56" s="5"/>
      <c r="AC56" s="27"/>
      <c r="AD56" s="27"/>
      <c r="AE56" s="27"/>
      <c r="AF56" s="27"/>
      <c r="AG56" s="27"/>
      <c r="AH56" s="27"/>
      <c r="AI56" s="33"/>
    </row>
    <row r="57" spans="1:35" x14ac:dyDescent="0.2">
      <c r="B57" s="14"/>
      <c r="C57" s="56"/>
      <c r="D57" s="331" t="s">
        <v>149</v>
      </c>
      <c r="E57" s="331"/>
      <c r="F57" s="331"/>
      <c r="G57" s="331"/>
      <c r="H57" s="331"/>
      <c r="I57" s="331"/>
      <c r="J57" s="331"/>
      <c r="K57" s="331"/>
      <c r="L57" s="331"/>
      <c r="M57" s="46"/>
      <c r="N57" s="47"/>
      <c r="X57" s="56"/>
      <c r="Y57" s="46"/>
      <c r="Z57" s="46"/>
      <c r="AA57" s="46"/>
      <c r="AB57" s="46"/>
      <c r="AC57" s="57"/>
      <c r="AD57" s="46"/>
      <c r="AE57" s="46"/>
      <c r="AF57" s="45"/>
      <c r="AG57" s="42"/>
      <c r="AH57" s="46"/>
      <c r="AI57" s="47"/>
    </row>
    <row r="58" spans="1:35" s="24" customFormat="1" x14ac:dyDescent="0.2">
      <c r="B58" s="14"/>
      <c r="C58" s="14"/>
      <c r="D58" s="92" t="s">
        <v>24</v>
      </c>
      <c r="E58" s="16">
        <v>4</v>
      </c>
      <c r="F58" s="13" t="s">
        <v>154</v>
      </c>
      <c r="G58" s="13"/>
      <c r="H58" s="85">
        <v>4750</v>
      </c>
      <c r="I58" s="50" t="s">
        <v>23</v>
      </c>
      <c r="J58" s="145"/>
      <c r="K58" s="37">
        <f>SUM(E58*H58)</f>
        <v>19000</v>
      </c>
      <c r="L58" s="50" t="s">
        <v>23</v>
      </c>
      <c r="M58" s="36">
        <v>0.71</v>
      </c>
      <c r="N58" s="34">
        <f>SUM(E58*H58)/M58*242.05</f>
        <v>6477394.3661971837</v>
      </c>
      <c r="X58" s="56"/>
      <c r="Y58" s="331"/>
      <c r="Z58" s="331"/>
      <c r="AA58" s="331"/>
      <c r="AB58" s="331"/>
      <c r="AC58" s="331"/>
      <c r="AD58" s="331"/>
      <c r="AE58" s="331"/>
      <c r="AF58" s="331"/>
      <c r="AG58" s="331"/>
      <c r="AH58" s="46"/>
      <c r="AI58" s="47"/>
    </row>
    <row r="59" spans="1:35" s="70" customFormat="1" ht="6" customHeight="1" x14ac:dyDescent="0.2">
      <c r="B59" s="14"/>
      <c r="C59" s="14"/>
      <c r="D59" s="13"/>
      <c r="E59" s="16"/>
      <c r="F59" s="13"/>
      <c r="G59" s="13"/>
      <c r="H59" s="85"/>
      <c r="I59" s="13"/>
      <c r="J59" s="13"/>
      <c r="K59" s="85"/>
      <c r="L59" s="13"/>
      <c r="M59" s="86"/>
      <c r="N59" s="83"/>
      <c r="X59" s="14"/>
      <c r="Y59" s="92"/>
      <c r="Z59" s="16"/>
      <c r="AA59" s="13"/>
      <c r="AB59" s="13"/>
      <c r="AC59" s="85"/>
      <c r="AD59" s="50"/>
      <c r="AE59" s="160"/>
      <c r="AF59" s="37"/>
      <c r="AG59" s="50"/>
      <c r="AH59" s="36"/>
      <c r="AI59" s="34"/>
    </row>
    <row r="60" spans="1:35" ht="14.25" x14ac:dyDescent="0.2">
      <c r="B60" s="8" t="s">
        <v>172</v>
      </c>
      <c r="C60" s="9"/>
      <c r="D60" s="10"/>
      <c r="E60" s="10"/>
      <c r="F60" s="10"/>
      <c r="G60" s="10"/>
      <c r="H60" s="31"/>
      <c r="I60" s="31"/>
      <c r="J60" s="31"/>
      <c r="K60" s="31"/>
      <c r="L60" s="31"/>
      <c r="M60" s="31"/>
      <c r="N60" s="32"/>
      <c r="X60" s="4"/>
      <c r="Y60" s="5"/>
      <c r="Z60" s="5"/>
      <c r="AA60" s="5"/>
      <c r="AB60" s="5"/>
      <c r="AC60" s="27"/>
      <c r="AD60" s="27"/>
      <c r="AE60" s="27"/>
      <c r="AF60" s="27"/>
      <c r="AG60" s="27"/>
      <c r="AH60" s="27"/>
      <c r="AI60" s="33"/>
    </row>
    <row r="61" spans="1:35" x14ac:dyDescent="0.2">
      <c r="B61" s="11" t="s">
        <v>151</v>
      </c>
      <c r="C61" s="12" t="s">
        <v>152</v>
      </c>
      <c r="D61" s="13"/>
      <c r="E61" s="13"/>
      <c r="F61" s="13"/>
      <c r="G61" s="13"/>
      <c r="H61" s="25"/>
      <c r="I61" s="25"/>
      <c r="J61" s="25"/>
      <c r="K61" s="25"/>
      <c r="L61" s="25"/>
      <c r="M61" s="25"/>
      <c r="N61" s="34"/>
      <c r="X61" s="56"/>
      <c r="Y61" s="46"/>
      <c r="Z61" s="46"/>
      <c r="AA61" s="46"/>
      <c r="AB61" s="46"/>
      <c r="AC61" s="57"/>
      <c r="AD61" s="46"/>
      <c r="AE61" s="46"/>
      <c r="AF61" s="45"/>
      <c r="AG61" s="42"/>
      <c r="AH61" s="46"/>
      <c r="AI61" s="47"/>
    </row>
    <row r="62" spans="1:35" ht="6" customHeight="1" x14ac:dyDescent="0.2">
      <c r="B62" s="41"/>
      <c r="C62" s="4"/>
      <c r="D62" s="5"/>
      <c r="E62" s="5"/>
      <c r="F62" s="5"/>
      <c r="G62" s="5"/>
      <c r="H62" s="27"/>
      <c r="I62" s="27"/>
      <c r="J62" s="27"/>
      <c r="K62" s="27"/>
      <c r="L62" s="27"/>
      <c r="M62" s="27"/>
      <c r="N62" s="33"/>
      <c r="X62" s="56"/>
      <c r="Y62" s="331"/>
      <c r="Z62" s="331"/>
      <c r="AA62" s="331"/>
      <c r="AB62" s="331"/>
      <c r="AC62" s="331"/>
      <c r="AD62" s="331"/>
      <c r="AE62" s="331"/>
      <c r="AF62" s="331"/>
      <c r="AG62" s="331"/>
      <c r="AH62" s="46"/>
      <c r="AI62" s="84"/>
    </row>
    <row r="63" spans="1:35" x14ac:dyDescent="0.2">
      <c r="B63" s="14"/>
      <c r="C63" s="56" t="s">
        <v>0</v>
      </c>
      <c r="D63" s="46" t="s">
        <v>124</v>
      </c>
      <c r="E63" s="62"/>
      <c r="F63" s="46"/>
      <c r="G63" s="46"/>
      <c r="H63" s="57"/>
      <c r="I63" s="46"/>
      <c r="J63" s="46"/>
      <c r="K63" s="45">
        <v>65736</v>
      </c>
      <c r="L63" s="42" t="s">
        <v>23</v>
      </c>
      <c r="M63" s="46"/>
      <c r="N63" s="47"/>
      <c r="X63" s="14"/>
      <c r="Y63" s="92"/>
      <c r="Z63" s="16"/>
      <c r="AA63" s="13"/>
      <c r="AB63" s="13"/>
      <c r="AC63" s="85"/>
      <c r="AD63" s="50"/>
      <c r="AE63" s="160"/>
      <c r="AF63" s="37"/>
      <c r="AG63" s="50"/>
      <c r="AH63" s="36"/>
      <c r="AI63" s="34"/>
    </row>
    <row r="64" spans="1:35" x14ac:dyDescent="0.2">
      <c r="B64" s="14"/>
      <c r="C64" s="56"/>
      <c r="D64" s="331" t="s">
        <v>125</v>
      </c>
      <c r="E64" s="331"/>
      <c r="F64" s="331"/>
      <c r="G64" s="331"/>
      <c r="H64" s="331"/>
      <c r="I64" s="331"/>
      <c r="J64" s="331"/>
      <c r="K64" s="331"/>
      <c r="L64" s="331"/>
      <c r="M64" s="46"/>
      <c r="N64" s="84">
        <f>K63*262.7</f>
        <v>17268847.199999999</v>
      </c>
      <c r="X64" s="4"/>
      <c r="Y64" s="5"/>
      <c r="Z64" s="5"/>
      <c r="AA64" s="5"/>
      <c r="AB64" s="5"/>
      <c r="AC64" s="27"/>
      <c r="AD64" s="27"/>
      <c r="AE64" s="27"/>
      <c r="AF64" s="27"/>
      <c r="AG64" s="27"/>
      <c r="AH64" s="27"/>
      <c r="AI64" s="33"/>
    </row>
    <row r="65" spans="1:35" ht="6" customHeight="1" x14ac:dyDescent="0.2">
      <c r="B65" s="41"/>
      <c r="C65" s="4"/>
      <c r="D65" s="5"/>
      <c r="E65" s="5"/>
      <c r="F65" s="5"/>
      <c r="G65" s="5"/>
      <c r="H65" s="27"/>
      <c r="I65" s="27"/>
      <c r="J65" s="27"/>
      <c r="K65" s="27"/>
      <c r="L65" s="27"/>
      <c r="M65" s="27"/>
      <c r="N65" s="33"/>
      <c r="X65" s="56"/>
      <c r="Y65" s="46"/>
      <c r="Z65" s="46"/>
      <c r="AA65" s="46"/>
      <c r="AB65" s="46"/>
      <c r="AC65" s="57"/>
      <c r="AD65" s="46"/>
      <c r="AE65" s="46"/>
      <c r="AF65" s="45"/>
      <c r="AG65" s="42"/>
      <c r="AH65" s="46"/>
      <c r="AI65" s="47"/>
    </row>
    <row r="66" spans="1:35" x14ac:dyDescent="0.2">
      <c r="B66" s="14"/>
      <c r="C66" s="56" t="s">
        <v>1</v>
      </c>
      <c r="D66" s="46" t="s">
        <v>127</v>
      </c>
      <c r="E66" s="62"/>
      <c r="F66" s="46"/>
      <c r="G66" s="46"/>
      <c r="H66" s="57"/>
      <c r="I66" s="46"/>
      <c r="J66" s="46"/>
      <c r="K66" s="45">
        <v>100254</v>
      </c>
      <c r="L66" s="42" t="s">
        <v>23</v>
      </c>
      <c r="M66" s="46"/>
      <c r="N66" s="47"/>
      <c r="X66" s="56"/>
      <c r="Y66" s="331"/>
      <c r="Z66" s="331"/>
      <c r="AA66" s="331"/>
      <c r="AB66" s="331"/>
      <c r="AC66" s="331"/>
      <c r="AD66" s="331"/>
      <c r="AE66" s="331"/>
      <c r="AF66" s="331"/>
      <c r="AG66" s="331"/>
      <c r="AH66" s="46"/>
      <c r="AI66" s="84"/>
    </row>
    <row r="67" spans="1:35" x14ac:dyDescent="0.2">
      <c r="B67" s="14"/>
      <c r="C67" s="56"/>
      <c r="D67" s="331" t="s">
        <v>157</v>
      </c>
      <c r="E67" s="331"/>
      <c r="F67" s="331"/>
      <c r="G67" s="331"/>
      <c r="H67" s="331"/>
      <c r="I67" s="331"/>
      <c r="J67" s="331"/>
      <c r="K67" s="331"/>
      <c r="L67" s="331"/>
      <c r="M67" s="46"/>
      <c r="N67" s="84">
        <f>K66*265.78</f>
        <v>26645508.119999997</v>
      </c>
      <c r="X67" s="14"/>
      <c r="Y67" s="92"/>
      <c r="Z67" s="16"/>
      <c r="AA67" s="13"/>
      <c r="AB67" s="13"/>
      <c r="AC67" s="85"/>
      <c r="AD67" s="50"/>
      <c r="AE67" s="160"/>
      <c r="AF67" s="37"/>
      <c r="AG67" s="50"/>
      <c r="AH67" s="36"/>
      <c r="AI67" s="34"/>
    </row>
    <row r="68" spans="1:35" ht="6" customHeight="1" x14ac:dyDescent="0.2">
      <c r="B68" s="41"/>
      <c r="C68" s="4"/>
      <c r="D68" s="5"/>
      <c r="E68" s="5"/>
      <c r="F68" s="5"/>
      <c r="G68" s="5"/>
      <c r="H68" s="27"/>
      <c r="I68" s="27"/>
      <c r="J68" s="27"/>
      <c r="K68" s="27"/>
      <c r="L68" s="27"/>
      <c r="M68" s="27"/>
      <c r="N68" s="33"/>
      <c r="X68" s="4"/>
      <c r="Y68" s="5"/>
      <c r="Z68" s="5"/>
      <c r="AA68" s="5"/>
      <c r="AB68" s="5"/>
      <c r="AC68" s="27"/>
      <c r="AD68" s="27"/>
      <c r="AE68" s="27"/>
      <c r="AF68" s="27"/>
      <c r="AG68" s="27"/>
      <c r="AH68" s="27"/>
      <c r="AI68" s="33"/>
    </row>
    <row r="69" spans="1:35" x14ac:dyDescent="0.2">
      <c r="B69" s="14"/>
      <c r="C69" s="56" t="s">
        <v>2</v>
      </c>
      <c r="D69" s="46" t="s">
        <v>128</v>
      </c>
      <c r="E69" s="62"/>
      <c r="F69" s="46"/>
      <c r="G69" s="46"/>
      <c r="H69" s="57"/>
      <c r="I69" s="46"/>
      <c r="J69" s="46"/>
      <c r="K69" s="45">
        <v>163434</v>
      </c>
      <c r="L69" s="42" t="s">
        <v>23</v>
      </c>
      <c r="M69" s="46"/>
      <c r="N69" s="47"/>
      <c r="X69" s="56"/>
      <c r="Y69" s="46"/>
      <c r="Z69" s="46"/>
      <c r="AA69" s="46"/>
      <c r="AB69" s="46"/>
      <c r="AC69" s="57"/>
      <c r="AD69" s="46"/>
      <c r="AE69" s="46"/>
      <c r="AF69" s="45"/>
      <c r="AG69" s="42"/>
      <c r="AH69" s="46"/>
      <c r="AI69" s="47"/>
    </row>
    <row r="70" spans="1:35" x14ac:dyDescent="0.2">
      <c r="B70" s="14"/>
      <c r="C70" s="56"/>
      <c r="D70" s="331" t="s">
        <v>158</v>
      </c>
      <c r="E70" s="331"/>
      <c r="F70" s="331"/>
      <c r="G70" s="331"/>
      <c r="H70" s="331"/>
      <c r="I70" s="331"/>
      <c r="J70" s="331"/>
      <c r="K70" s="331"/>
      <c r="L70" s="331"/>
      <c r="M70" s="46"/>
      <c r="N70" s="84">
        <f>K69*274.69</f>
        <v>44893685.460000001</v>
      </c>
      <c r="X70" s="56"/>
      <c r="Y70" s="331"/>
      <c r="Z70" s="331"/>
      <c r="AA70" s="331"/>
      <c r="AB70" s="331"/>
      <c r="AC70" s="331"/>
      <c r="AD70" s="331"/>
      <c r="AE70" s="331"/>
      <c r="AF70" s="331"/>
      <c r="AG70" s="331"/>
      <c r="AH70" s="46"/>
      <c r="AI70" s="47"/>
    </row>
    <row r="71" spans="1:35" ht="6" customHeight="1" x14ac:dyDescent="0.2">
      <c r="B71" s="146"/>
      <c r="C71" s="147"/>
      <c r="D71" s="146"/>
      <c r="E71" s="146"/>
      <c r="F71" s="146"/>
      <c r="G71" s="146"/>
      <c r="H71" s="148"/>
      <c r="I71" s="148"/>
      <c r="J71" s="148"/>
      <c r="K71" s="148"/>
      <c r="L71" s="148"/>
      <c r="M71" s="148"/>
      <c r="N71" s="148"/>
      <c r="X71" s="14"/>
      <c r="Y71" s="92"/>
      <c r="Z71" s="16"/>
      <c r="AA71" s="13"/>
      <c r="AB71" s="13"/>
      <c r="AC71" s="85"/>
      <c r="AD71" s="50"/>
      <c r="AE71" s="160"/>
      <c r="AF71" s="37"/>
      <c r="AG71" s="50"/>
      <c r="AH71" s="36"/>
      <c r="AI71" s="34"/>
    </row>
    <row r="72" spans="1:35" x14ac:dyDescent="0.2">
      <c r="A72" s="163"/>
      <c r="B72" s="164" t="s">
        <v>147</v>
      </c>
      <c r="C72" s="165" t="s">
        <v>148</v>
      </c>
      <c r="D72" s="25"/>
      <c r="E72" s="25"/>
      <c r="F72" s="25"/>
      <c r="G72" s="25"/>
      <c r="H72" s="113"/>
      <c r="I72" s="113"/>
      <c r="J72" s="113"/>
      <c r="K72" s="113"/>
      <c r="L72" s="113"/>
      <c r="M72" s="113"/>
      <c r="N72" s="112"/>
      <c r="X72" s="4"/>
      <c r="Y72" s="5"/>
      <c r="Z72" s="5"/>
      <c r="AA72" s="5"/>
      <c r="AB72" s="5"/>
      <c r="AC72" s="27"/>
      <c r="AD72" s="27"/>
      <c r="AE72" s="27"/>
      <c r="AF72" s="27"/>
      <c r="AG72" s="27"/>
      <c r="AH72" s="27"/>
      <c r="AI72" s="33"/>
    </row>
    <row r="73" spans="1:35" ht="6" customHeight="1" x14ac:dyDescent="0.2">
      <c r="A73" s="155"/>
      <c r="B73" s="157"/>
      <c r="C73" s="111"/>
      <c r="D73" s="103"/>
      <c r="E73" s="103"/>
      <c r="F73" s="103"/>
      <c r="G73" s="103"/>
      <c r="H73" s="103"/>
      <c r="I73" s="103"/>
      <c r="J73" s="103"/>
      <c r="K73" s="103"/>
      <c r="L73" s="103"/>
      <c r="M73" s="103"/>
      <c r="N73" s="110"/>
      <c r="X73" s="56"/>
      <c r="Y73" s="46"/>
      <c r="Z73" s="46"/>
      <c r="AA73" s="46"/>
      <c r="AB73" s="46"/>
      <c r="AC73" s="57"/>
      <c r="AD73" s="46"/>
      <c r="AE73" s="46"/>
      <c r="AF73" s="45"/>
      <c r="AG73" s="42"/>
      <c r="AH73" s="46"/>
      <c r="AI73" s="47"/>
    </row>
    <row r="74" spans="1:35" x14ac:dyDescent="0.2">
      <c r="A74" s="155"/>
      <c r="B74" s="154"/>
      <c r="C74" s="56" t="s">
        <v>0</v>
      </c>
      <c r="D74" s="46" t="s">
        <v>150</v>
      </c>
      <c r="E74" s="62"/>
      <c r="F74" s="46"/>
      <c r="G74" s="46"/>
      <c r="H74" s="57"/>
      <c r="I74" s="46"/>
      <c r="J74" s="46"/>
      <c r="K74" s="45">
        <v>82346</v>
      </c>
      <c r="L74" s="42" t="s">
        <v>23</v>
      </c>
      <c r="M74" s="46"/>
      <c r="N74" s="47"/>
      <c r="X74" s="14"/>
      <c r="Y74" s="92"/>
      <c r="Z74" s="16"/>
      <c r="AA74" s="13"/>
      <c r="AB74" s="13"/>
      <c r="AC74" s="85"/>
      <c r="AD74" s="50"/>
      <c r="AE74" s="160"/>
      <c r="AF74" s="37"/>
      <c r="AG74" s="50"/>
      <c r="AH74" s="36"/>
      <c r="AI74" s="34"/>
    </row>
    <row r="75" spans="1:35" x14ac:dyDescent="0.2">
      <c r="A75" s="155"/>
      <c r="B75" s="154"/>
      <c r="C75" s="56"/>
      <c r="D75" s="331" t="s">
        <v>177</v>
      </c>
      <c r="E75" s="331"/>
      <c r="F75" s="331"/>
      <c r="G75" s="331"/>
      <c r="H75" s="331"/>
      <c r="I75" s="331"/>
      <c r="J75" s="331"/>
      <c r="K75" s="331"/>
      <c r="L75" s="331"/>
      <c r="M75" s="46"/>
      <c r="N75" s="84">
        <f>K74*274.69</f>
        <v>22619622.739999998</v>
      </c>
      <c r="X75" s="4"/>
      <c r="Y75" s="5"/>
      <c r="Z75" s="5"/>
      <c r="AA75" s="5"/>
      <c r="AB75" s="5"/>
      <c r="AC75" s="27"/>
      <c r="AD75" s="27"/>
      <c r="AE75" s="27"/>
      <c r="AF75" s="27"/>
      <c r="AG75" s="27"/>
      <c r="AH75" s="27"/>
      <c r="AI75" s="33"/>
    </row>
    <row r="76" spans="1:35" ht="5.25" customHeight="1" x14ac:dyDescent="0.2">
      <c r="B76" s="7"/>
      <c r="C76" s="7"/>
      <c r="D76" s="5"/>
      <c r="E76" s="5"/>
      <c r="F76" s="5"/>
      <c r="G76" s="5"/>
      <c r="H76" s="27"/>
      <c r="I76" s="27"/>
      <c r="J76" s="27"/>
      <c r="K76" s="27"/>
      <c r="L76" s="27"/>
      <c r="M76" s="27"/>
      <c r="N76" s="33"/>
      <c r="X76" s="56"/>
      <c r="Y76" s="46"/>
      <c r="Z76" s="46"/>
      <c r="AA76" s="46"/>
      <c r="AB76" s="46"/>
      <c r="AC76" s="57"/>
      <c r="AD76" s="46"/>
      <c r="AE76" s="46"/>
      <c r="AF76" s="45"/>
      <c r="AG76" s="42"/>
      <c r="AH76" s="46"/>
      <c r="AI76" s="47"/>
    </row>
    <row r="77" spans="1:35" x14ac:dyDescent="0.2">
      <c r="B77" s="11" t="s">
        <v>26</v>
      </c>
      <c r="C77" s="12" t="s">
        <v>29</v>
      </c>
      <c r="D77" s="13"/>
      <c r="E77" s="13"/>
      <c r="F77" s="13"/>
      <c r="G77" s="13"/>
      <c r="H77" s="25"/>
      <c r="I77" s="25"/>
      <c r="J77" s="25"/>
      <c r="K77" s="25"/>
      <c r="L77" s="25"/>
      <c r="M77" s="25"/>
      <c r="N77" s="34"/>
      <c r="X77" s="56"/>
      <c r="Y77" s="331"/>
      <c r="Z77" s="331"/>
      <c r="AA77" s="331"/>
      <c r="AB77" s="331"/>
      <c r="AC77" s="331"/>
      <c r="AD77" s="331"/>
      <c r="AE77" s="331"/>
      <c r="AF77" s="331"/>
      <c r="AG77" s="331"/>
      <c r="AH77" s="46"/>
      <c r="AI77" s="47"/>
    </row>
    <row r="78" spans="1:35" x14ac:dyDescent="0.2">
      <c r="B78" s="14"/>
      <c r="C78" s="15" t="s">
        <v>25</v>
      </c>
      <c r="D78" s="13"/>
      <c r="E78" s="13"/>
      <c r="F78" s="13"/>
      <c r="G78" s="13"/>
      <c r="H78" s="25"/>
      <c r="I78" s="25"/>
      <c r="J78" s="25"/>
      <c r="K78" s="25"/>
      <c r="L78" s="25"/>
      <c r="M78" s="25"/>
      <c r="N78" s="34"/>
      <c r="X78" s="14"/>
      <c r="Y78" s="92"/>
      <c r="Z78" s="16"/>
      <c r="AA78" s="13"/>
      <c r="AB78" s="13"/>
      <c r="AC78" s="85"/>
      <c r="AD78" s="50"/>
      <c r="AE78" s="160"/>
      <c r="AF78" s="37"/>
      <c r="AG78" s="50"/>
      <c r="AH78" s="36"/>
      <c r="AI78" s="34"/>
    </row>
    <row r="79" spans="1:35" ht="6.75" customHeight="1" x14ac:dyDescent="0.2">
      <c r="B79" s="14"/>
      <c r="C79" s="56"/>
      <c r="D79" s="46"/>
      <c r="E79" s="49"/>
      <c r="F79" s="46"/>
      <c r="G79" s="46"/>
      <c r="H79" s="43"/>
      <c r="I79" s="42"/>
      <c r="J79" s="42"/>
      <c r="K79" s="43"/>
      <c r="L79" s="42"/>
      <c r="M79" s="61"/>
      <c r="N79" s="44"/>
      <c r="X79" s="4"/>
      <c r="Y79" s="5"/>
      <c r="Z79" s="5"/>
      <c r="AA79" s="5"/>
      <c r="AB79" s="5"/>
      <c r="AC79" s="27"/>
      <c r="AD79" s="27"/>
      <c r="AE79" s="27"/>
      <c r="AF79" s="27"/>
      <c r="AG79" s="27"/>
      <c r="AH79" s="27"/>
      <c r="AI79" s="33"/>
    </row>
    <row r="80" spans="1:35" x14ac:dyDescent="0.2">
      <c r="B80" s="14"/>
      <c r="C80" s="56" t="s">
        <v>0</v>
      </c>
      <c r="D80" s="46" t="s">
        <v>84</v>
      </c>
      <c r="E80" s="46"/>
      <c r="F80" s="46"/>
      <c r="G80" s="46"/>
      <c r="H80" s="57"/>
      <c r="I80" s="46"/>
      <c r="J80" s="46"/>
      <c r="K80" s="45">
        <v>54410</v>
      </c>
      <c r="L80" s="42" t="s">
        <v>23</v>
      </c>
      <c r="M80" s="46"/>
      <c r="N80" s="47"/>
      <c r="X80" s="56"/>
      <c r="Y80" s="46"/>
      <c r="Z80" s="46"/>
      <c r="AA80" s="46"/>
      <c r="AB80" s="46"/>
      <c r="AC80" s="57"/>
      <c r="AD80" s="46"/>
      <c r="AE80" s="46"/>
      <c r="AF80" s="45"/>
      <c r="AG80" s="42"/>
      <c r="AH80" s="46"/>
      <c r="AI80" s="47"/>
    </row>
    <row r="81" spans="2:35" ht="79.5" customHeight="1" x14ac:dyDescent="0.2">
      <c r="B81" s="14"/>
      <c r="C81" s="56"/>
      <c r="D81" s="331" t="s">
        <v>231</v>
      </c>
      <c r="E81" s="331"/>
      <c r="F81" s="331"/>
      <c r="G81" s="331"/>
      <c r="H81" s="331"/>
      <c r="I81" s="331"/>
      <c r="J81" s="331"/>
      <c r="K81" s="331"/>
      <c r="L81" s="331"/>
      <c r="M81" s="46"/>
      <c r="N81" s="84">
        <f>6339634*1.2</f>
        <v>7607560.7999999998</v>
      </c>
      <c r="X81" s="56"/>
      <c r="Y81" s="331"/>
      <c r="Z81" s="331"/>
      <c r="AA81" s="331"/>
      <c r="AB81" s="331"/>
      <c r="AC81" s="331"/>
      <c r="AD81" s="331"/>
      <c r="AE81" s="331"/>
      <c r="AF81" s="331"/>
      <c r="AG81" s="331"/>
      <c r="AH81" s="46"/>
      <c r="AI81" s="84"/>
    </row>
    <row r="82" spans="2:35" x14ac:dyDescent="0.2">
      <c r="B82" s="14"/>
      <c r="C82" s="56"/>
      <c r="D82" s="46" t="s">
        <v>24</v>
      </c>
      <c r="E82" s="49">
        <v>1</v>
      </c>
      <c r="F82" s="46" t="s">
        <v>71</v>
      </c>
      <c r="G82" s="46"/>
      <c r="H82" s="43">
        <v>800</v>
      </c>
      <c r="I82" s="42" t="s">
        <v>23</v>
      </c>
      <c r="J82" s="42"/>
      <c r="K82" s="87">
        <f t="shared" ref="K82:K86" si="3">SUM(E82*H82)</f>
        <v>800</v>
      </c>
      <c r="L82" s="42" t="s">
        <v>23</v>
      </c>
      <c r="M82" s="61">
        <v>0.74</v>
      </c>
      <c r="N82" s="83">
        <f>SUM(E82*H82)/M82*262.7</f>
        <v>284000</v>
      </c>
      <c r="X82" s="56"/>
      <c r="Y82" s="331"/>
      <c r="Z82" s="331"/>
      <c r="AA82" s="331"/>
      <c r="AB82" s="331"/>
      <c r="AC82" s="331"/>
      <c r="AD82" s="331"/>
      <c r="AE82" s="331"/>
      <c r="AF82" s="331"/>
      <c r="AG82" s="331"/>
      <c r="AH82" s="46"/>
      <c r="AI82" s="47"/>
    </row>
    <row r="83" spans="2:35" ht="15" x14ac:dyDescent="0.25">
      <c r="B83" s="14"/>
      <c r="C83" s="60"/>
      <c r="D83" s="46"/>
      <c r="E83" s="49">
        <v>1</v>
      </c>
      <c r="F83" s="46" t="s">
        <v>32</v>
      </c>
      <c r="G83" s="46"/>
      <c r="H83" s="43">
        <v>1000</v>
      </c>
      <c r="I83" s="42" t="s">
        <v>23</v>
      </c>
      <c r="J83" s="42"/>
      <c r="K83" s="87">
        <f t="shared" si="3"/>
        <v>1000</v>
      </c>
      <c r="L83" s="42" t="s">
        <v>23</v>
      </c>
      <c r="M83" s="61">
        <v>0.74</v>
      </c>
      <c r="N83" s="83">
        <f t="shared" ref="N83:N86" si="4">SUM(E83*H83)/M83*262.7</f>
        <v>355000</v>
      </c>
      <c r="X83" s="14"/>
      <c r="Y83" s="92"/>
      <c r="Z83" s="16"/>
      <c r="AA83" s="13"/>
      <c r="AB83" s="13"/>
      <c r="AC83" s="85"/>
      <c r="AD83" s="50"/>
      <c r="AE83" s="160"/>
      <c r="AF83" s="37"/>
      <c r="AG83" s="50"/>
      <c r="AH83" s="36"/>
      <c r="AI83" s="34"/>
    </row>
    <row r="84" spans="2:35" ht="15" x14ac:dyDescent="0.25">
      <c r="B84" s="14"/>
      <c r="C84" s="60"/>
      <c r="D84" s="46"/>
      <c r="E84" s="49">
        <v>1</v>
      </c>
      <c r="F84" s="46" t="s">
        <v>69</v>
      </c>
      <c r="G84" s="46"/>
      <c r="H84" s="43">
        <v>300</v>
      </c>
      <c r="I84" s="42" t="s">
        <v>23</v>
      </c>
      <c r="J84" s="42"/>
      <c r="K84" s="87">
        <f t="shared" si="3"/>
        <v>300</v>
      </c>
      <c r="L84" s="42" t="s">
        <v>23</v>
      </c>
      <c r="M84" s="61">
        <v>0.74</v>
      </c>
      <c r="N84" s="83">
        <f t="shared" si="4"/>
        <v>106500</v>
      </c>
    </row>
    <row r="85" spans="2:35" s="70" customFormat="1" ht="12.75" customHeight="1" x14ac:dyDescent="0.2">
      <c r="B85" s="14"/>
      <c r="C85" s="14"/>
      <c r="D85" s="88"/>
      <c r="E85" s="89">
        <v>7</v>
      </c>
      <c r="F85" s="46" t="s">
        <v>88</v>
      </c>
      <c r="G85" s="90"/>
      <c r="H85" s="87">
        <v>800</v>
      </c>
      <c r="I85" s="90" t="s">
        <v>23</v>
      </c>
      <c r="J85" s="90"/>
      <c r="K85" s="87">
        <f t="shared" ref="K85" si="5">SUM(E85*H85)</f>
        <v>5600</v>
      </c>
      <c r="L85" s="90" t="s">
        <v>23</v>
      </c>
      <c r="M85" s="91">
        <v>0.74</v>
      </c>
      <c r="N85" s="83">
        <f t="shared" si="4"/>
        <v>1988000</v>
      </c>
    </row>
    <row r="86" spans="2:35" s="70" customFormat="1" ht="12.75" customHeight="1" x14ac:dyDescent="0.2">
      <c r="B86" s="14"/>
      <c r="C86" s="14"/>
      <c r="D86" s="88"/>
      <c r="E86" s="89">
        <v>1</v>
      </c>
      <c r="F86" s="25" t="s">
        <v>96</v>
      </c>
      <c r="G86" s="90"/>
      <c r="H86" s="87">
        <v>5500</v>
      </c>
      <c r="I86" s="90" t="s">
        <v>23</v>
      </c>
      <c r="J86" s="90"/>
      <c r="K86" s="87">
        <f t="shared" si="3"/>
        <v>5500</v>
      </c>
      <c r="L86" s="90" t="s">
        <v>23</v>
      </c>
      <c r="M86" s="91">
        <v>0.74</v>
      </c>
      <c r="N86" s="83">
        <f t="shared" si="4"/>
        <v>1952500</v>
      </c>
    </row>
    <row r="87" spans="2:35" ht="16.350000000000001" customHeight="1" x14ac:dyDescent="0.2">
      <c r="B87" s="7"/>
      <c r="C87" s="7"/>
      <c r="D87" s="5"/>
      <c r="E87" s="5"/>
      <c r="F87" s="5"/>
      <c r="G87" s="5"/>
      <c r="H87" s="27"/>
      <c r="I87" s="255">
        <f>K87/0.74</f>
        <v>17837.837837837837</v>
      </c>
      <c r="J87" s="256"/>
      <c r="K87" s="257">
        <f>SUM(K82:K86)</f>
        <v>13200</v>
      </c>
      <c r="L87" s="27"/>
      <c r="M87" s="27"/>
      <c r="N87" s="33"/>
    </row>
    <row r="88" spans="2:35" s="22" customFormat="1" x14ac:dyDescent="0.2">
      <c r="B88" s="14"/>
      <c r="C88" s="14" t="s">
        <v>1</v>
      </c>
      <c r="D88" s="5" t="s">
        <v>159</v>
      </c>
      <c r="E88" s="16"/>
      <c r="F88" s="13"/>
      <c r="G88" s="13"/>
      <c r="H88" s="25"/>
      <c r="I88" s="25"/>
      <c r="J88" s="25"/>
      <c r="K88" s="37">
        <v>201976</v>
      </c>
      <c r="L88" s="25" t="s">
        <v>23</v>
      </c>
      <c r="M88" s="36"/>
      <c r="N88" s="34"/>
    </row>
    <row r="89" spans="2:35" s="22" customFormat="1" ht="92.25" customHeight="1" x14ac:dyDescent="0.2">
      <c r="B89" s="14"/>
      <c r="C89" s="14"/>
      <c r="D89" s="331" t="s">
        <v>160</v>
      </c>
      <c r="E89" s="331"/>
      <c r="F89" s="331"/>
      <c r="G89" s="331"/>
      <c r="H89" s="331"/>
      <c r="I89" s="331"/>
      <c r="J89" s="331"/>
      <c r="K89" s="331"/>
      <c r="L89" s="331"/>
      <c r="M89" s="36"/>
      <c r="N89" s="84">
        <f>25863967*1.2</f>
        <v>31036760.399999999</v>
      </c>
    </row>
    <row r="90" spans="2:35" s="22" customFormat="1" x14ac:dyDescent="0.2">
      <c r="B90" s="14"/>
      <c r="C90" s="14"/>
      <c r="D90" s="77" t="s">
        <v>24</v>
      </c>
      <c r="E90" s="16">
        <v>8</v>
      </c>
      <c r="F90" s="13" t="s">
        <v>88</v>
      </c>
      <c r="G90" s="13"/>
      <c r="H90" s="85">
        <v>750</v>
      </c>
      <c r="I90" s="13" t="s">
        <v>23</v>
      </c>
      <c r="J90" s="13"/>
      <c r="K90" s="85">
        <f>SUM(E90*H90)</f>
        <v>6000</v>
      </c>
      <c r="L90" s="13" t="s">
        <v>23</v>
      </c>
      <c r="M90" s="86">
        <v>0.68</v>
      </c>
      <c r="N90" s="83">
        <f t="shared" ref="N90:N93" si="6">SUM(E90*H90)/M90*274.69</f>
        <v>2423735.2941176468</v>
      </c>
    </row>
    <row r="91" spans="2:35" s="13" customFormat="1" x14ac:dyDescent="0.2">
      <c r="B91" s="14"/>
      <c r="C91" s="14"/>
      <c r="E91" s="16">
        <v>1</v>
      </c>
      <c r="F91" s="13" t="s">
        <v>90</v>
      </c>
      <c r="H91" s="85">
        <v>825</v>
      </c>
      <c r="I91" s="13" t="s">
        <v>23</v>
      </c>
      <c r="K91" s="85">
        <f>SUM(E91*H91)</f>
        <v>825</v>
      </c>
      <c r="L91" s="13" t="s">
        <v>23</v>
      </c>
      <c r="M91" s="86">
        <v>0.68</v>
      </c>
      <c r="N91" s="83">
        <f t="shared" si="6"/>
        <v>333263.60294117645</v>
      </c>
    </row>
    <row r="92" spans="2:35" s="13" customFormat="1" x14ac:dyDescent="0.2">
      <c r="B92" s="14"/>
      <c r="C92" s="14"/>
      <c r="E92" s="16">
        <v>4</v>
      </c>
      <c r="F92" s="13" t="s">
        <v>89</v>
      </c>
      <c r="H92" s="85">
        <v>375</v>
      </c>
      <c r="I92" s="13" t="s">
        <v>23</v>
      </c>
      <c r="K92" s="85">
        <f>SUM(E92*H92)</f>
        <v>1500</v>
      </c>
      <c r="L92" s="13" t="s">
        <v>23</v>
      </c>
      <c r="M92" s="86">
        <v>0.68</v>
      </c>
      <c r="N92" s="83">
        <f t="shared" si="6"/>
        <v>605933.82352941169</v>
      </c>
    </row>
    <row r="93" spans="2:35" s="13" customFormat="1" x14ac:dyDescent="0.2">
      <c r="B93" s="14"/>
      <c r="C93" s="14"/>
      <c r="E93" s="16">
        <v>3</v>
      </c>
      <c r="F93" s="13" t="s">
        <v>91</v>
      </c>
      <c r="H93" s="85">
        <v>1000</v>
      </c>
      <c r="I93" s="13" t="s">
        <v>23</v>
      </c>
      <c r="K93" s="85">
        <f>SUM(E93*H93)</f>
        <v>3000</v>
      </c>
      <c r="L93" s="13" t="s">
        <v>23</v>
      </c>
      <c r="M93" s="86">
        <v>0.68</v>
      </c>
      <c r="N93" s="83">
        <f t="shared" si="6"/>
        <v>1211867.6470588234</v>
      </c>
    </row>
    <row r="94" spans="2:35" ht="6" customHeight="1" x14ac:dyDescent="0.2">
      <c r="B94" s="41"/>
      <c r="C94" s="4"/>
      <c r="D94" s="5"/>
      <c r="E94" s="5"/>
      <c r="F94" s="5"/>
      <c r="G94" s="5"/>
      <c r="H94" s="27"/>
      <c r="I94" s="27"/>
      <c r="J94" s="27"/>
      <c r="K94" s="27"/>
      <c r="L94" s="27"/>
      <c r="M94" s="27"/>
      <c r="N94" s="33"/>
    </row>
    <row r="95" spans="2:35" x14ac:dyDescent="0.2">
      <c r="B95" s="14"/>
      <c r="C95" s="56" t="s">
        <v>2</v>
      </c>
      <c r="D95" s="46" t="s">
        <v>44</v>
      </c>
      <c r="E95" s="46"/>
      <c r="F95" s="46"/>
      <c r="G95" s="46"/>
      <c r="H95" s="57"/>
      <c r="I95" s="46"/>
      <c r="J95" s="46"/>
      <c r="K95" s="45">
        <v>70406</v>
      </c>
      <c r="L95" s="42" t="s">
        <v>23</v>
      </c>
      <c r="M95" s="46"/>
      <c r="N95" s="47"/>
    </row>
    <row r="96" spans="2:35" ht="39" customHeight="1" x14ac:dyDescent="0.2">
      <c r="B96" s="14"/>
      <c r="C96" s="56"/>
      <c r="D96" s="331" t="s">
        <v>180</v>
      </c>
      <c r="E96" s="331"/>
      <c r="F96" s="331"/>
      <c r="G96" s="331"/>
      <c r="H96" s="331"/>
      <c r="I96" s="331"/>
      <c r="J96" s="331"/>
      <c r="K96" s="331"/>
      <c r="L96" s="331"/>
      <c r="M96" s="46"/>
      <c r="N96" s="84">
        <f>2450773*1.2</f>
        <v>2940927.6</v>
      </c>
    </row>
    <row r="97" spans="2:14" x14ac:dyDescent="0.2">
      <c r="B97" s="14"/>
      <c r="C97" s="58"/>
      <c r="D97" s="42" t="s">
        <v>24</v>
      </c>
      <c r="E97" s="48">
        <v>1</v>
      </c>
      <c r="F97" s="42" t="s">
        <v>68</v>
      </c>
      <c r="G97" s="42"/>
      <c r="H97" s="43">
        <v>1600</v>
      </c>
      <c r="I97" s="42" t="s">
        <v>23</v>
      </c>
      <c r="J97" s="42"/>
      <c r="K97" s="37">
        <f t="shared" ref="K97:K98" si="7">SUM(E97*H97)</f>
        <v>1600</v>
      </c>
      <c r="L97" s="42" t="s">
        <v>23</v>
      </c>
      <c r="M97" s="59">
        <v>0.71</v>
      </c>
      <c r="N97" s="83">
        <f>SUM(E97*H97)/M97*265.78</f>
        <v>598940.84507042251</v>
      </c>
    </row>
    <row r="98" spans="2:14" ht="15" x14ac:dyDescent="0.25">
      <c r="B98" s="14"/>
      <c r="C98" s="60"/>
      <c r="D98" s="46"/>
      <c r="E98" s="49">
        <v>1</v>
      </c>
      <c r="F98" s="46" t="s">
        <v>95</v>
      </c>
      <c r="G98" s="46"/>
      <c r="H98" s="43">
        <v>300</v>
      </c>
      <c r="I98" s="42" t="s">
        <v>23</v>
      </c>
      <c r="J98" s="42"/>
      <c r="K98" s="37">
        <f t="shared" si="7"/>
        <v>300</v>
      </c>
      <c r="L98" s="42" t="s">
        <v>23</v>
      </c>
      <c r="M98" s="61">
        <v>0.71</v>
      </c>
      <c r="N98" s="83">
        <f t="shared" ref="N98:N100" si="8">SUM(E98*H98)/M98*265.78</f>
        <v>112301.40845070421</v>
      </c>
    </row>
    <row r="99" spans="2:14" s="70" customFormat="1" x14ac:dyDescent="0.2">
      <c r="B99" s="14"/>
      <c r="C99" s="154"/>
      <c r="D99" s="25"/>
      <c r="E99" s="253">
        <v>1</v>
      </c>
      <c r="F99" s="346" t="s">
        <v>92</v>
      </c>
      <c r="G99" s="346"/>
      <c r="H99" s="37">
        <v>900</v>
      </c>
      <c r="I99" s="25" t="s">
        <v>23</v>
      </c>
      <c r="J99" s="25"/>
      <c r="K99" s="37">
        <f>SUM(E99*H99)</f>
        <v>900</v>
      </c>
      <c r="L99" s="25" t="s">
        <v>23</v>
      </c>
      <c r="M99" s="86">
        <v>0.71</v>
      </c>
      <c r="N99" s="83">
        <f t="shared" si="8"/>
        <v>336904.22535211267</v>
      </c>
    </row>
    <row r="100" spans="2:14" s="70" customFormat="1" x14ac:dyDescent="0.2">
      <c r="B100" s="14"/>
      <c r="C100" s="14"/>
      <c r="D100" s="13"/>
      <c r="E100" s="16">
        <v>3</v>
      </c>
      <c r="F100" s="13" t="s">
        <v>94</v>
      </c>
      <c r="G100" s="13"/>
      <c r="H100" s="85">
        <v>1000</v>
      </c>
      <c r="I100" s="13" t="s">
        <v>23</v>
      </c>
      <c r="J100" s="13"/>
      <c r="K100" s="85">
        <f>SUM(E100*H100)</f>
        <v>3000</v>
      </c>
      <c r="L100" s="13" t="s">
        <v>23</v>
      </c>
      <c r="M100" s="86">
        <v>0.71</v>
      </c>
      <c r="N100" s="83">
        <f t="shared" si="8"/>
        <v>1123014.0845070423</v>
      </c>
    </row>
    <row r="101" spans="2:14" s="24" customFormat="1" x14ac:dyDescent="0.2">
      <c r="B101" s="14"/>
      <c r="C101" s="14"/>
      <c r="D101" s="92"/>
      <c r="E101" s="16">
        <v>4</v>
      </c>
      <c r="F101" s="13" t="s">
        <v>88</v>
      </c>
      <c r="G101" s="13"/>
      <c r="H101" s="85">
        <v>750</v>
      </c>
      <c r="I101" s="50" t="s">
        <v>23</v>
      </c>
      <c r="J101" s="149"/>
      <c r="K101" s="37">
        <f>SUM(E101*H101)</f>
        <v>3000</v>
      </c>
      <c r="L101" s="50" t="s">
        <v>23</v>
      </c>
      <c r="M101" s="36">
        <v>0.71</v>
      </c>
      <c r="N101" s="34">
        <f>SUM(E101*H101)/M101*265.78</f>
        <v>1123014.0845070423</v>
      </c>
    </row>
    <row r="102" spans="2:14" ht="17.45" customHeight="1" x14ac:dyDescent="0.2">
      <c r="B102" s="41"/>
      <c r="C102" s="4"/>
      <c r="D102" s="5"/>
      <c r="E102" s="5"/>
      <c r="F102" s="5"/>
      <c r="G102" s="5"/>
      <c r="H102" s="27"/>
      <c r="I102" s="27"/>
      <c r="J102" s="27"/>
      <c r="K102" s="254">
        <f>SUM(K97:K101)/0.71</f>
        <v>12394.366197183099</v>
      </c>
      <c r="L102" s="27"/>
      <c r="M102" s="27"/>
      <c r="N102" s="33"/>
    </row>
    <row r="103" spans="2:14" x14ac:dyDescent="0.2">
      <c r="B103" s="14"/>
      <c r="C103" s="56" t="s">
        <v>3</v>
      </c>
      <c r="D103" s="46" t="s">
        <v>66</v>
      </c>
      <c r="E103" s="62"/>
      <c r="F103" s="46"/>
      <c r="G103" s="46"/>
      <c r="H103" s="57"/>
      <c r="I103" s="46"/>
      <c r="J103" s="46"/>
      <c r="K103" s="45">
        <v>63141</v>
      </c>
      <c r="L103" s="42" t="s">
        <v>23</v>
      </c>
      <c r="M103" s="46"/>
      <c r="N103" s="47"/>
    </row>
    <row r="104" spans="2:14" ht="54" customHeight="1" x14ac:dyDescent="0.2">
      <c r="B104" s="14"/>
      <c r="C104" s="56"/>
      <c r="D104" s="331" t="s">
        <v>182</v>
      </c>
      <c r="E104" s="331"/>
      <c r="F104" s="331"/>
      <c r="G104" s="331"/>
      <c r="H104" s="331"/>
      <c r="I104" s="331"/>
      <c r="J104" s="331"/>
      <c r="K104" s="331"/>
      <c r="L104" s="331"/>
      <c r="M104" s="46"/>
      <c r="N104" s="84">
        <f>4420546*1.5</f>
        <v>6630819</v>
      </c>
    </row>
    <row r="105" spans="2:14" s="70" customFormat="1" ht="12.75" customHeight="1" x14ac:dyDescent="0.2">
      <c r="B105" s="14"/>
      <c r="C105" s="14"/>
      <c r="D105" s="46" t="s">
        <v>24</v>
      </c>
      <c r="E105" s="16">
        <v>1</v>
      </c>
      <c r="F105" s="13" t="s">
        <v>90</v>
      </c>
      <c r="G105" s="13"/>
      <c r="H105" s="85">
        <v>825</v>
      </c>
      <c r="I105" s="90" t="s">
        <v>23</v>
      </c>
      <c r="J105" s="90"/>
      <c r="K105" s="87">
        <f t="shared" ref="K105:K107" si="9">SUM(E105*H105)</f>
        <v>825</v>
      </c>
      <c r="L105" s="90" t="s">
        <v>23</v>
      </c>
      <c r="M105" s="91">
        <v>0.74</v>
      </c>
      <c r="N105" s="83">
        <f>SUM(E105*H105)/M105*262.7</f>
        <v>292874.99999999994</v>
      </c>
    </row>
    <row r="106" spans="2:14" s="70" customFormat="1" ht="12.75" customHeight="1" x14ac:dyDescent="0.2">
      <c r="B106" s="14"/>
      <c r="C106" s="14"/>
      <c r="D106" s="88"/>
      <c r="E106" s="16">
        <v>3</v>
      </c>
      <c r="F106" s="13" t="s">
        <v>93</v>
      </c>
      <c r="G106" s="13"/>
      <c r="H106" s="85">
        <v>375</v>
      </c>
      <c r="I106" s="90" t="s">
        <v>23</v>
      </c>
      <c r="J106" s="90"/>
      <c r="K106" s="87">
        <f t="shared" si="9"/>
        <v>1125</v>
      </c>
      <c r="L106" s="90" t="s">
        <v>23</v>
      </c>
      <c r="M106" s="91">
        <v>0.74</v>
      </c>
      <c r="N106" s="83">
        <f t="shared" ref="N106:N107" si="10">SUM(E106*H106)/M106*262.7</f>
        <v>399374.99999999994</v>
      </c>
    </row>
    <row r="107" spans="2:14" s="70" customFormat="1" ht="12.75" customHeight="1" x14ac:dyDescent="0.2">
      <c r="B107" s="14"/>
      <c r="C107" s="14"/>
      <c r="D107" s="88"/>
      <c r="E107" s="89">
        <v>1</v>
      </c>
      <c r="F107" s="90" t="s">
        <v>97</v>
      </c>
      <c r="G107" s="90"/>
      <c r="H107" s="87">
        <v>800</v>
      </c>
      <c r="I107" s="90" t="s">
        <v>23</v>
      </c>
      <c r="J107" s="90"/>
      <c r="K107" s="87">
        <f t="shared" si="9"/>
        <v>800</v>
      </c>
      <c r="L107" s="90" t="s">
        <v>23</v>
      </c>
      <c r="M107" s="91">
        <v>0.74</v>
      </c>
      <c r="N107" s="83">
        <f t="shared" si="10"/>
        <v>284000</v>
      </c>
    </row>
    <row r="108" spans="2:14" s="24" customFormat="1" x14ac:dyDescent="0.2">
      <c r="B108" s="14"/>
      <c r="C108" s="14"/>
      <c r="D108" s="92"/>
      <c r="E108" s="16">
        <v>4</v>
      </c>
      <c r="F108" s="13" t="s">
        <v>88</v>
      </c>
      <c r="G108" s="13"/>
      <c r="H108" s="85">
        <v>800</v>
      </c>
      <c r="I108" s="50" t="s">
        <v>23</v>
      </c>
      <c r="J108" s="145"/>
      <c r="K108" s="37">
        <f>SUM(E108*H108)</f>
        <v>3200</v>
      </c>
      <c r="L108" s="50" t="s">
        <v>23</v>
      </c>
      <c r="M108" s="36">
        <v>0.74</v>
      </c>
      <c r="N108" s="34">
        <f>SUM(E108*H108)/M108*262.7</f>
        <v>1136000</v>
      </c>
    </row>
    <row r="109" spans="2:14" ht="24.75" customHeight="1" x14ac:dyDescent="0.2">
      <c r="B109" s="41"/>
      <c r="C109" s="4"/>
      <c r="D109" s="5"/>
      <c r="E109" s="5"/>
      <c r="F109" s="5"/>
      <c r="G109" s="5"/>
      <c r="H109" s="27"/>
      <c r="I109" s="27"/>
      <c r="J109" s="27"/>
      <c r="K109" s="254">
        <f>SUM(K105:K108)/0.74</f>
        <v>8040.5405405405409</v>
      </c>
      <c r="L109" s="27"/>
      <c r="M109" s="27"/>
      <c r="N109" s="33"/>
    </row>
    <row r="110" spans="2:14" x14ac:dyDescent="0.2">
      <c r="B110" s="14"/>
      <c r="C110" s="56" t="s">
        <v>4</v>
      </c>
      <c r="D110" s="46" t="s">
        <v>81</v>
      </c>
      <c r="E110" s="46"/>
      <c r="F110" s="46"/>
      <c r="G110" s="46"/>
      <c r="H110" s="57"/>
      <c r="I110" s="46"/>
      <c r="J110" s="46"/>
      <c r="K110" s="45">
        <v>86607</v>
      </c>
      <c r="L110" s="42" t="s">
        <v>23</v>
      </c>
      <c r="M110" s="46"/>
      <c r="N110" s="47"/>
    </row>
    <row r="111" spans="2:14" ht="41.25" customHeight="1" x14ac:dyDescent="0.2">
      <c r="B111" s="14"/>
      <c r="C111" s="56"/>
      <c r="D111" s="331" t="s">
        <v>179</v>
      </c>
      <c r="E111" s="331"/>
      <c r="F111" s="331"/>
      <c r="G111" s="331"/>
      <c r="H111" s="331"/>
      <c r="I111" s="331"/>
      <c r="J111" s="331"/>
      <c r="K111" s="331"/>
      <c r="L111" s="331"/>
      <c r="M111" s="46"/>
      <c r="N111" s="84">
        <f>1836842*1.2</f>
        <v>2204210.4</v>
      </c>
    </row>
    <row r="112" spans="2:14" x14ac:dyDescent="0.2">
      <c r="B112" s="14"/>
      <c r="C112" s="58"/>
      <c r="D112" s="42" t="s">
        <v>24</v>
      </c>
      <c r="E112" s="48">
        <v>4</v>
      </c>
      <c r="F112" s="42" t="s">
        <v>70</v>
      </c>
      <c r="G112" s="42"/>
      <c r="H112" s="43">
        <v>375</v>
      </c>
      <c r="I112" s="42" t="s">
        <v>23</v>
      </c>
      <c r="J112" s="42"/>
      <c r="K112" s="85">
        <f t="shared" ref="K112:K113" si="11">SUM(E112*H112)</f>
        <v>1500</v>
      </c>
      <c r="L112" s="42" t="s">
        <v>23</v>
      </c>
      <c r="M112" s="59">
        <v>0.71</v>
      </c>
      <c r="N112" s="83">
        <f>SUM(E112*H112)/M112*265.78</f>
        <v>561507.04225352115</v>
      </c>
    </row>
    <row r="113" spans="2:14" ht="15" x14ac:dyDescent="0.25">
      <c r="B113" s="14"/>
      <c r="C113" s="60"/>
      <c r="D113" s="46"/>
      <c r="E113" s="49">
        <v>1</v>
      </c>
      <c r="F113" s="46" t="s">
        <v>95</v>
      </c>
      <c r="G113" s="46"/>
      <c r="H113" s="43">
        <v>300</v>
      </c>
      <c r="I113" s="42" t="s">
        <v>23</v>
      </c>
      <c r="J113" s="42"/>
      <c r="K113" s="85">
        <f t="shared" si="11"/>
        <v>300</v>
      </c>
      <c r="L113" s="42" t="s">
        <v>23</v>
      </c>
      <c r="M113" s="61">
        <v>0.71</v>
      </c>
      <c r="N113" s="83">
        <f t="shared" ref="N113:N115" si="12">SUM(E113*H113)/M113*265.78</f>
        <v>112301.40845070421</v>
      </c>
    </row>
    <row r="114" spans="2:14" s="70" customFormat="1" x14ac:dyDescent="0.2">
      <c r="B114" s="14"/>
      <c r="C114" s="14"/>
      <c r="D114" s="13"/>
      <c r="E114" s="16">
        <v>4</v>
      </c>
      <c r="F114" s="13" t="s">
        <v>88</v>
      </c>
      <c r="G114" s="13"/>
      <c r="H114" s="85">
        <v>750</v>
      </c>
      <c r="I114" s="13" t="s">
        <v>23</v>
      </c>
      <c r="J114" s="13"/>
      <c r="K114" s="85">
        <f>SUM(E114*H114)</f>
        <v>3000</v>
      </c>
      <c r="L114" s="13" t="s">
        <v>23</v>
      </c>
      <c r="M114" s="86">
        <v>0.71</v>
      </c>
      <c r="N114" s="83">
        <f t="shared" si="12"/>
        <v>1123014.0845070423</v>
      </c>
    </row>
    <row r="115" spans="2:14" s="70" customFormat="1" x14ac:dyDescent="0.2">
      <c r="B115" s="14"/>
      <c r="C115" s="14"/>
      <c r="D115" s="13"/>
      <c r="E115" s="16">
        <v>1</v>
      </c>
      <c r="F115" s="13" t="s">
        <v>92</v>
      </c>
      <c r="G115" s="13"/>
      <c r="H115" s="85">
        <v>900</v>
      </c>
      <c r="I115" s="13" t="s">
        <v>23</v>
      </c>
      <c r="J115" s="13"/>
      <c r="K115" s="85">
        <f>SUM(E115*H115)</f>
        <v>900</v>
      </c>
      <c r="L115" s="13" t="s">
        <v>23</v>
      </c>
      <c r="M115" s="86">
        <v>0.71</v>
      </c>
      <c r="N115" s="83">
        <f t="shared" si="12"/>
        <v>336904.22535211267</v>
      </c>
    </row>
    <row r="116" spans="2:14" s="24" customFormat="1" x14ac:dyDescent="0.2">
      <c r="B116" s="14"/>
      <c r="C116" s="14"/>
      <c r="D116" s="92"/>
      <c r="E116" s="16">
        <v>4</v>
      </c>
      <c r="F116" s="13" t="s">
        <v>88</v>
      </c>
      <c r="G116" s="13"/>
      <c r="H116" s="85">
        <v>750</v>
      </c>
      <c r="I116" s="50" t="s">
        <v>23</v>
      </c>
      <c r="J116" s="145"/>
      <c r="K116" s="37">
        <f>SUM(E116*H116)</f>
        <v>3000</v>
      </c>
      <c r="L116" s="50" t="s">
        <v>23</v>
      </c>
      <c r="M116" s="36">
        <v>0.71</v>
      </c>
      <c r="N116" s="34">
        <f>SUM(E116*H116)/M116*265.78</f>
        <v>1123014.0845070423</v>
      </c>
    </row>
    <row r="117" spans="2:14" ht="17.45" customHeight="1" x14ac:dyDescent="0.2">
      <c r="B117" s="41"/>
      <c r="C117" s="4"/>
      <c r="D117" s="5"/>
      <c r="E117" s="5"/>
      <c r="F117" s="5"/>
      <c r="G117" s="5"/>
      <c r="H117" s="27"/>
      <c r="I117" s="27"/>
      <c r="J117" s="27"/>
      <c r="K117" s="254">
        <f>SUM(K112:K116)/0.71</f>
        <v>12253.521126760565</v>
      </c>
      <c r="L117" s="27"/>
      <c r="M117" s="27"/>
      <c r="N117" s="33"/>
    </row>
    <row r="118" spans="2:14" x14ac:dyDescent="0.2">
      <c r="B118" s="14"/>
      <c r="C118" s="56" t="s">
        <v>86</v>
      </c>
      <c r="D118" s="46" t="s">
        <v>82</v>
      </c>
      <c r="E118" s="46"/>
      <c r="F118" s="46"/>
      <c r="G118" s="46"/>
      <c r="H118" s="57"/>
      <c r="I118" s="46"/>
      <c r="J118" s="46"/>
      <c r="K118" s="45">
        <v>51254</v>
      </c>
      <c r="L118" s="42" t="s">
        <v>23</v>
      </c>
      <c r="M118" s="46"/>
      <c r="N118" s="47"/>
    </row>
    <row r="119" spans="2:14" ht="54" customHeight="1" x14ac:dyDescent="0.2">
      <c r="B119" s="14"/>
      <c r="C119" s="56"/>
      <c r="D119" s="331" t="s">
        <v>181</v>
      </c>
      <c r="E119" s="331"/>
      <c r="F119" s="331"/>
      <c r="G119" s="331"/>
      <c r="H119" s="331"/>
      <c r="I119" s="331"/>
      <c r="J119" s="331"/>
      <c r="K119" s="331"/>
      <c r="L119" s="331"/>
      <c r="M119" s="46"/>
      <c r="N119" s="47">
        <f>3631852*1.2</f>
        <v>4358222.3999999994</v>
      </c>
    </row>
    <row r="120" spans="2:14" x14ac:dyDescent="0.2">
      <c r="B120" s="14"/>
      <c r="C120" s="56"/>
      <c r="D120" s="46" t="s">
        <v>24</v>
      </c>
      <c r="E120" s="49">
        <v>1</v>
      </c>
      <c r="F120" s="46" t="s">
        <v>83</v>
      </c>
      <c r="G120" s="46"/>
      <c r="H120" s="43">
        <v>1200</v>
      </c>
      <c r="I120" s="42" t="s">
        <v>23</v>
      </c>
      <c r="J120" s="42"/>
      <c r="K120" s="87">
        <f t="shared" ref="K120:K122" si="13">SUM(E120*H120)</f>
        <v>1200</v>
      </c>
      <c r="L120" s="42" t="s">
        <v>23</v>
      </c>
      <c r="M120" s="61">
        <v>0.74</v>
      </c>
      <c r="N120" s="83">
        <f>SUM(E120*H120)/M120*262.7</f>
        <v>426000</v>
      </c>
    </row>
    <row r="121" spans="2:14" x14ac:dyDescent="0.2">
      <c r="B121" s="14"/>
      <c r="C121" s="56"/>
      <c r="D121" s="46"/>
      <c r="E121" s="49">
        <v>1</v>
      </c>
      <c r="F121" s="46" t="s">
        <v>69</v>
      </c>
      <c r="G121" s="46"/>
      <c r="H121" s="43">
        <v>300</v>
      </c>
      <c r="I121" s="42" t="s">
        <v>23</v>
      </c>
      <c r="J121" s="42"/>
      <c r="K121" s="87">
        <f t="shared" si="13"/>
        <v>300</v>
      </c>
      <c r="L121" s="42" t="s">
        <v>23</v>
      </c>
      <c r="M121" s="61">
        <v>0.74</v>
      </c>
      <c r="N121" s="83">
        <f t="shared" ref="N121:N122" si="14">SUM(E121*H121)/M121*262.7</f>
        <v>106500</v>
      </c>
    </row>
    <row r="122" spans="2:14" s="70" customFormat="1" ht="12.75" customHeight="1" x14ac:dyDescent="0.2">
      <c r="B122" s="14"/>
      <c r="C122" s="14"/>
      <c r="D122" s="88"/>
      <c r="E122" s="89">
        <v>6</v>
      </c>
      <c r="F122" s="46" t="s">
        <v>88</v>
      </c>
      <c r="G122" s="90"/>
      <c r="H122" s="87">
        <v>800</v>
      </c>
      <c r="I122" s="90" t="s">
        <v>23</v>
      </c>
      <c r="J122" s="90"/>
      <c r="K122" s="87">
        <f t="shared" si="13"/>
        <v>4800</v>
      </c>
      <c r="L122" s="90" t="s">
        <v>23</v>
      </c>
      <c r="M122" s="91">
        <v>0.74</v>
      </c>
      <c r="N122" s="83">
        <f t="shared" si="14"/>
        <v>1704000</v>
      </c>
    </row>
    <row r="123" spans="2:14" ht="19.899999999999999" customHeight="1" x14ac:dyDescent="0.2">
      <c r="B123" s="41"/>
      <c r="C123" s="4"/>
      <c r="D123" s="5"/>
      <c r="E123" s="5"/>
      <c r="F123" s="5"/>
      <c r="G123" s="5"/>
      <c r="H123" s="27"/>
      <c r="I123" s="27"/>
      <c r="J123" s="27"/>
      <c r="K123" s="254">
        <f>SUM(K120:K122)/0.74</f>
        <v>8513.5135135135133</v>
      </c>
      <c r="L123" s="27"/>
      <c r="M123" s="27"/>
      <c r="N123" s="33"/>
    </row>
    <row r="124" spans="2:14" x14ac:dyDescent="0.2">
      <c r="B124" s="14"/>
      <c r="C124" s="56" t="s">
        <v>80</v>
      </c>
      <c r="D124" s="46" t="s">
        <v>41</v>
      </c>
      <c r="E124" s="46"/>
      <c r="F124" s="46"/>
      <c r="G124" s="46"/>
      <c r="H124" s="57"/>
      <c r="I124" s="46"/>
      <c r="J124" s="46"/>
      <c r="K124" s="45">
        <v>198553</v>
      </c>
      <c r="L124" s="42" t="s">
        <v>23</v>
      </c>
      <c r="M124" s="46"/>
      <c r="N124" s="47"/>
    </row>
    <row r="125" spans="2:14" ht="30.75" customHeight="1" x14ac:dyDescent="0.2">
      <c r="B125" s="14"/>
      <c r="C125" s="56"/>
      <c r="D125" s="345" t="s">
        <v>85</v>
      </c>
      <c r="E125" s="345"/>
      <c r="F125" s="345"/>
      <c r="G125" s="345"/>
      <c r="H125" s="345"/>
      <c r="I125" s="345"/>
      <c r="J125" s="345"/>
      <c r="K125" s="345"/>
      <c r="L125" s="345"/>
      <c r="M125" s="46"/>
      <c r="N125" s="47">
        <f>3057950*1.2</f>
        <v>3669540</v>
      </c>
    </row>
    <row r="126" spans="2:14" s="24" customFormat="1" x14ac:dyDescent="0.2">
      <c r="B126" s="14"/>
      <c r="C126" s="14"/>
      <c r="D126" s="92" t="s">
        <v>24</v>
      </c>
      <c r="E126" s="16">
        <v>18</v>
      </c>
      <c r="F126" s="13" t="s">
        <v>88</v>
      </c>
      <c r="G126" s="13"/>
      <c r="H126" s="85">
        <v>750</v>
      </c>
      <c r="I126" s="50" t="s">
        <v>23</v>
      </c>
      <c r="J126" s="75"/>
      <c r="K126" s="37">
        <f>SUM(E126*H126)</f>
        <v>13500</v>
      </c>
      <c r="L126" s="50" t="s">
        <v>23</v>
      </c>
      <c r="M126" s="36">
        <v>0.68</v>
      </c>
      <c r="N126" s="34">
        <f>SUM(E126*H126)/M126*274.69</f>
        <v>5453404.4117647056</v>
      </c>
    </row>
    <row r="127" spans="2:14" s="70" customFormat="1" x14ac:dyDescent="0.2">
      <c r="B127" s="14"/>
      <c r="C127" s="14"/>
      <c r="D127" s="13"/>
      <c r="E127" s="16">
        <v>3</v>
      </c>
      <c r="F127" s="13" t="s">
        <v>89</v>
      </c>
      <c r="G127" s="13"/>
      <c r="H127" s="85">
        <v>375</v>
      </c>
      <c r="I127" s="13" t="s">
        <v>23</v>
      </c>
      <c r="J127" s="13"/>
      <c r="K127" s="85">
        <f>SUM(E127*H127)</f>
        <v>1125</v>
      </c>
      <c r="L127" s="13" t="s">
        <v>23</v>
      </c>
      <c r="M127" s="86">
        <v>0.68</v>
      </c>
      <c r="N127" s="34">
        <f t="shared" ref="N127:N128" si="15">SUM(E127*H127)/M127*274.69</f>
        <v>454450.3676470588</v>
      </c>
    </row>
    <row r="128" spans="2:14" s="70" customFormat="1" x14ac:dyDescent="0.2">
      <c r="B128" s="14"/>
      <c r="C128" s="14"/>
      <c r="D128" s="13"/>
      <c r="E128" s="16">
        <v>5</v>
      </c>
      <c r="F128" s="13" t="s">
        <v>91</v>
      </c>
      <c r="G128" s="13"/>
      <c r="H128" s="85">
        <v>1000</v>
      </c>
      <c r="I128" s="13" t="s">
        <v>23</v>
      </c>
      <c r="J128" s="13"/>
      <c r="K128" s="85">
        <f>SUM(E128*H128)</f>
        <v>5000</v>
      </c>
      <c r="L128" s="13" t="s">
        <v>23</v>
      </c>
      <c r="M128" s="86">
        <v>0.68</v>
      </c>
      <c r="N128" s="34">
        <f t="shared" si="15"/>
        <v>2019779.4117647056</v>
      </c>
    </row>
    <row r="129" spans="2:14" s="155" customFormat="1" ht="18.75" customHeight="1" x14ac:dyDescent="0.2">
      <c r="B129" s="157"/>
      <c r="C129" s="73"/>
      <c r="D129" s="27"/>
      <c r="E129" s="27"/>
      <c r="F129" s="27"/>
      <c r="G129" s="27"/>
      <c r="H129" s="27"/>
      <c r="I129" s="27"/>
      <c r="J129" s="27"/>
      <c r="K129" s="254">
        <f>SUM(K126:K128)/0.68</f>
        <v>28860.294117647056</v>
      </c>
      <c r="L129" s="27"/>
      <c r="M129" s="27"/>
      <c r="N129" s="33"/>
    </row>
    <row r="130" spans="2:14" x14ac:dyDescent="0.2">
      <c r="B130" s="14"/>
      <c r="C130" s="56" t="s">
        <v>126</v>
      </c>
      <c r="D130" s="46" t="s">
        <v>132</v>
      </c>
      <c r="E130" s="46"/>
      <c r="F130" s="46"/>
      <c r="G130" s="46"/>
      <c r="H130" s="352">
        <v>2005</v>
      </c>
      <c r="I130" s="352"/>
      <c r="J130" s="250"/>
      <c r="K130" s="251">
        <v>67036</v>
      </c>
      <c r="L130" s="252" t="s">
        <v>23</v>
      </c>
      <c r="M130" s="46"/>
      <c r="N130" s="47"/>
    </row>
    <row r="131" spans="2:14" ht="30.6" customHeight="1" x14ac:dyDescent="0.2">
      <c r="B131" s="14"/>
      <c r="C131" s="56"/>
      <c r="D131" s="331" t="s">
        <v>230</v>
      </c>
      <c r="E131" s="331"/>
      <c r="F131" s="331"/>
      <c r="G131" s="331"/>
      <c r="H131" s="331"/>
      <c r="I131" s="331"/>
      <c r="J131" s="331"/>
      <c r="K131" s="331"/>
      <c r="L131" s="331"/>
      <c r="M131" s="46"/>
      <c r="N131" s="84">
        <f>67036*100</f>
        <v>6703600</v>
      </c>
    </row>
    <row r="132" spans="2:14" s="24" customFormat="1" x14ac:dyDescent="0.2">
      <c r="B132" s="14"/>
      <c r="C132" s="14"/>
      <c r="D132" s="92" t="s">
        <v>24</v>
      </c>
      <c r="E132" s="16">
        <v>4</v>
      </c>
      <c r="F132" s="13" t="s">
        <v>88</v>
      </c>
      <c r="G132" s="13"/>
      <c r="H132" s="85">
        <v>800</v>
      </c>
      <c r="I132" s="50" t="s">
        <v>23</v>
      </c>
      <c r="J132" s="145"/>
      <c r="K132" s="37">
        <f>SUM(E132*H132)</f>
        <v>3200</v>
      </c>
      <c r="L132" s="50" t="s">
        <v>23</v>
      </c>
      <c r="M132" s="36">
        <v>0.74</v>
      </c>
      <c r="N132" s="34">
        <f>SUM(E132*H132)/M132*262.7</f>
        <v>1136000</v>
      </c>
    </row>
    <row r="133" spans="2:14" ht="6" customHeight="1" x14ac:dyDescent="0.2">
      <c r="B133" s="41"/>
      <c r="C133" s="4"/>
      <c r="D133" s="5"/>
      <c r="E133" s="5"/>
      <c r="F133" s="5"/>
      <c r="G133" s="5"/>
      <c r="H133" s="27"/>
      <c r="I133" s="27"/>
      <c r="J133" s="27"/>
      <c r="K133" s="27"/>
      <c r="L133" s="27"/>
      <c r="M133" s="27"/>
      <c r="N133" s="33"/>
    </row>
    <row r="134" spans="2:14" x14ac:dyDescent="0.2">
      <c r="B134" s="14"/>
      <c r="C134" s="56" t="s">
        <v>129</v>
      </c>
      <c r="D134" s="46" t="s">
        <v>134</v>
      </c>
      <c r="E134" s="46"/>
      <c r="F134" s="46"/>
      <c r="G134" s="46"/>
      <c r="H134" s="57"/>
      <c r="I134" s="46"/>
      <c r="J134" s="46"/>
      <c r="K134" s="45">
        <v>91300</v>
      </c>
      <c r="L134" s="42" t="s">
        <v>23</v>
      </c>
      <c r="M134" s="46"/>
      <c r="N134" s="47"/>
    </row>
    <row r="135" spans="2:14" ht="13.35" customHeight="1" x14ac:dyDescent="0.2">
      <c r="B135" s="14"/>
      <c r="C135" s="56"/>
      <c r="D135" s="353" t="s">
        <v>133</v>
      </c>
      <c r="E135" s="353"/>
      <c r="F135" s="353"/>
      <c r="G135" s="353"/>
      <c r="H135" s="353"/>
      <c r="I135" s="353"/>
      <c r="J135" s="353"/>
      <c r="K135" s="353"/>
      <c r="L135" s="353"/>
      <c r="M135" s="46"/>
      <c r="N135" s="47"/>
    </row>
    <row r="136" spans="2:14" s="24" customFormat="1" x14ac:dyDescent="0.2">
      <c r="B136" s="14"/>
      <c r="C136" s="14"/>
      <c r="D136" s="92" t="s">
        <v>24</v>
      </c>
      <c r="E136" s="16">
        <v>4</v>
      </c>
      <c r="F136" s="13" t="s">
        <v>88</v>
      </c>
      <c r="G136" s="13"/>
      <c r="H136" s="85">
        <v>800</v>
      </c>
      <c r="I136" s="50" t="s">
        <v>23</v>
      </c>
      <c r="J136" s="145"/>
      <c r="K136" s="37">
        <f>SUM(E136*H136)</f>
        <v>3200</v>
      </c>
      <c r="L136" s="50" t="s">
        <v>23</v>
      </c>
      <c r="M136" s="36">
        <v>0.74</v>
      </c>
      <c r="N136" s="34">
        <f>SUM(E136*H136)/M136*262.7</f>
        <v>1136000</v>
      </c>
    </row>
    <row r="137" spans="2:14" ht="6" customHeight="1" x14ac:dyDescent="0.2">
      <c r="B137" s="41"/>
      <c r="C137" s="4"/>
      <c r="D137" s="5"/>
      <c r="E137" s="5"/>
      <c r="F137" s="5"/>
      <c r="G137" s="5"/>
      <c r="H137" s="27"/>
      <c r="I137" s="27"/>
      <c r="J137" s="27"/>
      <c r="K137" s="27"/>
      <c r="L137" s="27"/>
      <c r="M137" s="27"/>
      <c r="N137" s="33"/>
    </row>
    <row r="138" spans="2:14" x14ac:dyDescent="0.2">
      <c r="B138" s="14"/>
      <c r="C138" s="56" t="s">
        <v>153</v>
      </c>
      <c r="D138" s="46" t="s">
        <v>135</v>
      </c>
      <c r="E138" s="46"/>
      <c r="F138" s="46"/>
      <c r="G138" s="46"/>
      <c r="H138" s="57"/>
      <c r="I138" s="46"/>
      <c r="J138" s="46"/>
      <c r="K138" s="45">
        <v>67036</v>
      </c>
      <c r="L138" s="42" t="s">
        <v>23</v>
      </c>
      <c r="M138" s="46"/>
      <c r="N138" s="47"/>
    </row>
    <row r="139" spans="2:14" ht="30.6" customHeight="1" x14ac:dyDescent="0.2">
      <c r="B139" s="14"/>
      <c r="C139" s="56"/>
      <c r="D139" s="331" t="s">
        <v>230</v>
      </c>
      <c r="E139" s="331"/>
      <c r="F139" s="331"/>
      <c r="G139" s="331"/>
      <c r="H139" s="331"/>
      <c r="I139" s="331"/>
      <c r="J139" s="331"/>
      <c r="K139" s="331"/>
      <c r="L139" s="331"/>
      <c r="M139" s="46"/>
      <c r="N139" s="84">
        <f>67036*100</f>
        <v>6703600</v>
      </c>
    </row>
    <row r="140" spans="2:14" s="24" customFormat="1" x14ac:dyDescent="0.2">
      <c r="B140" s="14"/>
      <c r="C140" s="14"/>
      <c r="D140" s="92" t="s">
        <v>24</v>
      </c>
      <c r="E140" s="16">
        <v>4</v>
      </c>
      <c r="F140" s="13" t="s">
        <v>88</v>
      </c>
      <c r="G140" s="13"/>
      <c r="H140" s="85">
        <v>800</v>
      </c>
      <c r="I140" s="50" t="s">
        <v>23</v>
      </c>
      <c r="J140" s="145"/>
      <c r="K140" s="37">
        <f>SUM(E140*H140)</f>
        <v>3200</v>
      </c>
      <c r="L140" s="50" t="s">
        <v>23</v>
      </c>
      <c r="M140" s="36">
        <v>0.74</v>
      </c>
      <c r="N140" s="34">
        <f>SUM(E140*H140)/M140*262.7</f>
        <v>1136000</v>
      </c>
    </row>
    <row r="141" spans="2:14" ht="6" customHeight="1" x14ac:dyDescent="0.2">
      <c r="B141" s="41"/>
      <c r="C141" s="4"/>
      <c r="D141" s="5"/>
      <c r="E141" s="5"/>
      <c r="F141" s="5"/>
      <c r="G141" s="5"/>
      <c r="H141" s="27"/>
      <c r="I141" s="27"/>
      <c r="J141" s="27"/>
      <c r="K141" s="27"/>
      <c r="L141" s="27"/>
      <c r="M141" s="27"/>
      <c r="N141" s="33"/>
    </row>
    <row r="142" spans="2:14" x14ac:dyDescent="0.2">
      <c r="B142" s="14"/>
      <c r="C142" s="56" t="s">
        <v>130</v>
      </c>
      <c r="D142" s="46" t="s">
        <v>136</v>
      </c>
      <c r="E142" s="46"/>
      <c r="F142" s="46"/>
      <c r="G142" s="46"/>
      <c r="H142" s="57"/>
      <c r="I142" s="46"/>
      <c r="J142" s="46"/>
      <c r="K142" s="45">
        <v>67036</v>
      </c>
      <c r="L142" s="42" t="s">
        <v>23</v>
      </c>
      <c r="M142" s="46"/>
      <c r="N142" s="47"/>
    </row>
    <row r="143" spans="2:14" ht="30.6" customHeight="1" x14ac:dyDescent="0.2">
      <c r="B143" s="14"/>
      <c r="C143" s="56"/>
      <c r="D143" s="331" t="s">
        <v>230</v>
      </c>
      <c r="E143" s="331"/>
      <c r="F143" s="331"/>
      <c r="G143" s="331"/>
      <c r="H143" s="331"/>
      <c r="I143" s="331"/>
      <c r="J143" s="331"/>
      <c r="K143" s="331"/>
      <c r="L143" s="331"/>
      <c r="M143" s="46"/>
      <c r="N143" s="84">
        <f>67036*100</f>
        <v>6703600</v>
      </c>
    </row>
    <row r="144" spans="2:14" s="24" customFormat="1" x14ac:dyDescent="0.2">
      <c r="B144" s="14"/>
      <c r="C144" s="14"/>
      <c r="D144" s="92" t="s">
        <v>24</v>
      </c>
      <c r="E144" s="16">
        <v>4</v>
      </c>
      <c r="F144" s="13" t="s">
        <v>88</v>
      </c>
      <c r="G144" s="13"/>
      <c r="H144" s="85">
        <v>800</v>
      </c>
      <c r="I144" s="50" t="s">
        <v>23</v>
      </c>
      <c r="J144" s="145"/>
      <c r="K144" s="37">
        <f>SUM(E144*H144)</f>
        <v>3200</v>
      </c>
      <c r="L144" s="50" t="s">
        <v>23</v>
      </c>
      <c r="M144" s="36">
        <v>0.74</v>
      </c>
      <c r="N144" s="34">
        <f>SUM(E144*H144)/M144*262.7</f>
        <v>1136000</v>
      </c>
    </row>
    <row r="145" spans="2:14" ht="6" customHeight="1" x14ac:dyDescent="0.2">
      <c r="B145" s="41"/>
      <c r="C145" s="4"/>
      <c r="D145" s="5"/>
      <c r="E145" s="5"/>
      <c r="F145" s="5"/>
      <c r="G145" s="5"/>
      <c r="H145" s="27"/>
      <c r="I145" s="27"/>
      <c r="J145" s="27"/>
      <c r="K145" s="27"/>
      <c r="L145" s="27"/>
      <c r="M145" s="27"/>
      <c r="N145" s="33"/>
    </row>
    <row r="146" spans="2:14" x14ac:dyDescent="0.2">
      <c r="B146" s="14"/>
      <c r="C146" s="56" t="s">
        <v>131</v>
      </c>
      <c r="D146" s="46" t="s">
        <v>137</v>
      </c>
      <c r="E146" s="46"/>
      <c r="F146" s="46"/>
      <c r="G146" s="46"/>
      <c r="H146" s="57"/>
      <c r="I146" s="46"/>
      <c r="J146" s="46"/>
      <c r="K146" s="45">
        <v>77597</v>
      </c>
      <c r="L146" s="42" t="s">
        <v>23</v>
      </c>
      <c r="M146" s="46"/>
      <c r="N146" s="47"/>
    </row>
    <row r="147" spans="2:14" ht="13.35" customHeight="1" x14ac:dyDescent="0.2">
      <c r="B147" s="14"/>
      <c r="C147" s="56"/>
      <c r="D147" s="353" t="s">
        <v>133</v>
      </c>
      <c r="E147" s="353"/>
      <c r="F147" s="353"/>
      <c r="G147" s="353"/>
      <c r="H147" s="353"/>
      <c r="I147" s="353"/>
      <c r="J147" s="353"/>
      <c r="K147" s="353"/>
      <c r="L147" s="353"/>
      <c r="M147" s="46"/>
      <c r="N147" s="47"/>
    </row>
    <row r="148" spans="2:14" s="24" customFormat="1" x14ac:dyDescent="0.2">
      <c r="B148" s="14"/>
      <c r="C148" s="14"/>
      <c r="D148" s="92" t="s">
        <v>24</v>
      </c>
      <c r="E148" s="16">
        <v>4</v>
      </c>
      <c r="F148" s="13" t="s">
        <v>88</v>
      </c>
      <c r="G148" s="13"/>
      <c r="H148" s="85">
        <v>800</v>
      </c>
      <c r="I148" s="50" t="s">
        <v>23</v>
      </c>
      <c r="J148" s="145"/>
      <c r="K148" s="37">
        <f>SUM(E148*H148)</f>
        <v>3200</v>
      </c>
      <c r="L148" s="50" t="s">
        <v>23</v>
      </c>
      <c r="M148" s="36">
        <v>0.74</v>
      </c>
      <c r="N148" s="34">
        <f>SUM(E148*H148)/M148*262.7</f>
        <v>1136000</v>
      </c>
    </row>
    <row r="149" spans="2:14" ht="6" customHeight="1" x14ac:dyDescent="0.2">
      <c r="B149" s="41"/>
      <c r="C149" s="4"/>
      <c r="D149" s="5"/>
      <c r="E149" s="5"/>
      <c r="F149" s="5"/>
      <c r="G149" s="5"/>
      <c r="H149" s="27"/>
      <c r="I149" s="27"/>
      <c r="J149" s="27"/>
      <c r="K149" s="27"/>
      <c r="L149" s="27"/>
      <c r="M149" s="27"/>
      <c r="N149" s="33"/>
    </row>
    <row r="150" spans="2:14" x14ac:dyDescent="0.2">
      <c r="B150" s="14"/>
      <c r="C150" s="56" t="s">
        <v>138</v>
      </c>
      <c r="D150" s="46" t="s">
        <v>144</v>
      </c>
      <c r="E150" s="46"/>
      <c r="F150" s="46"/>
      <c r="G150" s="46"/>
      <c r="H150" s="57"/>
      <c r="I150" s="46"/>
      <c r="J150" s="46"/>
      <c r="K150" s="45">
        <v>78947</v>
      </c>
      <c r="L150" s="42" t="s">
        <v>23</v>
      </c>
      <c r="M150" s="46"/>
      <c r="N150" s="47"/>
    </row>
    <row r="151" spans="2:14" s="24" customFormat="1" x14ac:dyDescent="0.2">
      <c r="B151" s="14"/>
      <c r="C151" s="14"/>
      <c r="D151" s="92" t="s">
        <v>24</v>
      </c>
      <c r="E151" s="16">
        <v>4</v>
      </c>
      <c r="F151" s="13" t="s">
        <v>88</v>
      </c>
      <c r="G151" s="13"/>
      <c r="H151" s="85">
        <v>800</v>
      </c>
      <c r="I151" s="50" t="s">
        <v>23</v>
      </c>
      <c r="J151" s="145"/>
      <c r="K151" s="37">
        <f>SUM(E151*H151)</f>
        <v>3200</v>
      </c>
      <c r="L151" s="50" t="s">
        <v>23</v>
      </c>
      <c r="M151" s="36">
        <v>0.74</v>
      </c>
      <c r="N151" s="34">
        <f>SUM(E151*H151)/M151*262.7</f>
        <v>1136000</v>
      </c>
    </row>
    <row r="152" spans="2:14" ht="6" customHeight="1" x14ac:dyDescent="0.2">
      <c r="B152" s="41"/>
      <c r="C152" s="4"/>
      <c r="D152" s="5"/>
      <c r="E152" s="5"/>
      <c r="F152" s="5"/>
      <c r="G152" s="5"/>
      <c r="H152" s="27"/>
      <c r="I152" s="27"/>
      <c r="J152" s="27"/>
      <c r="K152" s="27"/>
      <c r="L152" s="27"/>
      <c r="M152" s="27"/>
      <c r="N152" s="33"/>
    </row>
    <row r="153" spans="2:14" x14ac:dyDescent="0.2">
      <c r="B153" s="14"/>
      <c r="C153" s="56" t="s">
        <v>139</v>
      </c>
      <c r="D153" s="46" t="s">
        <v>145</v>
      </c>
      <c r="E153" s="46"/>
      <c r="F153" s="46"/>
      <c r="G153" s="46"/>
      <c r="H153" s="57"/>
      <c r="I153" s="46"/>
      <c r="J153" s="46"/>
      <c r="K153" s="45">
        <v>85978</v>
      </c>
      <c r="L153" s="42" t="s">
        <v>23</v>
      </c>
      <c r="M153" s="46"/>
      <c r="N153" s="47"/>
    </row>
    <row r="154" spans="2:14" ht="13.35" customHeight="1" x14ac:dyDescent="0.2">
      <c r="B154" s="14"/>
      <c r="C154" s="56"/>
      <c r="D154" s="353" t="s">
        <v>133</v>
      </c>
      <c r="E154" s="353"/>
      <c r="F154" s="353"/>
      <c r="G154" s="353"/>
      <c r="H154" s="353"/>
      <c r="I154" s="353"/>
      <c r="J154" s="353"/>
      <c r="K154" s="353"/>
      <c r="L154" s="353"/>
      <c r="M154" s="46"/>
      <c r="N154" s="47"/>
    </row>
    <row r="155" spans="2:14" s="24" customFormat="1" x14ac:dyDescent="0.2">
      <c r="B155" s="14"/>
      <c r="C155" s="14"/>
      <c r="D155" s="92" t="s">
        <v>24</v>
      </c>
      <c r="E155" s="16">
        <v>4</v>
      </c>
      <c r="F155" s="13" t="s">
        <v>88</v>
      </c>
      <c r="G155" s="13"/>
      <c r="H155" s="85">
        <v>800</v>
      </c>
      <c r="I155" s="50" t="s">
        <v>23</v>
      </c>
      <c r="J155" s="145"/>
      <c r="K155" s="37">
        <f>SUM(E155*H155)</f>
        <v>3200</v>
      </c>
      <c r="L155" s="50" t="s">
        <v>23</v>
      </c>
      <c r="M155" s="36">
        <v>0.74</v>
      </c>
      <c r="N155" s="34">
        <f>SUM(E155*H155)/M155*262.7</f>
        <v>1136000</v>
      </c>
    </row>
    <row r="156" spans="2:14" ht="6" customHeight="1" x14ac:dyDescent="0.2">
      <c r="B156" s="41"/>
      <c r="C156" s="4"/>
      <c r="D156" s="5"/>
      <c r="E156" s="5"/>
      <c r="F156" s="5"/>
      <c r="G156" s="5"/>
      <c r="H156" s="27"/>
      <c r="I156" s="27"/>
      <c r="J156" s="27"/>
      <c r="K156" s="27"/>
      <c r="L156" s="27"/>
      <c r="M156" s="27"/>
      <c r="N156" s="33"/>
    </row>
    <row r="157" spans="2:14" x14ac:dyDescent="0.2">
      <c r="B157" s="14"/>
      <c r="C157" s="56" t="s">
        <v>140</v>
      </c>
      <c r="D157" s="46" t="s">
        <v>146</v>
      </c>
      <c r="E157" s="46"/>
      <c r="F157" s="46"/>
      <c r="G157" s="46"/>
      <c r="H157" s="57"/>
      <c r="I157" s="46"/>
      <c r="J157" s="46"/>
      <c r="K157" s="45">
        <v>55386</v>
      </c>
      <c r="L157" s="42" t="s">
        <v>23</v>
      </c>
      <c r="M157" s="46"/>
      <c r="N157" s="47"/>
    </row>
    <row r="158" spans="2:14" ht="30.6" customHeight="1" x14ac:dyDescent="0.2">
      <c r="B158" s="14"/>
      <c r="C158" s="56"/>
      <c r="D158" s="331" t="s">
        <v>230</v>
      </c>
      <c r="E158" s="331"/>
      <c r="F158" s="331"/>
      <c r="G158" s="331"/>
      <c r="H158" s="331"/>
      <c r="I158" s="331"/>
      <c r="J158" s="331"/>
      <c r="K158" s="331"/>
      <c r="L158" s="331"/>
      <c r="M158" s="46"/>
      <c r="N158" s="84">
        <f>56128*100</f>
        <v>5612800</v>
      </c>
    </row>
    <row r="159" spans="2:14" x14ac:dyDescent="0.2">
      <c r="B159" s="14"/>
      <c r="C159" s="56"/>
      <c r="D159" s="353" t="s">
        <v>133</v>
      </c>
      <c r="E159" s="353"/>
      <c r="F159" s="353"/>
      <c r="G159" s="353"/>
      <c r="H159" s="353"/>
      <c r="I159" s="353"/>
      <c r="J159" s="353"/>
      <c r="K159" s="353"/>
      <c r="L159" s="353"/>
      <c r="M159" s="46"/>
      <c r="N159" s="47"/>
    </row>
    <row r="160" spans="2:14" s="24" customFormat="1" x14ac:dyDescent="0.2">
      <c r="B160" s="14"/>
      <c r="C160" s="14"/>
      <c r="D160" s="92" t="s">
        <v>24</v>
      </c>
      <c r="E160" s="16">
        <v>4</v>
      </c>
      <c r="F160" s="13" t="s">
        <v>88</v>
      </c>
      <c r="G160" s="13"/>
      <c r="H160" s="85">
        <v>800</v>
      </c>
      <c r="I160" s="50" t="s">
        <v>23</v>
      </c>
      <c r="J160" s="145"/>
      <c r="K160" s="37">
        <f>SUM(E160*H160)</f>
        <v>3200</v>
      </c>
      <c r="L160" s="50" t="s">
        <v>23</v>
      </c>
      <c r="M160" s="36">
        <v>0.74</v>
      </c>
      <c r="N160" s="34">
        <f>SUM(E160*H160)/M160*262.7</f>
        <v>1136000</v>
      </c>
    </row>
    <row r="161" spans="2:14" ht="6" customHeight="1" x14ac:dyDescent="0.2">
      <c r="B161" s="41"/>
      <c r="C161" s="4"/>
      <c r="D161" s="5"/>
      <c r="E161" s="5"/>
      <c r="F161" s="5"/>
      <c r="G161" s="5"/>
      <c r="H161" s="27"/>
      <c r="I161" s="27"/>
      <c r="J161" s="27"/>
      <c r="K161" s="27"/>
      <c r="L161" s="27"/>
      <c r="M161" s="27"/>
      <c r="N161" s="33"/>
    </row>
    <row r="162" spans="2:14" x14ac:dyDescent="0.2">
      <c r="B162" s="14"/>
      <c r="C162" s="56" t="s">
        <v>141</v>
      </c>
      <c r="D162" s="46" t="s">
        <v>47</v>
      </c>
      <c r="E162" s="46"/>
      <c r="F162" s="46"/>
      <c r="G162" s="46"/>
      <c r="H162" s="57"/>
      <c r="I162" s="46"/>
      <c r="J162" s="46"/>
      <c r="K162" s="45">
        <v>73400</v>
      </c>
      <c r="L162" s="42" t="s">
        <v>23</v>
      </c>
      <c r="M162" s="46"/>
      <c r="N162" s="47"/>
    </row>
    <row r="163" spans="2:14" ht="30.6" customHeight="1" x14ac:dyDescent="0.2">
      <c r="B163" s="14"/>
      <c r="C163" s="56"/>
      <c r="D163" s="331" t="s">
        <v>230</v>
      </c>
      <c r="E163" s="331"/>
      <c r="F163" s="331"/>
      <c r="G163" s="331"/>
      <c r="H163" s="331"/>
      <c r="I163" s="331"/>
      <c r="J163" s="331"/>
      <c r="K163" s="331"/>
      <c r="L163" s="331"/>
      <c r="M163" s="46"/>
      <c r="N163" s="84">
        <f>102924*100</f>
        <v>10292400</v>
      </c>
    </row>
    <row r="164" spans="2:14" x14ac:dyDescent="0.2">
      <c r="B164" s="14"/>
      <c r="C164" s="56"/>
      <c r="D164" s="353" t="s">
        <v>133</v>
      </c>
      <c r="E164" s="353"/>
      <c r="F164" s="353"/>
      <c r="G164" s="353"/>
      <c r="H164" s="353"/>
      <c r="I164" s="353"/>
      <c r="J164" s="353"/>
      <c r="K164" s="353"/>
      <c r="L164" s="353"/>
      <c r="M164" s="46"/>
      <c r="N164" s="47"/>
    </row>
    <row r="165" spans="2:14" s="24" customFormat="1" x14ac:dyDescent="0.2">
      <c r="B165" s="14"/>
      <c r="C165" s="14"/>
      <c r="D165" s="92" t="s">
        <v>24</v>
      </c>
      <c r="E165" s="16">
        <v>4</v>
      </c>
      <c r="F165" s="13" t="s">
        <v>88</v>
      </c>
      <c r="G165" s="13"/>
      <c r="H165" s="85">
        <v>750</v>
      </c>
      <c r="I165" s="50" t="s">
        <v>23</v>
      </c>
      <c r="J165" s="145"/>
      <c r="K165" s="37">
        <f>SUM(E165*H165)</f>
        <v>3000</v>
      </c>
      <c r="L165" s="50" t="s">
        <v>23</v>
      </c>
      <c r="M165" s="36">
        <v>0.71</v>
      </c>
      <c r="N165" s="34">
        <f>SUM(E165*H165)/M165*265.78</f>
        <v>1123014.0845070423</v>
      </c>
    </row>
    <row r="166" spans="2:14" ht="6" customHeight="1" x14ac:dyDescent="0.2">
      <c r="B166" s="41"/>
      <c r="C166" s="4"/>
      <c r="D166" s="5"/>
      <c r="E166" s="5"/>
      <c r="F166" s="5"/>
      <c r="G166" s="5"/>
      <c r="H166" s="27"/>
      <c r="I166" s="27"/>
      <c r="J166" s="27"/>
      <c r="K166" s="27"/>
      <c r="L166" s="27"/>
      <c r="M166" s="27"/>
      <c r="N166" s="33"/>
    </row>
    <row r="167" spans="2:14" x14ac:dyDescent="0.2">
      <c r="B167" s="14"/>
      <c r="C167" s="56" t="s">
        <v>142</v>
      </c>
      <c r="D167" s="46" t="s">
        <v>42</v>
      </c>
      <c r="E167" s="46"/>
      <c r="F167" s="46"/>
      <c r="G167" s="46"/>
      <c r="H167" s="57"/>
      <c r="I167" s="46"/>
      <c r="J167" s="46"/>
      <c r="K167" s="45"/>
      <c r="L167" s="42"/>
      <c r="M167" s="46"/>
      <c r="N167" s="47"/>
    </row>
    <row r="168" spans="2:14" ht="30.6" customHeight="1" x14ac:dyDescent="0.2">
      <c r="B168" s="14"/>
      <c r="C168" s="56"/>
      <c r="D168" s="331" t="s">
        <v>230</v>
      </c>
      <c r="E168" s="331"/>
      <c r="F168" s="331"/>
      <c r="G168" s="331"/>
      <c r="H168" s="331"/>
      <c r="I168" s="331"/>
      <c r="J168" s="331"/>
      <c r="K168" s="331"/>
      <c r="L168" s="331"/>
      <c r="M168" s="46"/>
      <c r="N168" s="84">
        <f>230000*100</f>
        <v>23000000</v>
      </c>
    </row>
    <row r="169" spans="2:14" s="24" customFormat="1" x14ac:dyDescent="0.2">
      <c r="B169" s="14"/>
      <c r="C169" s="14"/>
      <c r="D169" s="92" t="s">
        <v>24</v>
      </c>
      <c r="E169" s="16">
        <v>4</v>
      </c>
      <c r="F169" s="13" t="s">
        <v>88</v>
      </c>
      <c r="G169" s="13"/>
      <c r="H169" s="85">
        <v>750</v>
      </c>
      <c r="I169" s="50" t="s">
        <v>23</v>
      </c>
      <c r="J169" s="145"/>
      <c r="K169" s="37">
        <f>SUM(E169*H169)</f>
        <v>3000</v>
      </c>
      <c r="L169" s="50" t="s">
        <v>23</v>
      </c>
      <c r="M169" s="36">
        <v>0.68</v>
      </c>
      <c r="N169" s="34">
        <f>SUM(E169*H169)/M169*274.69</f>
        <v>1211867.6470588234</v>
      </c>
    </row>
    <row r="170" spans="2:14" s="24" customFormat="1" ht="5.25" customHeight="1" x14ac:dyDescent="0.2">
      <c r="B170" s="14"/>
      <c r="C170" s="14"/>
      <c r="D170" s="77"/>
      <c r="E170" s="78"/>
      <c r="F170" s="78"/>
      <c r="G170" s="78"/>
      <c r="H170" s="35"/>
      <c r="I170" s="35"/>
      <c r="J170" s="35"/>
      <c r="K170" s="35"/>
      <c r="L170" s="35"/>
      <c r="M170" s="36"/>
      <c r="N170" s="34"/>
    </row>
    <row r="171" spans="2:14" ht="14.25" x14ac:dyDescent="0.2">
      <c r="B171" s="8" t="s">
        <v>27</v>
      </c>
      <c r="C171" s="9"/>
      <c r="D171" s="10"/>
      <c r="E171" s="10"/>
      <c r="F171" s="10"/>
      <c r="G171" s="10"/>
      <c r="H171" s="31"/>
      <c r="I171" s="31"/>
      <c r="J171" s="31"/>
      <c r="K171" s="31"/>
      <c r="L171" s="31"/>
      <c r="M171" s="31"/>
      <c r="N171" s="32"/>
    </row>
    <row r="172" spans="2:14" ht="5.25" customHeight="1" x14ac:dyDescent="0.2">
      <c r="B172" s="7"/>
      <c r="C172" s="7"/>
      <c r="D172" s="5"/>
      <c r="E172" s="5"/>
      <c r="F172" s="5"/>
      <c r="G172" s="5"/>
      <c r="H172" s="27"/>
      <c r="I172" s="27"/>
      <c r="J172" s="27"/>
      <c r="K172" s="27"/>
      <c r="L172" s="27"/>
      <c r="M172" s="27"/>
      <c r="N172" s="33"/>
    </row>
    <row r="173" spans="2:14" x14ac:dyDescent="0.2">
      <c r="B173" s="11" t="s">
        <v>3</v>
      </c>
      <c r="C173" s="17" t="s">
        <v>30</v>
      </c>
      <c r="D173" s="13"/>
      <c r="E173" s="13"/>
      <c r="F173" s="13"/>
      <c r="G173" s="13"/>
      <c r="H173" s="25"/>
      <c r="I173" s="25"/>
      <c r="J173" s="25"/>
      <c r="K173" s="25"/>
      <c r="L173" s="25"/>
      <c r="M173" s="25"/>
      <c r="N173" s="34"/>
    </row>
    <row r="174" spans="2:14" ht="6" customHeight="1" x14ac:dyDescent="0.2">
      <c r="B174" s="41"/>
      <c r="C174" s="4"/>
      <c r="D174" s="5"/>
      <c r="E174" s="5"/>
      <c r="F174" s="5"/>
      <c r="G174" s="5"/>
      <c r="H174" s="27"/>
      <c r="I174" s="27"/>
      <c r="J174" s="27"/>
      <c r="K174" s="27"/>
      <c r="L174" s="27"/>
      <c r="M174" s="27"/>
      <c r="N174" s="33"/>
    </row>
    <row r="175" spans="2:14" x14ac:dyDescent="0.2">
      <c r="B175" s="14"/>
      <c r="C175" s="114" t="s">
        <v>0</v>
      </c>
      <c r="D175" s="115" t="s">
        <v>155</v>
      </c>
      <c r="E175" s="115"/>
      <c r="F175" s="115"/>
      <c r="G175" s="115"/>
      <c r="H175" s="115"/>
      <c r="I175" s="115"/>
      <c r="J175" s="115"/>
      <c r="K175" s="116">
        <v>15000</v>
      </c>
      <c r="L175" s="115" t="s">
        <v>23</v>
      </c>
      <c r="M175" s="117"/>
      <c r="N175" s="123"/>
    </row>
    <row r="176" spans="2:14" x14ac:dyDescent="0.2">
      <c r="B176" s="14"/>
      <c r="C176" s="129"/>
      <c r="D176" s="342" t="s">
        <v>156</v>
      </c>
      <c r="E176" s="342"/>
      <c r="F176" s="342"/>
      <c r="G176" s="342"/>
      <c r="H176" s="342"/>
      <c r="I176" s="342"/>
      <c r="J176" s="342"/>
      <c r="K176" s="342"/>
      <c r="L176" s="342"/>
      <c r="M176" s="130"/>
      <c r="N176" s="124">
        <f>K175*222.39</f>
        <v>3335850</v>
      </c>
    </row>
    <row r="177" spans="2:14" ht="6" customHeight="1" x14ac:dyDescent="0.2">
      <c r="B177" s="14"/>
      <c r="C177" s="129"/>
      <c r="D177" s="156"/>
      <c r="E177" s="156"/>
      <c r="F177" s="156"/>
      <c r="G177" s="156"/>
      <c r="H177" s="156"/>
      <c r="I177" s="156"/>
      <c r="J177" s="156"/>
      <c r="K177" s="156"/>
      <c r="L177" s="156"/>
      <c r="M177" s="130"/>
      <c r="N177" s="124"/>
    </row>
    <row r="178" spans="2:14" x14ac:dyDescent="0.2">
      <c r="B178" s="14"/>
      <c r="C178" s="114" t="s">
        <v>1</v>
      </c>
      <c r="D178" s="115" t="s">
        <v>75</v>
      </c>
      <c r="E178" s="115"/>
      <c r="F178" s="115"/>
      <c r="G178" s="115"/>
      <c r="H178" s="115"/>
      <c r="I178" s="115"/>
      <c r="J178" s="115"/>
      <c r="K178" s="116">
        <v>38335</v>
      </c>
      <c r="L178" s="115" t="s">
        <v>23</v>
      </c>
      <c r="M178" s="117"/>
      <c r="N178" s="118"/>
    </row>
    <row r="179" spans="2:14" ht="15.75" customHeight="1" x14ac:dyDescent="0.2">
      <c r="B179" s="14"/>
      <c r="C179" s="114"/>
      <c r="D179" s="343" t="s">
        <v>101</v>
      </c>
      <c r="E179" s="343"/>
      <c r="F179" s="343"/>
      <c r="G179" s="343"/>
      <c r="H179" s="343"/>
      <c r="I179" s="343"/>
      <c r="J179" s="343"/>
      <c r="K179" s="343"/>
      <c r="L179" s="343"/>
      <c r="M179" s="119"/>
      <c r="N179" s="120">
        <f>1358207*1.2</f>
        <v>1629848.4</v>
      </c>
    </row>
    <row r="180" spans="2:14" ht="6" customHeight="1" x14ac:dyDescent="0.2">
      <c r="B180" s="41"/>
      <c r="C180" s="121"/>
      <c r="D180" s="122"/>
      <c r="E180" s="122"/>
      <c r="F180" s="122"/>
      <c r="G180" s="122"/>
      <c r="H180" s="103"/>
      <c r="I180" s="103"/>
      <c r="J180" s="103"/>
      <c r="K180" s="103"/>
      <c r="L180" s="103"/>
      <c r="M180" s="103"/>
      <c r="N180" s="110"/>
    </row>
    <row r="181" spans="2:14" s="95" customFormat="1" x14ac:dyDescent="0.2">
      <c r="B181" s="94"/>
      <c r="C181" s="114" t="s">
        <v>2</v>
      </c>
      <c r="D181" s="115" t="s">
        <v>262</v>
      </c>
      <c r="E181" s="115"/>
      <c r="F181" s="115"/>
      <c r="G181" s="115"/>
      <c r="H181" s="115"/>
      <c r="I181" s="115"/>
      <c r="J181" s="115"/>
      <c r="K181" s="116">
        <v>25583</v>
      </c>
      <c r="L181" s="115" t="s">
        <v>23</v>
      </c>
      <c r="M181" s="117"/>
      <c r="N181" s="123"/>
    </row>
    <row r="182" spans="2:14" s="95" customFormat="1" ht="27.75" customHeight="1" x14ac:dyDescent="0.2">
      <c r="B182" s="94"/>
      <c r="C182" s="107"/>
      <c r="D182" s="344" t="s">
        <v>79</v>
      </c>
      <c r="E182" s="344"/>
      <c r="F182" s="344"/>
      <c r="G182" s="344"/>
      <c r="H182" s="344"/>
      <c r="I182" s="344"/>
      <c r="J182" s="344"/>
      <c r="K182" s="344"/>
      <c r="L182" s="344"/>
      <c r="M182" s="107"/>
      <c r="N182" s="124">
        <f>1812808*1.2</f>
        <v>2175369.6</v>
      </c>
    </row>
    <row r="183" spans="2:14" s="95" customFormat="1" ht="5.25" customHeight="1" x14ac:dyDescent="0.2">
      <c r="B183" s="94"/>
      <c r="C183" s="125"/>
      <c r="D183" s="126"/>
      <c r="E183" s="126"/>
      <c r="F183" s="126"/>
      <c r="G183" s="126"/>
      <c r="H183" s="113"/>
      <c r="I183" s="113"/>
      <c r="J183" s="113"/>
      <c r="K183" s="113"/>
      <c r="L183" s="113"/>
      <c r="M183" s="113"/>
      <c r="N183" s="112"/>
    </row>
    <row r="184" spans="2:14" x14ac:dyDescent="0.2">
      <c r="B184" s="14"/>
      <c r="C184" s="114" t="s">
        <v>3</v>
      </c>
      <c r="D184" s="115" t="s">
        <v>260</v>
      </c>
      <c r="E184" s="115"/>
      <c r="F184" s="115"/>
      <c r="G184" s="115"/>
      <c r="H184" s="115"/>
      <c r="I184" s="115"/>
      <c r="J184" s="115"/>
      <c r="K184" s="116">
        <v>23800</v>
      </c>
      <c r="L184" s="115" t="s">
        <v>23</v>
      </c>
      <c r="M184" s="117"/>
      <c r="N184" s="123"/>
    </row>
    <row r="185" spans="2:14" ht="30" customHeight="1" x14ac:dyDescent="0.2">
      <c r="B185" s="14"/>
      <c r="C185" s="114"/>
      <c r="D185" s="342" t="s">
        <v>77</v>
      </c>
      <c r="E185" s="342"/>
      <c r="F185" s="342"/>
      <c r="G185" s="342"/>
      <c r="H185" s="342"/>
      <c r="I185" s="342"/>
      <c r="J185" s="342"/>
      <c r="K185" s="342"/>
      <c r="L185" s="342"/>
      <c r="M185" s="127"/>
      <c r="N185" s="128">
        <f>1264849*1.2</f>
        <v>1517818.8</v>
      </c>
    </row>
    <row r="186" spans="2:14" ht="6" customHeight="1" x14ac:dyDescent="0.2">
      <c r="B186" s="41"/>
      <c r="C186" s="121"/>
      <c r="D186" s="122"/>
      <c r="E186" s="122"/>
      <c r="F186" s="122"/>
      <c r="G186" s="122"/>
      <c r="H186" s="103"/>
      <c r="I186" s="103"/>
      <c r="J186" s="103"/>
      <c r="K186" s="103"/>
      <c r="L186" s="103"/>
      <c r="M186" s="103"/>
      <c r="N186" s="110"/>
    </row>
    <row r="187" spans="2:14" x14ac:dyDescent="0.2">
      <c r="B187" s="14"/>
      <c r="C187" s="114" t="s">
        <v>4</v>
      </c>
      <c r="D187" s="115" t="s">
        <v>161</v>
      </c>
      <c r="E187" s="115"/>
      <c r="F187" s="115"/>
      <c r="G187" s="115"/>
      <c r="H187" s="115"/>
      <c r="I187" s="115"/>
      <c r="J187" s="115"/>
      <c r="K187" s="116">
        <v>7395</v>
      </c>
      <c r="L187" s="115" t="s">
        <v>23</v>
      </c>
      <c r="M187" s="117"/>
      <c r="N187" s="123"/>
    </row>
    <row r="188" spans="2:14" ht="27" customHeight="1" x14ac:dyDescent="0.2">
      <c r="B188" s="14"/>
      <c r="C188" s="129"/>
      <c r="D188" s="342" t="s">
        <v>77</v>
      </c>
      <c r="E188" s="342"/>
      <c r="F188" s="342"/>
      <c r="G188" s="342"/>
      <c r="H188" s="342"/>
      <c r="I188" s="342"/>
      <c r="J188" s="342"/>
      <c r="K188" s="342"/>
      <c r="L188" s="342"/>
      <c r="M188" s="130"/>
      <c r="N188" s="124">
        <f>524009*1.2</f>
        <v>628810.79999999993</v>
      </c>
    </row>
    <row r="189" spans="2:14" ht="6" customHeight="1" x14ac:dyDescent="0.2">
      <c r="B189" s="41"/>
      <c r="C189" s="121"/>
      <c r="D189" s="122"/>
      <c r="E189" s="122"/>
      <c r="F189" s="122"/>
      <c r="G189" s="122"/>
      <c r="H189" s="103"/>
      <c r="I189" s="103"/>
      <c r="J189" s="103"/>
      <c r="K189" s="103"/>
      <c r="L189" s="103"/>
      <c r="M189" s="103"/>
      <c r="N189" s="110"/>
    </row>
    <row r="190" spans="2:14" x14ac:dyDescent="0.2">
      <c r="B190" s="14"/>
      <c r="C190" s="114" t="s">
        <v>86</v>
      </c>
      <c r="D190" s="115" t="s">
        <v>261</v>
      </c>
      <c r="E190" s="115"/>
      <c r="F190" s="115"/>
      <c r="G190" s="115"/>
      <c r="H190" s="115"/>
      <c r="I190" s="115"/>
      <c r="J190" s="115"/>
      <c r="K190" s="116">
        <v>50000</v>
      </c>
      <c r="L190" s="115" t="s">
        <v>23</v>
      </c>
      <c r="M190" s="117"/>
      <c r="N190" s="123"/>
    </row>
    <row r="191" spans="2:14" x14ac:dyDescent="0.2">
      <c r="B191" s="14"/>
      <c r="C191" s="129"/>
      <c r="D191" s="342" t="s">
        <v>163</v>
      </c>
      <c r="E191" s="342"/>
      <c r="F191" s="342"/>
      <c r="G191" s="342"/>
      <c r="H191" s="342"/>
      <c r="I191" s="342"/>
      <c r="J191" s="342"/>
      <c r="K191" s="342"/>
      <c r="L191" s="342"/>
      <c r="M191" s="130"/>
      <c r="N191" s="124">
        <f>K190*147.21</f>
        <v>7360500</v>
      </c>
    </row>
    <row r="192" spans="2:14" ht="6" customHeight="1" thickBot="1" x14ac:dyDescent="0.25">
      <c r="B192" s="41"/>
      <c r="C192" s="4"/>
      <c r="D192" s="5"/>
      <c r="E192" s="5"/>
      <c r="F192" s="5"/>
      <c r="G192" s="5"/>
      <c r="H192" s="27"/>
      <c r="I192" s="27"/>
      <c r="J192" s="27"/>
      <c r="K192" s="27"/>
      <c r="L192" s="27"/>
      <c r="M192" s="27"/>
      <c r="N192" s="33"/>
    </row>
    <row r="193" spans="2:14" ht="13.5" thickBot="1" x14ac:dyDescent="0.25">
      <c r="B193" s="18" t="s">
        <v>33</v>
      </c>
      <c r="C193" s="19"/>
      <c r="D193" s="20"/>
      <c r="E193" s="20"/>
      <c r="F193" s="20"/>
      <c r="G193" s="20"/>
      <c r="H193" s="38"/>
      <c r="I193" s="38"/>
      <c r="J193" s="38"/>
      <c r="K193" s="38"/>
      <c r="L193" s="38"/>
      <c r="M193" s="38"/>
      <c r="N193" s="141">
        <f>SUM(N48:N192)</f>
        <v>339404674.58954448</v>
      </c>
    </row>
    <row r="194" spans="2:14" ht="5.25" customHeight="1" x14ac:dyDescent="0.2">
      <c r="B194" s="7"/>
      <c r="C194" s="7"/>
      <c r="D194" s="5"/>
      <c r="E194" s="5"/>
      <c r="F194" s="5"/>
      <c r="G194" s="5"/>
      <c r="H194" s="27"/>
      <c r="I194" s="27"/>
      <c r="J194" s="27"/>
      <c r="K194" s="27"/>
      <c r="L194" s="27"/>
      <c r="M194" s="27"/>
      <c r="N194" s="33"/>
    </row>
    <row r="195" spans="2:14" x14ac:dyDescent="0.2">
      <c r="B195" s="11" t="s">
        <v>4</v>
      </c>
      <c r="C195" s="17" t="s">
        <v>31</v>
      </c>
      <c r="D195" s="13"/>
      <c r="E195" s="13"/>
      <c r="F195" s="13"/>
      <c r="G195" s="13"/>
      <c r="H195" s="25"/>
      <c r="I195" s="25"/>
      <c r="J195" s="25"/>
      <c r="K195" s="25"/>
      <c r="L195" s="25"/>
      <c r="M195" s="25"/>
      <c r="N195" s="34"/>
    </row>
    <row r="196" spans="2:14" x14ac:dyDescent="0.2">
      <c r="B196" s="14"/>
      <c r="C196" s="15" t="s">
        <v>28</v>
      </c>
      <c r="D196" s="13"/>
      <c r="E196" s="13"/>
      <c r="F196" s="13"/>
      <c r="G196" s="13"/>
      <c r="H196" s="25"/>
      <c r="I196" s="25"/>
      <c r="J196" s="25"/>
      <c r="K196" s="25"/>
      <c r="L196" s="25"/>
      <c r="M196" s="25"/>
      <c r="N196" s="34"/>
    </row>
    <row r="197" spans="2:14" ht="6" customHeight="1" x14ac:dyDescent="0.2">
      <c r="B197" s="41"/>
      <c r="C197" s="4"/>
      <c r="D197" s="5"/>
      <c r="E197" s="5"/>
      <c r="F197" s="5"/>
      <c r="G197" s="5"/>
      <c r="H197" s="27"/>
      <c r="I197" s="27"/>
      <c r="J197" s="27"/>
      <c r="K197" s="27"/>
      <c r="L197" s="27"/>
      <c r="M197" s="27"/>
      <c r="N197" s="33"/>
    </row>
    <row r="198" spans="2:14" s="21" customFormat="1" x14ac:dyDescent="0.2">
      <c r="B198" s="23"/>
      <c r="C198" s="52" t="s">
        <v>0</v>
      </c>
      <c r="D198" s="53" t="s">
        <v>72</v>
      </c>
      <c r="E198" s="50"/>
      <c r="F198" s="50"/>
      <c r="G198" s="50"/>
      <c r="H198" s="51"/>
      <c r="I198" s="50"/>
      <c r="J198" s="50"/>
      <c r="K198" s="51">
        <v>16000</v>
      </c>
      <c r="L198" s="50" t="s">
        <v>23</v>
      </c>
      <c r="M198" s="50"/>
      <c r="N198" s="54"/>
    </row>
    <row r="199" spans="2:14" s="21" customFormat="1" ht="13.15" customHeight="1" x14ac:dyDescent="0.2">
      <c r="B199" s="23"/>
      <c r="C199" s="52"/>
      <c r="D199" s="55" t="s">
        <v>73</v>
      </c>
      <c r="E199" s="23"/>
      <c r="F199" s="76"/>
      <c r="G199" s="76"/>
      <c r="H199" s="76"/>
      <c r="I199" s="76"/>
      <c r="J199" s="76"/>
      <c r="K199" s="51"/>
      <c r="L199" s="50"/>
      <c r="M199" s="50"/>
      <c r="N199" s="54">
        <f>K198*350</f>
        <v>5600000</v>
      </c>
    </row>
    <row r="200" spans="2:14" ht="6" customHeight="1" x14ac:dyDescent="0.2">
      <c r="B200" s="41"/>
      <c r="C200" s="4"/>
      <c r="D200" s="5"/>
      <c r="E200" s="5"/>
      <c r="F200" s="5"/>
      <c r="G200" s="5"/>
      <c r="H200" s="27"/>
      <c r="I200" s="27"/>
      <c r="J200" s="27"/>
      <c r="K200" s="27"/>
      <c r="L200" s="27"/>
      <c r="M200" s="27"/>
      <c r="N200" s="33"/>
    </row>
    <row r="201" spans="2:14" x14ac:dyDescent="0.2">
      <c r="C201" s="52" t="s">
        <v>1</v>
      </c>
      <c r="D201" s="5" t="s">
        <v>40</v>
      </c>
      <c r="K201" s="51">
        <v>30000</v>
      </c>
      <c r="L201" s="50" t="s">
        <v>23</v>
      </c>
      <c r="N201" s="54"/>
    </row>
    <row r="202" spans="2:14" x14ac:dyDescent="0.2">
      <c r="C202" s="52"/>
      <c r="D202" s="5" t="s">
        <v>164</v>
      </c>
      <c r="K202" s="51"/>
      <c r="L202" s="50"/>
      <c r="N202" s="54">
        <f>5550000*1.2</f>
        <v>6660000</v>
      </c>
    </row>
    <row r="203" spans="2:14" ht="6" customHeight="1" x14ac:dyDescent="0.2">
      <c r="B203" s="41"/>
      <c r="C203" s="4"/>
      <c r="D203" s="5"/>
      <c r="E203" s="5"/>
      <c r="F203" s="5"/>
      <c r="G203" s="5"/>
      <c r="H203" s="27"/>
      <c r="I203" s="27"/>
      <c r="J203" s="27"/>
      <c r="K203" s="27"/>
      <c r="L203" s="27"/>
      <c r="M203" s="27"/>
      <c r="N203" s="33"/>
    </row>
    <row r="204" spans="2:14" x14ac:dyDescent="0.2">
      <c r="C204" s="52" t="s">
        <v>2</v>
      </c>
      <c r="D204" s="5" t="s">
        <v>41</v>
      </c>
      <c r="K204" s="51">
        <v>30000</v>
      </c>
      <c r="L204" s="50" t="s">
        <v>23</v>
      </c>
      <c r="N204" s="54"/>
    </row>
    <row r="205" spans="2:14" x14ac:dyDescent="0.2">
      <c r="C205" s="52"/>
      <c r="D205" s="5" t="s">
        <v>164</v>
      </c>
      <c r="K205" s="51"/>
      <c r="L205" s="50"/>
      <c r="N205" s="54">
        <f>5550000*1.2</f>
        <v>6660000</v>
      </c>
    </row>
    <row r="206" spans="2:14" ht="6" customHeight="1" x14ac:dyDescent="0.2">
      <c r="B206" s="41"/>
      <c r="C206" s="4"/>
      <c r="D206" s="5"/>
      <c r="E206" s="5"/>
      <c r="F206" s="5"/>
      <c r="G206" s="5"/>
      <c r="H206" s="27"/>
      <c r="I206" s="27"/>
      <c r="J206" s="27"/>
      <c r="K206" s="27"/>
      <c r="L206" s="27"/>
      <c r="M206" s="27"/>
      <c r="N206" s="33"/>
    </row>
    <row r="207" spans="2:14" x14ac:dyDescent="0.2">
      <c r="C207" s="52" t="s">
        <v>3</v>
      </c>
      <c r="D207" s="5" t="s">
        <v>42</v>
      </c>
      <c r="K207" s="51">
        <v>30000</v>
      </c>
      <c r="L207" s="50" t="s">
        <v>23</v>
      </c>
      <c r="N207" s="54"/>
    </row>
    <row r="208" spans="2:14" x14ac:dyDescent="0.2">
      <c r="C208" s="52"/>
      <c r="D208" s="5" t="s">
        <v>164</v>
      </c>
      <c r="K208" s="51"/>
      <c r="L208" s="50"/>
      <c r="N208" s="54">
        <f>5550000*1.2</f>
        <v>6660000</v>
      </c>
    </row>
    <row r="209" spans="2:14" ht="6" customHeight="1" x14ac:dyDescent="0.2">
      <c r="B209" s="41"/>
      <c r="C209" s="4"/>
      <c r="D209" s="5"/>
      <c r="E209" s="5"/>
      <c r="F209" s="5"/>
      <c r="G209" s="5"/>
      <c r="H209" s="27"/>
      <c r="I209" s="27"/>
      <c r="J209" s="27"/>
      <c r="K209" s="27"/>
      <c r="L209" s="27"/>
      <c r="M209" s="27"/>
      <c r="N209" s="33"/>
    </row>
    <row r="210" spans="2:14" x14ac:dyDescent="0.2">
      <c r="C210" s="52" t="s">
        <v>4</v>
      </c>
      <c r="D210" s="27" t="s">
        <v>40</v>
      </c>
      <c r="E210" s="27"/>
      <c r="F210" s="27"/>
      <c r="G210" s="27"/>
      <c r="H210" s="27"/>
      <c r="I210" s="27"/>
      <c r="J210" s="27"/>
      <c r="K210" s="51"/>
      <c r="L210" s="50"/>
      <c r="M210" s="27"/>
      <c r="N210" s="54"/>
    </row>
    <row r="211" spans="2:14" x14ac:dyDescent="0.2">
      <c r="C211" s="52"/>
      <c r="D211" s="93" t="s">
        <v>178</v>
      </c>
      <c r="F211" s="27"/>
      <c r="G211" s="27"/>
      <c r="H211" s="27"/>
      <c r="I211" s="27"/>
      <c r="J211" s="27"/>
      <c r="K211" s="51"/>
      <c r="L211" s="50"/>
      <c r="M211" s="27"/>
      <c r="N211" s="54">
        <f>140000*1.2</f>
        <v>168000</v>
      </c>
    </row>
    <row r="212" spans="2:14" ht="6" customHeight="1" x14ac:dyDescent="0.2">
      <c r="C212" s="52"/>
      <c r="D212" s="5"/>
      <c r="L212" s="50"/>
      <c r="N212" s="54"/>
    </row>
    <row r="213" spans="2:14" s="21" customFormat="1" x14ac:dyDescent="0.2">
      <c r="B213" s="23"/>
      <c r="C213" s="52" t="s">
        <v>86</v>
      </c>
      <c r="D213" s="27" t="s">
        <v>45</v>
      </c>
      <c r="E213" s="27"/>
      <c r="F213" s="27"/>
      <c r="G213" s="27"/>
      <c r="H213" s="27"/>
      <c r="I213" s="27"/>
      <c r="J213" s="27"/>
      <c r="K213" s="51"/>
      <c r="L213" s="50"/>
      <c r="M213" s="27"/>
      <c r="N213" s="54"/>
    </row>
    <row r="214" spans="2:14" x14ac:dyDescent="0.2">
      <c r="C214" s="52"/>
      <c r="D214" s="27" t="s">
        <v>74</v>
      </c>
      <c r="F214" s="27"/>
      <c r="G214" s="27"/>
      <c r="H214" s="27"/>
      <c r="I214" s="27"/>
      <c r="J214" s="27"/>
      <c r="K214" s="51"/>
      <c r="L214" s="50"/>
      <c r="M214" s="27"/>
      <c r="N214" s="54">
        <f>500000*1.2</f>
        <v>600000</v>
      </c>
    </row>
    <row r="215" spans="2:14" ht="6" customHeight="1" x14ac:dyDescent="0.2">
      <c r="B215" s="41"/>
      <c r="C215" s="4"/>
      <c r="D215" s="5"/>
      <c r="E215" s="5"/>
      <c r="F215" s="5"/>
      <c r="G215" s="5"/>
      <c r="H215" s="27"/>
      <c r="I215" s="27"/>
      <c r="J215" s="27"/>
      <c r="K215" s="27"/>
      <c r="L215" s="27"/>
      <c r="M215" s="27"/>
      <c r="N215" s="33"/>
    </row>
  </sheetData>
  <mergeCells count="46">
    <mergeCell ref="B3:G3"/>
    <mergeCell ref="B4:G6"/>
    <mergeCell ref="B7:F7"/>
    <mergeCell ref="D89:L89"/>
    <mergeCell ref="I3:K3"/>
    <mergeCell ref="D64:L64"/>
    <mergeCell ref="D81:L81"/>
    <mergeCell ref="D37:I37"/>
    <mergeCell ref="D51:L51"/>
    <mergeCell ref="D48:L48"/>
    <mergeCell ref="D75:L75"/>
    <mergeCell ref="D163:L163"/>
    <mergeCell ref="D176:L176"/>
    <mergeCell ref="D168:L168"/>
    <mergeCell ref="D164:L164"/>
    <mergeCell ref="D154:L154"/>
    <mergeCell ref="D159:L159"/>
    <mergeCell ref="D191:L191"/>
    <mergeCell ref="D67:L67"/>
    <mergeCell ref="D70:L70"/>
    <mergeCell ref="D143:L143"/>
    <mergeCell ref="D147:L147"/>
    <mergeCell ref="D188:L188"/>
    <mergeCell ref="D182:L182"/>
    <mergeCell ref="D185:L185"/>
    <mergeCell ref="D179:L179"/>
    <mergeCell ref="D111:L111"/>
    <mergeCell ref="D119:L119"/>
    <mergeCell ref="F99:G99"/>
    <mergeCell ref="D131:L131"/>
    <mergeCell ref="D135:L135"/>
    <mergeCell ref="D139:L139"/>
    <mergeCell ref="D158:L158"/>
    <mergeCell ref="Y77:AG77"/>
    <mergeCell ref="Y81:AG81"/>
    <mergeCell ref="Y82:AG82"/>
    <mergeCell ref="H130:I130"/>
    <mergeCell ref="Y54:AG54"/>
    <mergeCell ref="Y58:AG58"/>
    <mergeCell ref="Y62:AG62"/>
    <mergeCell ref="Y66:AG66"/>
    <mergeCell ref="Y70:AG70"/>
    <mergeCell ref="D57:L57"/>
    <mergeCell ref="D125:L125"/>
    <mergeCell ref="D104:L104"/>
    <mergeCell ref="D96:L96"/>
  </mergeCells>
  <phoneticPr fontId="0" type="noConversion"/>
  <pageMargins left="0.7" right="0.45" top="0.75" bottom="0.75" header="0.3" footer="0.3"/>
  <pageSetup paperSize="17" orientation="landscape" cellComments="asDisplayed" r:id="rId1"/>
  <headerFooter alignWithMargins="0"/>
  <rowBreaks count="3" manualBreakCount="3">
    <brk id="42" max="16383" man="1"/>
    <brk id="108" max="16383" man="1"/>
    <brk id="170"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heetView workbookViewId="1"/>
  </sheetViews>
  <sheetFormatPr defaultRowHeight="12.75" x14ac:dyDescent="0.2"/>
  <cols>
    <col min="1" max="1" width="99.140625" bestFit="1" customWidth="1"/>
    <col min="2" max="2" width="7" bestFit="1" customWidth="1"/>
    <col min="4" max="4" width="14" bestFit="1" customWidth="1"/>
  </cols>
  <sheetData>
    <row r="1" spans="1:4" x14ac:dyDescent="0.2">
      <c r="A1" s="39" t="s">
        <v>36</v>
      </c>
    </row>
    <row r="2" spans="1:4" x14ac:dyDescent="0.2">
      <c r="A2" s="39" t="s">
        <v>37</v>
      </c>
    </row>
    <row r="3" spans="1:4" x14ac:dyDescent="0.2">
      <c r="A3" s="39" t="s">
        <v>38</v>
      </c>
    </row>
    <row r="6" spans="1:4" x14ac:dyDescent="0.2">
      <c r="B6">
        <v>800000</v>
      </c>
      <c r="C6">
        <v>1.25</v>
      </c>
      <c r="D6" s="40">
        <f>ROUND(C6*B6,-3)</f>
        <v>1000000</v>
      </c>
    </row>
    <row r="7" spans="1:4" x14ac:dyDescent="0.2">
      <c r="B7">
        <v>135000</v>
      </c>
      <c r="C7">
        <v>1.25</v>
      </c>
      <c r="D7" s="40">
        <f t="shared" ref="D7:D9" si="0">ROUND(C7*B7,-3)</f>
        <v>169000</v>
      </c>
    </row>
    <row r="8" spans="1:4" x14ac:dyDescent="0.2">
      <c r="B8">
        <v>320000</v>
      </c>
      <c r="C8">
        <v>1.25</v>
      </c>
      <c r="D8" s="40">
        <f t="shared" si="0"/>
        <v>400000</v>
      </c>
    </row>
    <row r="9" spans="1:4" x14ac:dyDescent="0.2">
      <c r="A9">
        <v>1150</v>
      </c>
      <c r="B9">
        <f>A9*75</f>
        <v>86250</v>
      </c>
      <c r="C9">
        <v>1.25</v>
      </c>
      <c r="D9" s="40">
        <f t="shared" si="0"/>
        <v>108000</v>
      </c>
    </row>
    <row r="10" spans="1:4" x14ac:dyDescent="0.2">
      <c r="D10" s="40"/>
    </row>
    <row r="11" spans="1:4" x14ac:dyDescent="0.2">
      <c r="D11" s="40">
        <f>SUM(D6:D10)</f>
        <v>1677000</v>
      </c>
    </row>
  </sheetData>
  <phoneticPr fontId="0"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 workbookViewId="1"/>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 EDIT LPC 3-16-22 (ES+MS+HS )</vt:lpstr>
      <vt:lpstr>EDIT - LPC 3-16-22</vt:lpstr>
      <vt:lpstr>EDIT - APPEAL 3-16-22</vt:lpstr>
      <vt:lpstr>LPC Review Notes</vt:lpstr>
      <vt:lpstr>KDE Notes</vt:lpstr>
      <vt:lpstr>Sheet2</vt:lpstr>
      <vt:lpstr>Sheet3</vt:lpstr>
      <vt:lpstr>' EDIT LPC 3-16-22 (ES+MS+HS )'!Print_Area</vt:lpstr>
      <vt:lpstr>'EDIT - APPEAL 3-16-22'!Print_Area</vt:lpstr>
      <vt:lpstr>'EDIT - LPC 3-16-22'!Print_Area</vt:lpstr>
      <vt:lpstr>'KDE Notes'!Print_Area</vt:lpstr>
      <vt:lpstr>'LPC Review Notes'!Print_Area</vt:lpstr>
    </vt:vector>
  </TitlesOfParts>
  <Company>KDE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Pawley, Kaycie</cp:lastModifiedBy>
  <cp:lastPrinted>2022-02-24T14:19:08Z</cp:lastPrinted>
  <dcterms:created xsi:type="dcterms:W3CDTF">2007-02-08T14:02:27Z</dcterms:created>
  <dcterms:modified xsi:type="dcterms:W3CDTF">2022-03-17T19:40:18Z</dcterms:modified>
</cp:coreProperties>
</file>