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.mckay\Documents\Bd Meetings\2016\Oct Board Mtg\"/>
    </mc:Choice>
  </mc:AlternateContent>
  <bookViews>
    <workbookView xWindow="0" yWindow="0" windowWidth="23040" windowHeight="9675"/>
  </bookViews>
  <sheets>
    <sheet name="20yr Pro-forma" sheetId="7" r:id="rId1"/>
    <sheet name="15yr Pro-forma" sheetId="8" r:id="rId2"/>
  </sheets>
  <calcPr calcId="162913"/>
</workbook>
</file>

<file path=xl/calcChain.xml><?xml version="1.0" encoding="utf-8"?>
<calcChain xmlns="http://schemas.openxmlformats.org/spreadsheetml/2006/main">
  <c r="N24" i="8" l="1"/>
  <c r="N14" i="8"/>
  <c r="N19" i="8" s="1"/>
  <c r="T34" i="7"/>
  <c r="M26" i="7"/>
  <c r="M21" i="7"/>
  <c r="M16" i="7"/>
  <c r="G15" i="8" l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D15" i="8"/>
  <c r="D16" i="8" s="1"/>
  <c r="D17" i="8" s="1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G14" i="8"/>
  <c r="F14" i="8"/>
  <c r="F15" i="8" s="1"/>
  <c r="E6" i="8"/>
  <c r="E7" i="8" s="1"/>
  <c r="G15" i="7"/>
  <c r="G14" i="7"/>
  <c r="E6" i="7"/>
  <c r="F14" i="7"/>
  <c r="F15" i="7" s="1"/>
  <c r="D15" i="7"/>
  <c r="B15" i="7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E16" i="8" l="1"/>
  <c r="D18" i="8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F16" i="8"/>
  <c r="H15" i="8"/>
  <c r="Q15" i="8" s="1"/>
  <c r="R15" i="8" s="1"/>
  <c r="S15" i="8" s="1"/>
  <c r="E17" i="8"/>
  <c r="G29" i="8"/>
  <c r="E15" i="8"/>
  <c r="H14" i="8"/>
  <c r="Q14" i="8" s="1"/>
  <c r="R14" i="8" s="1"/>
  <c r="S14" i="8" s="1"/>
  <c r="H14" i="7"/>
  <c r="Q14" i="7" s="1"/>
  <c r="R14" i="7" s="1"/>
  <c r="S14" i="7" s="1"/>
  <c r="T14" i="7" s="1"/>
  <c r="D16" i="7"/>
  <c r="D17" i="7" s="1"/>
  <c r="F16" i="7"/>
  <c r="H15" i="7"/>
  <c r="Q15" i="7" s="1"/>
  <c r="R15" i="7" s="1"/>
  <c r="S15" i="7" s="1"/>
  <c r="T15" i="7" s="1"/>
  <c r="E24" i="8" l="1"/>
  <c r="E22" i="8"/>
  <c r="E21" i="8"/>
  <c r="E23" i="8"/>
  <c r="E27" i="8"/>
  <c r="H16" i="8"/>
  <c r="F17" i="8"/>
  <c r="E28" i="8"/>
  <c r="E25" i="8"/>
  <c r="E19" i="8"/>
  <c r="C29" i="8"/>
  <c r="E14" i="8"/>
  <c r="I14" i="8" s="1"/>
  <c r="E26" i="8"/>
  <c r="E18" i="8"/>
  <c r="E20" i="8"/>
  <c r="I15" i="8"/>
  <c r="D29" i="8"/>
  <c r="E7" i="7"/>
  <c r="F17" i="7"/>
  <c r="G16" i="7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D18" i="7"/>
  <c r="I16" i="8" l="1"/>
  <c r="Q16" i="8"/>
  <c r="R16" i="8" s="1"/>
  <c r="S16" i="8" s="1"/>
  <c r="J14" i="8"/>
  <c r="J15" i="8" s="1"/>
  <c r="J16" i="8" s="1"/>
  <c r="E29" i="8"/>
  <c r="F18" i="8"/>
  <c r="H17" i="8"/>
  <c r="Q17" i="8" s="1"/>
  <c r="R17" i="8" s="1"/>
  <c r="S17" i="8" s="1"/>
  <c r="E16" i="7"/>
  <c r="E18" i="7"/>
  <c r="E14" i="7"/>
  <c r="I14" i="7" s="1"/>
  <c r="E17" i="7"/>
  <c r="E15" i="7"/>
  <c r="I15" i="7" s="1"/>
  <c r="H16" i="7"/>
  <c r="Q16" i="7" s="1"/>
  <c r="R16" i="7" s="1"/>
  <c r="S16" i="7" s="1"/>
  <c r="T16" i="7" s="1"/>
  <c r="D19" i="7"/>
  <c r="F18" i="7"/>
  <c r="H17" i="7"/>
  <c r="Q17" i="7" s="1"/>
  <c r="R17" i="7" s="1"/>
  <c r="S17" i="7" s="1"/>
  <c r="T17" i="7" s="1"/>
  <c r="H18" i="8" l="1"/>
  <c r="F19" i="8"/>
  <c r="I17" i="8"/>
  <c r="I16" i="7"/>
  <c r="C34" i="7"/>
  <c r="J14" i="7"/>
  <c r="J15" i="7" s="1"/>
  <c r="H18" i="7"/>
  <c r="F19" i="7"/>
  <c r="D20" i="7"/>
  <c r="E19" i="7"/>
  <c r="I17" i="7"/>
  <c r="I18" i="7" l="1"/>
  <c r="Q18" i="7"/>
  <c r="R18" i="7" s="1"/>
  <c r="S18" i="7" s="1"/>
  <c r="T18" i="7" s="1"/>
  <c r="I18" i="8"/>
  <c r="Q18" i="8"/>
  <c r="R18" i="8" s="1"/>
  <c r="S18" i="8" s="1"/>
  <c r="J17" i="8"/>
  <c r="H19" i="8"/>
  <c r="Q19" i="8" s="1"/>
  <c r="R19" i="8" s="1"/>
  <c r="S19" i="8" s="1"/>
  <c r="F20" i="8"/>
  <c r="J16" i="7"/>
  <c r="J17" i="7" s="1"/>
  <c r="J18" i="7" s="1"/>
  <c r="D21" i="7"/>
  <c r="E20" i="7"/>
  <c r="H19" i="7"/>
  <c r="Q19" i="7" s="1"/>
  <c r="R19" i="7" s="1"/>
  <c r="S19" i="7" s="1"/>
  <c r="T19" i="7" s="1"/>
  <c r="F20" i="7"/>
  <c r="J18" i="8" l="1"/>
  <c r="H20" i="8"/>
  <c r="F21" i="8"/>
  <c r="I19" i="8"/>
  <c r="H20" i="7"/>
  <c r="F21" i="7"/>
  <c r="I19" i="7"/>
  <c r="E21" i="7"/>
  <c r="D22" i="7"/>
  <c r="I20" i="8" l="1"/>
  <c r="Q20" i="8"/>
  <c r="R20" i="8" s="1"/>
  <c r="S20" i="8" s="1"/>
  <c r="I20" i="7"/>
  <c r="Q20" i="7"/>
  <c r="R20" i="7" s="1"/>
  <c r="S20" i="7" s="1"/>
  <c r="T20" i="7" s="1"/>
  <c r="J19" i="8"/>
  <c r="J20" i="8" s="1"/>
  <c r="F22" i="8"/>
  <c r="H21" i="8"/>
  <c r="Q21" i="8" s="1"/>
  <c r="R21" i="8" s="1"/>
  <c r="S21" i="8" s="1"/>
  <c r="D23" i="7"/>
  <c r="E22" i="7"/>
  <c r="F22" i="7"/>
  <c r="H21" i="7"/>
  <c r="Q21" i="7" s="1"/>
  <c r="R21" i="7" s="1"/>
  <c r="S21" i="7" s="1"/>
  <c r="T21" i="7" s="1"/>
  <c r="J19" i="7"/>
  <c r="J20" i="7" s="1"/>
  <c r="I21" i="8" l="1"/>
  <c r="J21" i="8" s="1"/>
  <c r="H22" i="8"/>
  <c r="F23" i="8"/>
  <c r="H22" i="7"/>
  <c r="F23" i="7"/>
  <c r="D24" i="7"/>
  <c r="E23" i="7"/>
  <c r="I21" i="7"/>
  <c r="I22" i="7" l="1"/>
  <c r="Q22" i="7"/>
  <c r="R22" i="7" s="1"/>
  <c r="S22" i="7" s="1"/>
  <c r="T22" i="7" s="1"/>
  <c r="I22" i="8"/>
  <c r="J22" i="8" s="1"/>
  <c r="Q22" i="8"/>
  <c r="R22" i="8" s="1"/>
  <c r="S22" i="8" s="1"/>
  <c r="H23" i="8"/>
  <c r="Q23" i="8" s="1"/>
  <c r="R23" i="8" s="1"/>
  <c r="S23" i="8" s="1"/>
  <c r="F24" i="8"/>
  <c r="G34" i="7"/>
  <c r="J21" i="7"/>
  <c r="J22" i="7" s="1"/>
  <c r="D25" i="7"/>
  <c r="E24" i="7"/>
  <c r="F24" i="7"/>
  <c r="H23" i="7"/>
  <c r="I23" i="7" l="1"/>
  <c r="Q23" i="7"/>
  <c r="R23" i="7" s="1"/>
  <c r="S23" i="7" s="1"/>
  <c r="T23" i="7" s="1"/>
  <c r="H24" i="8"/>
  <c r="F25" i="8"/>
  <c r="I23" i="8"/>
  <c r="J23" i="8" s="1"/>
  <c r="J23" i="7"/>
  <c r="E25" i="7"/>
  <c r="D26" i="7"/>
  <c r="H24" i="7"/>
  <c r="F25" i="7"/>
  <c r="I24" i="8" l="1"/>
  <c r="Q24" i="8"/>
  <c r="R24" i="8" s="1"/>
  <c r="S24" i="8" s="1"/>
  <c r="I24" i="7"/>
  <c r="Q24" i="7"/>
  <c r="R24" i="7" s="1"/>
  <c r="S24" i="7" s="1"/>
  <c r="T24" i="7" s="1"/>
  <c r="J24" i="8"/>
  <c r="F26" i="8"/>
  <c r="H25" i="8"/>
  <c r="J24" i="7"/>
  <c r="F26" i="7"/>
  <c r="H25" i="7"/>
  <c r="D27" i="7"/>
  <c r="E26" i="7"/>
  <c r="I25" i="8" l="1"/>
  <c r="Q25" i="8"/>
  <c r="R25" i="8" s="1"/>
  <c r="S25" i="8" s="1"/>
  <c r="I25" i="7"/>
  <c r="Q25" i="7"/>
  <c r="R25" i="7" s="1"/>
  <c r="S25" i="7" s="1"/>
  <c r="T25" i="7" s="1"/>
  <c r="J25" i="8"/>
  <c r="H26" i="8"/>
  <c r="F27" i="8"/>
  <c r="J25" i="7"/>
  <c r="H26" i="7"/>
  <c r="F27" i="7"/>
  <c r="D28" i="7"/>
  <c r="D29" i="7" s="1"/>
  <c r="E27" i="7"/>
  <c r="I26" i="8" l="1"/>
  <c r="J26" i="8" s="1"/>
  <c r="Q26" i="8"/>
  <c r="R26" i="8" s="1"/>
  <c r="S26" i="8" s="1"/>
  <c r="I26" i="7"/>
  <c r="Q26" i="7"/>
  <c r="R26" i="7" s="1"/>
  <c r="S26" i="7" s="1"/>
  <c r="T26" i="7" s="1"/>
  <c r="H27" i="8"/>
  <c r="F28" i="8"/>
  <c r="J26" i="7"/>
  <c r="D30" i="7"/>
  <c r="E29" i="7"/>
  <c r="H27" i="7"/>
  <c r="F28" i="7"/>
  <c r="F29" i="7" s="1"/>
  <c r="E28" i="7"/>
  <c r="I27" i="7" l="1"/>
  <c r="Q27" i="7"/>
  <c r="R27" i="7" s="1"/>
  <c r="S27" i="7" s="1"/>
  <c r="T27" i="7" s="1"/>
  <c r="I27" i="8"/>
  <c r="J27" i="8" s="1"/>
  <c r="Q27" i="8"/>
  <c r="R27" i="8" s="1"/>
  <c r="S27" i="8" s="1"/>
  <c r="H28" i="8"/>
  <c r="J27" i="7"/>
  <c r="F30" i="7"/>
  <c r="H29" i="7"/>
  <c r="D31" i="7"/>
  <c r="E30" i="7"/>
  <c r="H28" i="7"/>
  <c r="Q28" i="7" s="1"/>
  <c r="R28" i="7" s="1"/>
  <c r="S28" i="7" s="1"/>
  <c r="T28" i="7" s="1"/>
  <c r="I29" i="7" l="1"/>
  <c r="Q29" i="7"/>
  <c r="R29" i="7" s="1"/>
  <c r="S29" i="7" s="1"/>
  <c r="T29" i="7" s="1"/>
  <c r="I28" i="8"/>
  <c r="J28" i="8" s="1"/>
  <c r="J29" i="8" s="1"/>
  <c r="Q28" i="8"/>
  <c r="R28" i="8" s="1"/>
  <c r="S28" i="8" s="1"/>
  <c r="F31" i="7"/>
  <c r="H30" i="7"/>
  <c r="D32" i="7"/>
  <c r="E31" i="7"/>
  <c r="I28" i="7"/>
  <c r="I30" i="7" l="1"/>
  <c r="Q30" i="7"/>
  <c r="R30" i="7" s="1"/>
  <c r="S30" i="7" s="1"/>
  <c r="T30" i="7" s="1"/>
  <c r="F32" i="7"/>
  <c r="H31" i="7"/>
  <c r="D33" i="7"/>
  <c r="E33" i="7" s="1"/>
  <c r="E32" i="7"/>
  <c r="J28" i="7"/>
  <c r="J29" i="7" s="1"/>
  <c r="J30" i="7" s="1"/>
  <c r="I31" i="7" l="1"/>
  <c r="Q31" i="7"/>
  <c r="R31" i="7" s="1"/>
  <c r="S31" i="7" s="1"/>
  <c r="T31" i="7" s="1"/>
  <c r="F33" i="7"/>
  <c r="H33" i="7" s="1"/>
  <c r="H32" i="7"/>
  <c r="J31" i="7"/>
  <c r="E34" i="7"/>
  <c r="D34" i="7"/>
  <c r="I33" i="7" l="1"/>
  <c r="Q33" i="7"/>
  <c r="R33" i="7" s="1"/>
  <c r="S33" i="7" s="1"/>
  <c r="T33" i="7" s="1"/>
  <c r="I32" i="7"/>
  <c r="J32" i="7" s="1"/>
  <c r="J33" i="7" s="1"/>
  <c r="J34" i="7" s="1"/>
  <c r="Q32" i="7"/>
  <c r="R32" i="7" s="1"/>
  <c r="S32" i="7" s="1"/>
  <c r="T32" i="7" s="1"/>
  <c r="F34" i="7"/>
  <c r="F29" i="8" l="1"/>
  <c r="I34" i="7"/>
  <c r="H34" i="7"/>
  <c r="H29" i="8" l="1"/>
  <c r="I29" i="8" l="1"/>
</calcChain>
</file>

<file path=xl/sharedStrings.xml><?xml version="1.0" encoding="utf-8"?>
<sst xmlns="http://schemas.openxmlformats.org/spreadsheetml/2006/main" count="68" uniqueCount="34">
  <si>
    <t>Energy Savings</t>
  </si>
  <si>
    <t>Total</t>
  </si>
  <si>
    <t>Bond Issuance Cost</t>
  </si>
  <si>
    <t>Total Bond Issue</t>
  </si>
  <si>
    <t>Interest Rate</t>
  </si>
  <si>
    <t>Cost Inputs</t>
  </si>
  <si>
    <t>Savings Inputs</t>
  </si>
  <si>
    <t>Bond Payment</t>
  </si>
  <si>
    <t>Total Cost</t>
  </si>
  <si>
    <t>Total Savings</t>
  </si>
  <si>
    <t>Year</t>
  </si>
  <si>
    <t>M&amp;V</t>
  </si>
  <si>
    <t>Yearly Cashflow</t>
  </si>
  <si>
    <t>Cumulative Cashflow</t>
  </si>
  <si>
    <t>O&amp;M Savings</t>
  </si>
  <si>
    <t>Restricted Funds Requirement</t>
  </si>
  <si>
    <t>Financing Term (Years)</t>
  </si>
  <si>
    <t>Annual O&amp;M Rate Escalation</t>
  </si>
  <si>
    <t>Annual Energy Escalation Rate</t>
  </si>
  <si>
    <t>Year 1 O&amp;M Savings</t>
  </si>
  <si>
    <t>Year 1 Guaranteed Energy Savings (GES)</t>
  </si>
  <si>
    <t>Project Cost</t>
  </si>
  <si>
    <t>Year 2 Additional Maintenance/M&amp;V</t>
  </si>
  <si>
    <t>Proposed Project Financial Pro-Forma</t>
  </si>
  <si>
    <t>Nelson County Schools</t>
  </si>
  <si>
    <t>Year 1 Rebate Incentive</t>
  </si>
  <si>
    <t>?????</t>
  </si>
  <si>
    <t>Discount</t>
  </si>
  <si>
    <t>Rating</t>
  </si>
  <si>
    <t>Bank</t>
  </si>
  <si>
    <t>Fiscal Agent</t>
  </si>
  <si>
    <t>Contingency</t>
  </si>
  <si>
    <t xml:space="preserve">Energy Portion </t>
  </si>
  <si>
    <t>Local Building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</si>
</sst>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_(&quot;$&quot;* #,##0_);_(&quot;$&quot;* \(#,##0\);_(&quot;$&quot;* &quot;-&quot;??_);_(@_)"/>
    <numFmt numFmtId="167" formatCode="0.0%"/>
    <numFmt numFmtId="168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2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" fontId="1" fillId="0" borderId="0"/>
    <xf numFmtId="5" fontId="1" fillId="0" borderId="0"/>
    <xf numFmtId="14" fontId="1" fillId="0" borderId="0"/>
    <xf numFmtId="2" fontId="1" fillId="0" borderId="0"/>
    <xf numFmtId="38" fontId="3" fillId="0" borderId="0" applyFon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1" fillId="0" borderId="0" applyFont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1" fillId="0" borderId="0" xfId="0" applyFont="1"/>
    <xf numFmtId="166" fontId="2" fillId="0" borderId="12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14" xfId="9" applyNumberFormat="1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166" fontId="1" fillId="0" borderId="1" xfId="9" applyNumberFormat="1" applyFont="1" applyBorder="1" applyAlignment="1" applyProtection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4" xfId="0" applyFont="1" applyBorder="1"/>
    <xf numFmtId="42" fontId="1" fillId="0" borderId="10" xfId="10" applyNumberFormat="1" applyFont="1" applyFill="1" applyBorder="1" applyAlignment="1" applyProtection="1">
      <alignment horizontal="right" vertical="center"/>
    </xf>
    <xf numFmtId="166" fontId="1" fillId="0" borderId="10" xfId="9" applyNumberFormat="1" applyFont="1" applyFill="1" applyBorder="1" applyAlignment="1" applyProtection="1">
      <alignment horizontal="right" vertical="center"/>
    </xf>
    <xf numFmtId="38" fontId="5" fillId="0" borderId="0" xfId="10" applyFont="1" applyFill="1" applyAlignment="1" applyProtection="1">
      <alignment horizontal="left" vertical="center"/>
    </xf>
    <xf numFmtId="44" fontId="0" fillId="0" borderId="10" xfId="9" applyFont="1" applyBorder="1" applyAlignment="1">
      <alignment horizontal="right"/>
    </xf>
    <xf numFmtId="10" fontId="1" fillId="0" borderId="10" xfId="10" applyNumberFormat="1" applyFont="1" applyFill="1" applyBorder="1" applyAlignment="1" applyProtection="1">
      <alignment horizontal="right" vertical="center"/>
    </xf>
    <xf numFmtId="10" fontId="1" fillId="0" borderId="10" xfId="10" applyNumberFormat="1" applyFont="1" applyFill="1" applyBorder="1" applyAlignment="1" applyProtection="1">
      <alignment horizontal="right" vertical="center"/>
      <protection locked="0"/>
    </xf>
    <xf numFmtId="166" fontId="1" fillId="0" borderId="10" xfId="9" applyNumberFormat="1" applyFont="1" applyFill="1" applyBorder="1" applyAlignment="1" applyProtection="1">
      <alignment horizontal="left" vertical="center"/>
      <protection locked="0"/>
    </xf>
    <xf numFmtId="167" fontId="1" fillId="0" borderId="12" xfId="11" applyNumberFormat="1" applyFont="1" applyFill="1" applyBorder="1" applyAlignment="1" applyProtection="1">
      <alignment horizontal="center" vertical="center"/>
    </xf>
    <xf numFmtId="38" fontId="1" fillId="0" borderId="13" xfId="10" applyFont="1" applyFill="1" applyBorder="1" applyAlignment="1" applyProtection="1">
      <alignment vertical="center"/>
    </xf>
    <xf numFmtId="38" fontId="1" fillId="0" borderId="11" xfId="10" applyFont="1" applyFill="1" applyBorder="1" applyAlignment="1" applyProtection="1">
      <alignment vertical="center"/>
    </xf>
    <xf numFmtId="38" fontId="4" fillId="0" borderId="0" xfId="10" applyFont="1" applyFill="1" applyAlignment="1" applyProtection="1">
      <alignment horizontal="left" vertical="center"/>
    </xf>
    <xf numFmtId="38" fontId="1" fillId="0" borderId="0" xfId="10" applyFont="1" applyFill="1" applyBorder="1" applyAlignment="1" applyProtection="1">
      <alignment horizontal="left" vertical="center"/>
    </xf>
    <xf numFmtId="38" fontId="1" fillId="0" borderId="12" xfId="10" applyFont="1" applyFill="1" applyBorder="1" applyAlignment="1" applyProtection="1">
      <alignment horizontal="left" vertical="center"/>
    </xf>
    <xf numFmtId="38" fontId="1" fillId="0" borderId="13" xfId="10" applyFont="1" applyFill="1" applyBorder="1" applyAlignment="1" applyProtection="1">
      <alignment horizontal="left" vertical="center"/>
    </xf>
    <xf numFmtId="37" fontId="11" fillId="0" borderId="11" xfId="10" applyNumberFormat="1" applyFont="1" applyFill="1" applyBorder="1" applyAlignment="1" applyProtection="1">
      <alignment horizontal="left" vertical="center"/>
    </xf>
    <xf numFmtId="38" fontId="4" fillId="0" borderId="0" xfId="10" applyFont="1" applyFill="1" applyAlignment="1" applyProtection="1">
      <alignment horizontal="left"/>
    </xf>
    <xf numFmtId="37" fontId="1" fillId="0" borderId="10" xfId="10" applyNumberFormat="1" applyFont="1" applyFill="1" applyBorder="1" applyAlignment="1" applyProtection="1">
      <alignment horizontal="right" vertical="center"/>
      <protection locked="0"/>
    </xf>
    <xf numFmtId="0" fontId="10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wrapText="1"/>
    </xf>
    <xf numFmtId="37" fontId="9" fillId="3" borderId="7" xfId="10" applyNumberFormat="1" applyFont="1" applyFill="1" applyBorder="1" applyAlignment="1" applyProtection="1">
      <alignment horizontal="left"/>
    </xf>
    <xf numFmtId="38" fontId="8" fillId="3" borderId="8" xfId="10" applyFont="1" applyFill="1" applyBorder="1" applyAlignment="1" applyProtection="1">
      <alignment horizontal="left"/>
    </xf>
    <xf numFmtId="38" fontId="8" fillId="3" borderId="9" xfId="10" applyFont="1" applyFill="1" applyBorder="1" applyAlignment="1" applyProtection="1">
      <alignment horizontal="left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vertical="center" wrapText="1"/>
    </xf>
    <xf numFmtId="38" fontId="1" fillId="0" borderId="13" xfId="10" applyFont="1" applyFill="1" applyBorder="1" applyAlignment="1" applyProtection="1">
      <alignment horizontal="left" vertical="center"/>
    </xf>
    <xf numFmtId="38" fontId="1" fillId="0" borderId="12" xfId="10" applyFont="1" applyFill="1" applyBorder="1" applyAlignment="1" applyProtection="1">
      <alignment horizontal="left" vertical="center"/>
    </xf>
    <xf numFmtId="168" fontId="0" fillId="0" borderId="0" xfId="0" applyNumberFormat="1"/>
    <xf numFmtId="5" fontId="12" fillId="0" borderId="3" xfId="0" applyNumberFormat="1" applyFont="1" applyBorder="1" applyAlignment="1">
      <alignment horizontal="center"/>
    </xf>
    <xf numFmtId="166" fontId="0" fillId="0" borderId="0" xfId="0" applyNumberFormat="1"/>
    <xf numFmtId="0" fontId="1" fillId="4" borderId="0" xfId="0" applyFont="1" applyFill="1"/>
    <xf numFmtId="168" fontId="0" fillId="4" borderId="0" xfId="0" applyNumberFormat="1" applyFill="1"/>
    <xf numFmtId="39" fontId="10" fillId="2" borderId="11" xfId="10" applyNumberFormat="1" applyFont="1" applyFill="1" applyBorder="1" applyAlignment="1" applyProtection="1">
      <alignment horizontal="left" vertical="center"/>
    </xf>
    <xf numFmtId="39" fontId="10" fillId="2" borderId="13" xfId="10" applyNumberFormat="1" applyFont="1" applyFill="1" applyBorder="1" applyAlignment="1" applyProtection="1">
      <alignment horizontal="left" vertical="center"/>
    </xf>
    <xf numFmtId="39" fontId="10" fillId="2" borderId="12" xfId="10" applyNumberFormat="1" applyFont="1" applyFill="1" applyBorder="1" applyAlignment="1" applyProtection="1">
      <alignment horizontal="left" vertical="center"/>
    </xf>
    <xf numFmtId="38" fontId="1" fillId="0" borderId="11" xfId="10" applyFont="1" applyFill="1" applyBorder="1" applyAlignment="1" applyProtection="1">
      <alignment horizontal="left" vertical="center"/>
    </xf>
    <xf numFmtId="38" fontId="1" fillId="0" borderId="13" xfId="10" applyFont="1" applyFill="1" applyBorder="1" applyAlignment="1" applyProtection="1">
      <alignment horizontal="left" vertical="center"/>
    </xf>
    <xf numFmtId="38" fontId="1" fillId="0" borderId="12" xfId="10" applyFont="1" applyFill="1" applyBorder="1" applyAlignment="1" applyProtection="1">
      <alignment horizontal="left" vertical="center"/>
    </xf>
    <xf numFmtId="38" fontId="7" fillId="3" borderId="4" xfId="10" applyFont="1" applyFill="1" applyBorder="1" applyAlignment="1"/>
    <xf numFmtId="38" fontId="7" fillId="3" borderId="5" xfId="10" applyFont="1" applyFill="1" applyBorder="1" applyAlignment="1"/>
    <xf numFmtId="38" fontId="7" fillId="3" borderId="6" xfId="10" applyFont="1" applyFill="1" applyBorder="1" applyAlignment="1"/>
    <xf numFmtId="39" fontId="10" fillId="3" borderId="10" xfId="10" applyNumberFormat="1" applyFont="1" applyFill="1" applyBorder="1" applyAlignment="1" applyProtection="1">
      <alignment horizontal="left" vertical="center"/>
    </xf>
    <xf numFmtId="38" fontId="1" fillId="0" borderId="10" xfId="10" applyFont="1" applyFill="1" applyBorder="1" applyAlignment="1" applyProtection="1">
      <alignment horizontal="left" vertical="center"/>
    </xf>
  </cellXfs>
  <cellStyles count="12">
    <cellStyle name="Comma0" xfId="1"/>
    <cellStyle name="Currency 2" xfId="9"/>
    <cellStyle name="Currency0" xfId="2"/>
    <cellStyle name="Date" xfId="3"/>
    <cellStyle name="Date 2" xfId="6"/>
    <cellStyle name="Fixed" xfId="4"/>
    <cellStyle name="Fixed 2" xfId="7"/>
    <cellStyle name="Normal" xfId="0" builtinId="0"/>
    <cellStyle name="Normal 2" xfId="5"/>
    <cellStyle name="Normal 2 2" xfId="10"/>
    <cellStyle name="Percent 2" xfId="11"/>
    <cellStyle name="Text" xfId="8"/>
  </cellStyles>
  <dxfs count="0"/>
  <tableStyles count="0" defaultTableStyle="TableStyleMedium9" defaultPivotStyle="PivotStyleLight16"/>
  <colors>
    <mruColors>
      <color rgb="FFFFFF66"/>
      <color rgb="FF00CC66"/>
      <color rgb="FF64D2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tabSelected="1" topLeftCell="C1" zoomScale="85" zoomScaleNormal="85" workbookViewId="0">
      <selection activeCell="N15" sqref="N15"/>
    </sheetView>
  </sheetViews>
  <sheetFormatPr defaultRowHeight="12.75" x14ac:dyDescent="0.2"/>
  <cols>
    <col min="2" max="2" width="10.42578125" customWidth="1"/>
    <col min="3" max="3" width="12.7109375" customWidth="1"/>
    <col min="4" max="4" width="10.28515625" customWidth="1"/>
    <col min="5" max="10" width="12.7109375" customWidth="1"/>
    <col min="12" max="12" width="12.5703125" customWidth="1"/>
    <col min="13" max="15" width="21.85546875" customWidth="1"/>
    <col min="17" max="17" width="15.140625" customWidth="1"/>
    <col min="18" max="20" width="19.85546875" customWidth="1"/>
    <col min="22" max="22" width="16.5703125" customWidth="1"/>
  </cols>
  <sheetData>
    <row r="1" spans="1:22" ht="18" x14ac:dyDescent="0.25">
      <c r="B1" s="59" t="s">
        <v>24</v>
      </c>
      <c r="C1" s="60"/>
      <c r="D1" s="60"/>
      <c r="E1" s="60"/>
      <c r="F1" s="60"/>
      <c r="G1" s="60"/>
      <c r="H1" s="60"/>
      <c r="I1" s="60"/>
      <c r="J1" s="61"/>
    </row>
    <row r="2" spans="1:22" ht="15.75" x14ac:dyDescent="0.25">
      <c r="A2" s="35"/>
      <c r="B2" s="40" t="s">
        <v>23</v>
      </c>
      <c r="C2" s="41"/>
      <c r="D2" s="41"/>
      <c r="E2" s="41"/>
      <c r="F2" s="41"/>
      <c r="G2" s="41"/>
      <c r="H2" s="41"/>
      <c r="I2" s="41"/>
      <c r="J2" s="42"/>
    </row>
    <row r="3" spans="1:22" ht="25.5" x14ac:dyDescent="0.2">
      <c r="A3" s="30"/>
      <c r="B3" s="34"/>
      <c r="C3" s="33"/>
      <c r="D3" s="33"/>
      <c r="E3" s="32"/>
      <c r="F3" s="31"/>
      <c r="G3" s="18"/>
      <c r="H3" s="18"/>
      <c r="I3" s="18"/>
      <c r="J3" s="16"/>
    </row>
    <row r="4" spans="1:22" x14ac:dyDescent="0.2">
      <c r="A4" s="30"/>
      <c r="B4" s="62" t="s">
        <v>5</v>
      </c>
      <c r="C4" s="62"/>
      <c r="D4" s="62"/>
      <c r="E4" s="62"/>
      <c r="F4" s="53" t="s">
        <v>6</v>
      </c>
      <c r="G4" s="54"/>
      <c r="H4" s="54"/>
      <c r="I4" s="54"/>
      <c r="J4" s="55"/>
    </row>
    <row r="5" spans="1:22" x14ac:dyDescent="0.2">
      <c r="A5" s="22"/>
      <c r="B5" s="63" t="s">
        <v>21</v>
      </c>
      <c r="C5" s="63"/>
      <c r="D5" s="63"/>
      <c r="E5" s="26">
        <v>3350000</v>
      </c>
      <c r="F5" s="56" t="s">
        <v>20</v>
      </c>
      <c r="G5" s="57"/>
      <c r="H5" s="57"/>
      <c r="I5" s="58"/>
      <c r="J5" s="20">
        <v>85000</v>
      </c>
    </row>
    <row r="6" spans="1:22" x14ac:dyDescent="0.2">
      <c r="A6" s="22"/>
      <c r="B6" s="29" t="s">
        <v>2</v>
      </c>
      <c r="C6" s="28"/>
      <c r="D6" s="27"/>
      <c r="E6" s="26">
        <f>E5*0.032</f>
        <v>107200</v>
      </c>
      <c r="F6" s="56" t="s">
        <v>19</v>
      </c>
      <c r="G6" s="57"/>
      <c r="H6" s="57"/>
      <c r="I6" s="58"/>
      <c r="J6" s="20">
        <v>47500</v>
      </c>
    </row>
    <row r="7" spans="1:22" x14ac:dyDescent="0.2">
      <c r="A7" s="22"/>
      <c r="B7" s="63" t="s">
        <v>3</v>
      </c>
      <c r="C7" s="63"/>
      <c r="D7" s="63"/>
      <c r="E7" s="26">
        <f>E6+E5</f>
        <v>3457200</v>
      </c>
      <c r="F7" s="56" t="s">
        <v>18</v>
      </c>
      <c r="G7" s="57"/>
      <c r="H7" s="57"/>
      <c r="I7" s="58"/>
      <c r="J7" s="24">
        <v>0</v>
      </c>
    </row>
    <row r="8" spans="1:22" x14ac:dyDescent="0.2">
      <c r="A8" s="22"/>
      <c r="B8" s="63" t="s">
        <v>4</v>
      </c>
      <c r="C8" s="63"/>
      <c r="D8" s="63"/>
      <c r="E8" s="25">
        <v>2.9499999999999998E-2</v>
      </c>
      <c r="F8" s="56" t="s">
        <v>17</v>
      </c>
      <c r="G8" s="57"/>
      <c r="H8" s="57"/>
      <c r="I8" s="58"/>
      <c r="J8" s="24">
        <v>2.5000000000000001E-2</v>
      </c>
    </row>
    <row r="9" spans="1:22" x14ac:dyDescent="0.2">
      <c r="A9" s="22"/>
      <c r="B9" s="63" t="s">
        <v>16</v>
      </c>
      <c r="C9" s="63"/>
      <c r="D9" s="63"/>
      <c r="E9" s="36">
        <v>20</v>
      </c>
      <c r="F9" s="56" t="s">
        <v>15</v>
      </c>
      <c r="G9" s="57"/>
      <c r="H9" s="57"/>
      <c r="I9" s="58"/>
      <c r="J9" s="23" t="s">
        <v>26</v>
      </c>
    </row>
    <row r="10" spans="1:22" x14ac:dyDescent="0.2">
      <c r="A10" s="22"/>
      <c r="B10" s="56" t="s">
        <v>22</v>
      </c>
      <c r="C10" s="57"/>
      <c r="D10" s="58"/>
      <c r="E10" s="21">
        <v>5000</v>
      </c>
      <c r="F10" s="56" t="s">
        <v>25</v>
      </c>
      <c r="G10" s="57"/>
      <c r="H10" s="57"/>
      <c r="I10" s="58"/>
      <c r="J10" s="20">
        <v>25000</v>
      </c>
    </row>
    <row r="11" spans="1:22" x14ac:dyDescent="0.2">
      <c r="B11" s="19"/>
      <c r="C11" s="18"/>
      <c r="D11" s="18"/>
      <c r="E11" s="16"/>
      <c r="F11" s="2"/>
      <c r="G11" s="18"/>
      <c r="H11" s="17"/>
      <c r="I11" s="17"/>
      <c r="J11" s="16"/>
    </row>
    <row r="12" spans="1:22" x14ac:dyDescent="0.2">
      <c r="B12" s="15"/>
      <c r="C12" s="14"/>
      <c r="D12" s="14"/>
      <c r="E12" s="13"/>
      <c r="F12" s="2"/>
      <c r="G12" s="14"/>
      <c r="H12" s="14"/>
      <c r="I12" s="14"/>
      <c r="J12" s="13"/>
    </row>
    <row r="13" spans="1:22" ht="25.5" x14ac:dyDescent="0.2">
      <c r="B13" s="43" t="s">
        <v>10</v>
      </c>
      <c r="C13" s="44" t="s">
        <v>7</v>
      </c>
      <c r="D13" s="43" t="s">
        <v>11</v>
      </c>
      <c r="E13" s="45" t="s">
        <v>8</v>
      </c>
      <c r="F13" s="37" t="s">
        <v>0</v>
      </c>
      <c r="G13" s="38" t="s">
        <v>14</v>
      </c>
      <c r="H13" s="38" t="s">
        <v>9</v>
      </c>
      <c r="I13" s="37" t="s">
        <v>12</v>
      </c>
      <c r="J13" s="39" t="s">
        <v>13</v>
      </c>
    </row>
    <row r="14" spans="1:22" x14ac:dyDescent="0.2">
      <c r="B14" s="10">
        <v>2018</v>
      </c>
      <c r="C14" s="9">
        <v>237820</v>
      </c>
      <c r="D14" s="7">
        <v>0</v>
      </c>
      <c r="E14" s="8">
        <f t="shared" ref="E14:E33" si="0">C14+D14</f>
        <v>237820</v>
      </c>
      <c r="F14" s="6">
        <f>J5</f>
        <v>85000</v>
      </c>
      <c r="G14" s="8">
        <f>J6+J10</f>
        <v>72500</v>
      </c>
      <c r="H14" s="12">
        <f t="shared" ref="H14:H33" si="1">F14+G14</f>
        <v>157500</v>
      </c>
      <c r="I14" s="12">
        <f t="shared" ref="I14:I33" si="2">H14-E14</f>
        <v>-80320</v>
      </c>
      <c r="J14" s="12">
        <f>I14</f>
        <v>-80320</v>
      </c>
      <c r="Q14" s="50">
        <f t="shared" ref="Q14:Q33" si="3">H14-D14</f>
        <v>157500</v>
      </c>
      <c r="R14" s="50">
        <f>Q14+100000</f>
        <v>257500</v>
      </c>
      <c r="S14" s="50">
        <f>R14-15000-300-400-300-250+1500</f>
        <v>242750</v>
      </c>
      <c r="T14" s="50">
        <f>S14-Q14</f>
        <v>85250</v>
      </c>
      <c r="V14" s="49">
        <v>285969.31999999937</v>
      </c>
    </row>
    <row r="15" spans="1:22" x14ac:dyDescent="0.2">
      <c r="B15" s="10">
        <f>B14+1</f>
        <v>2019</v>
      </c>
      <c r="C15" s="11">
        <v>210020</v>
      </c>
      <c r="D15" s="7">
        <f>E10</f>
        <v>5000</v>
      </c>
      <c r="E15" s="8">
        <f t="shared" si="0"/>
        <v>215020</v>
      </c>
      <c r="F15" s="6">
        <f t="shared" ref="F15:F33" si="4">F14*(1+$J$7)</f>
        <v>85000</v>
      </c>
      <c r="G15" s="7">
        <f>J6*(1+$J$8)</f>
        <v>48687.499999999993</v>
      </c>
      <c r="H15" s="6">
        <f t="shared" si="1"/>
        <v>133687.5</v>
      </c>
      <c r="I15" s="6">
        <f t="shared" si="2"/>
        <v>-81332.5</v>
      </c>
      <c r="J15" s="6">
        <f t="shared" ref="J15:J33" si="5">J14+I15</f>
        <v>-161652.5</v>
      </c>
      <c r="M15" s="48">
        <v>3350000</v>
      </c>
      <c r="N15" s="48"/>
      <c r="O15" s="48"/>
      <c r="P15" s="48"/>
      <c r="Q15" s="50">
        <f t="shared" si="3"/>
        <v>128687.5</v>
      </c>
      <c r="R15" s="50">
        <f t="shared" ref="R15:R26" si="6">Q15+100000</f>
        <v>228687.5</v>
      </c>
      <c r="S15" s="50">
        <f t="shared" ref="S15:S33" si="7">R15-15000-300-400-300-250+1500</f>
        <v>213937.5</v>
      </c>
      <c r="T15" s="50">
        <f t="shared" ref="T15:T34" si="8">S15-Q15</f>
        <v>85250</v>
      </c>
      <c r="V15" s="49">
        <v>286805.16999999899</v>
      </c>
    </row>
    <row r="16" spans="1:22" x14ac:dyDescent="0.2">
      <c r="B16" s="10">
        <f t="shared" ref="B16:B33" si="9">B15+1</f>
        <v>2020</v>
      </c>
      <c r="C16" s="11">
        <v>212720</v>
      </c>
      <c r="D16" s="7">
        <f t="shared" ref="D16:D33" si="10">D15*(1+$J$8)</f>
        <v>5125</v>
      </c>
      <c r="E16" s="8">
        <f t="shared" si="0"/>
        <v>217845</v>
      </c>
      <c r="F16" s="6">
        <f t="shared" si="4"/>
        <v>85000</v>
      </c>
      <c r="G16" s="7">
        <f t="shared" ref="G16:G33" si="11">G15*(1+$J$8)</f>
        <v>49904.687499999985</v>
      </c>
      <c r="H16" s="6">
        <f t="shared" si="1"/>
        <v>134904.6875</v>
      </c>
      <c r="I16" s="6">
        <f t="shared" si="2"/>
        <v>-82940.3125</v>
      </c>
      <c r="J16" s="6">
        <f t="shared" si="5"/>
        <v>-244592.8125</v>
      </c>
      <c r="L16" t="s">
        <v>27</v>
      </c>
      <c r="M16" s="48">
        <f>3465000*0.02</f>
        <v>69300</v>
      </c>
      <c r="N16" s="48"/>
      <c r="O16" s="48"/>
      <c r="P16" s="48"/>
      <c r="Q16" s="50">
        <f t="shared" si="3"/>
        <v>129779.6875</v>
      </c>
      <c r="R16" s="50">
        <f t="shared" si="6"/>
        <v>229779.6875</v>
      </c>
      <c r="S16" s="50">
        <f t="shared" si="7"/>
        <v>215029.6875</v>
      </c>
      <c r="T16" s="50">
        <f t="shared" si="8"/>
        <v>85250</v>
      </c>
      <c r="V16" s="49">
        <v>284697.37999999896</v>
      </c>
    </row>
    <row r="17" spans="2:22" x14ac:dyDescent="0.2">
      <c r="B17" s="10">
        <f t="shared" si="9"/>
        <v>2021</v>
      </c>
      <c r="C17" s="11">
        <v>215320</v>
      </c>
      <c r="D17" s="7">
        <f t="shared" si="10"/>
        <v>5253.1249999999991</v>
      </c>
      <c r="E17" s="8">
        <f t="shared" si="0"/>
        <v>220573.125</v>
      </c>
      <c r="F17" s="6">
        <f t="shared" si="4"/>
        <v>85000</v>
      </c>
      <c r="G17" s="7">
        <f t="shared" si="11"/>
        <v>51152.304687499978</v>
      </c>
      <c r="H17" s="6">
        <f t="shared" si="1"/>
        <v>136152.30468749997</v>
      </c>
      <c r="I17" s="6">
        <f t="shared" si="2"/>
        <v>-84420.820312500029</v>
      </c>
      <c r="J17" s="6">
        <f t="shared" si="5"/>
        <v>-329013.6328125</v>
      </c>
      <c r="L17" t="s">
        <v>28</v>
      </c>
      <c r="M17" s="48">
        <v>8250</v>
      </c>
      <c r="N17" s="48"/>
      <c r="O17" s="48"/>
      <c r="P17" s="48"/>
      <c r="Q17" s="50">
        <f t="shared" si="3"/>
        <v>130899.17968749997</v>
      </c>
      <c r="R17" s="50">
        <f t="shared" si="6"/>
        <v>230899.17968749997</v>
      </c>
      <c r="S17" s="50">
        <f t="shared" si="7"/>
        <v>216149.17968749997</v>
      </c>
      <c r="T17" s="50">
        <f t="shared" si="8"/>
        <v>85250</v>
      </c>
      <c r="V17" s="49">
        <v>284234.52999999933</v>
      </c>
    </row>
    <row r="18" spans="2:22" x14ac:dyDescent="0.2">
      <c r="B18" s="10">
        <f t="shared" si="9"/>
        <v>2022</v>
      </c>
      <c r="C18" s="11">
        <v>212820</v>
      </c>
      <c r="D18" s="7">
        <f t="shared" si="10"/>
        <v>5384.4531249999982</v>
      </c>
      <c r="E18" s="8">
        <f t="shared" si="0"/>
        <v>218204.453125</v>
      </c>
      <c r="F18" s="6">
        <f t="shared" si="4"/>
        <v>85000</v>
      </c>
      <c r="G18" s="7">
        <f t="shared" si="11"/>
        <v>52431.112304687471</v>
      </c>
      <c r="H18" s="6">
        <f t="shared" si="1"/>
        <v>137431.11230468747</v>
      </c>
      <c r="I18" s="6">
        <f t="shared" si="2"/>
        <v>-80773.340820312529</v>
      </c>
      <c r="J18" s="6">
        <f t="shared" si="5"/>
        <v>-409786.9736328125</v>
      </c>
      <c r="L18" t="s">
        <v>29</v>
      </c>
      <c r="M18" s="48">
        <v>3500</v>
      </c>
      <c r="N18" s="48"/>
      <c r="O18" s="48"/>
      <c r="P18" s="48"/>
      <c r="Q18" s="50">
        <f t="shared" si="3"/>
        <v>132046.65917968747</v>
      </c>
      <c r="R18" s="50">
        <f t="shared" si="6"/>
        <v>232046.65917968747</v>
      </c>
      <c r="S18" s="50">
        <f t="shared" si="7"/>
        <v>217296.65917968747</v>
      </c>
      <c r="T18" s="50">
        <f t="shared" si="8"/>
        <v>85250</v>
      </c>
      <c r="V18" s="49">
        <v>287226.12999999989</v>
      </c>
    </row>
    <row r="19" spans="2:22" x14ac:dyDescent="0.2">
      <c r="B19" s="10">
        <f t="shared" si="9"/>
        <v>2023</v>
      </c>
      <c r="C19" s="11">
        <v>215320</v>
      </c>
      <c r="D19" s="7">
        <f t="shared" si="10"/>
        <v>5519.0644531249973</v>
      </c>
      <c r="E19" s="8">
        <f t="shared" si="0"/>
        <v>220839.064453125</v>
      </c>
      <c r="F19" s="6">
        <f t="shared" si="4"/>
        <v>85000</v>
      </c>
      <c r="G19" s="7">
        <f t="shared" si="11"/>
        <v>53741.890112304653</v>
      </c>
      <c r="H19" s="6">
        <f t="shared" si="1"/>
        <v>138741.89011230465</v>
      </c>
      <c r="I19" s="6">
        <f t="shared" si="2"/>
        <v>-82097.174340820347</v>
      </c>
      <c r="J19" s="6">
        <f t="shared" si="5"/>
        <v>-491884.14797363285</v>
      </c>
      <c r="L19" t="s">
        <v>30</v>
      </c>
      <c r="M19" s="48">
        <v>26860</v>
      </c>
      <c r="N19" s="48"/>
      <c r="O19" s="48"/>
      <c r="P19" s="48"/>
      <c r="Q19" s="50">
        <f t="shared" si="3"/>
        <v>133222.82565917965</v>
      </c>
      <c r="R19" s="50">
        <f t="shared" si="6"/>
        <v>233222.82565917965</v>
      </c>
      <c r="S19" s="50">
        <f t="shared" si="7"/>
        <v>218472.82565917965</v>
      </c>
      <c r="T19" s="50">
        <f t="shared" si="8"/>
        <v>85250</v>
      </c>
      <c r="V19" s="49">
        <v>287176.74000000022</v>
      </c>
    </row>
    <row r="20" spans="2:22" x14ac:dyDescent="0.2">
      <c r="B20" s="10">
        <f t="shared" si="9"/>
        <v>2024</v>
      </c>
      <c r="C20" s="11">
        <v>217330</v>
      </c>
      <c r="D20" s="7">
        <f t="shared" si="10"/>
        <v>5657.0410644531221</v>
      </c>
      <c r="E20" s="8">
        <f t="shared" si="0"/>
        <v>222987.04106445314</v>
      </c>
      <c r="F20" s="6">
        <f t="shared" si="4"/>
        <v>85000</v>
      </c>
      <c r="G20" s="7">
        <f t="shared" si="11"/>
        <v>55085.437365112266</v>
      </c>
      <c r="H20" s="6">
        <f t="shared" si="1"/>
        <v>140085.43736511227</v>
      </c>
      <c r="I20" s="6">
        <f t="shared" si="2"/>
        <v>-82901.603699340863</v>
      </c>
      <c r="J20" s="6">
        <f t="shared" si="5"/>
        <v>-574785.75167297374</v>
      </c>
      <c r="L20" s="2" t="s">
        <v>31</v>
      </c>
      <c r="M20" s="48">
        <v>2090</v>
      </c>
      <c r="N20" s="48"/>
      <c r="O20" s="48"/>
      <c r="P20" s="48"/>
      <c r="Q20" s="50">
        <f t="shared" si="3"/>
        <v>134428.39630065917</v>
      </c>
      <c r="R20" s="50">
        <f t="shared" si="6"/>
        <v>234428.39630065917</v>
      </c>
      <c r="S20" s="50">
        <f t="shared" si="7"/>
        <v>219678.39630065917</v>
      </c>
      <c r="T20" s="50">
        <f t="shared" si="8"/>
        <v>85250</v>
      </c>
      <c r="V20" s="49">
        <v>288548.11999999918</v>
      </c>
    </row>
    <row r="21" spans="2:22" x14ac:dyDescent="0.2">
      <c r="B21" s="10">
        <f t="shared" si="9"/>
        <v>2025</v>
      </c>
      <c r="C21" s="11">
        <v>219225</v>
      </c>
      <c r="D21" s="7">
        <f t="shared" si="10"/>
        <v>5798.46709106445</v>
      </c>
      <c r="E21" s="8">
        <f t="shared" si="0"/>
        <v>225023.46709106446</v>
      </c>
      <c r="F21" s="6">
        <f t="shared" si="4"/>
        <v>85000</v>
      </c>
      <c r="G21" s="7">
        <f t="shared" si="11"/>
        <v>56462.573299240066</v>
      </c>
      <c r="H21" s="6">
        <f t="shared" si="1"/>
        <v>141462.57329924006</v>
      </c>
      <c r="I21" s="6">
        <f t="shared" si="2"/>
        <v>-83560.893791824405</v>
      </c>
      <c r="J21" s="6">
        <f t="shared" si="5"/>
        <v>-658346.6454647982</v>
      </c>
      <c r="M21" s="48">
        <f>SUM(M15:M20)</f>
        <v>3460000</v>
      </c>
      <c r="N21" s="48"/>
      <c r="O21" s="48"/>
      <c r="Q21" s="50">
        <f t="shared" si="3"/>
        <v>135664.1062081756</v>
      </c>
      <c r="R21" s="50">
        <f t="shared" si="6"/>
        <v>235664.1062081756</v>
      </c>
      <c r="S21" s="50">
        <f t="shared" si="7"/>
        <v>220914.1062081756</v>
      </c>
      <c r="T21" s="50">
        <f t="shared" si="8"/>
        <v>85250</v>
      </c>
      <c r="V21" s="49">
        <v>292713.98999999929</v>
      </c>
    </row>
    <row r="22" spans="2:22" x14ac:dyDescent="0.2">
      <c r="B22" s="10">
        <f t="shared" si="9"/>
        <v>2026</v>
      </c>
      <c r="C22" s="11">
        <v>221005</v>
      </c>
      <c r="D22" s="7">
        <f t="shared" si="10"/>
        <v>5943.4287683410603</v>
      </c>
      <c r="E22" s="8">
        <f t="shared" si="0"/>
        <v>226948.42876834105</v>
      </c>
      <c r="F22" s="6">
        <f t="shared" si="4"/>
        <v>85000</v>
      </c>
      <c r="G22" s="7">
        <f t="shared" si="11"/>
        <v>57874.13763172106</v>
      </c>
      <c r="H22" s="6">
        <f t="shared" si="1"/>
        <v>142874.13763172107</v>
      </c>
      <c r="I22" s="6">
        <f t="shared" si="2"/>
        <v>-84074.291136619984</v>
      </c>
      <c r="J22" s="6">
        <f t="shared" si="5"/>
        <v>-742420.93660141819</v>
      </c>
      <c r="M22" s="48">
        <v>3460000</v>
      </c>
      <c r="N22" s="48"/>
      <c r="O22" s="48"/>
      <c r="Q22" s="50">
        <f t="shared" si="3"/>
        <v>136930.70886338002</v>
      </c>
      <c r="R22" s="50">
        <f t="shared" si="6"/>
        <v>236930.70886338002</v>
      </c>
      <c r="S22" s="50">
        <f t="shared" si="7"/>
        <v>222180.70886338002</v>
      </c>
      <c r="T22" s="50">
        <f t="shared" si="8"/>
        <v>85250</v>
      </c>
      <c r="V22" s="49">
        <v>288659.70000000019</v>
      </c>
    </row>
    <row r="23" spans="2:22" x14ac:dyDescent="0.2">
      <c r="B23" s="10">
        <f t="shared" si="9"/>
        <v>2027</v>
      </c>
      <c r="C23" s="11">
        <v>222670</v>
      </c>
      <c r="D23" s="7">
        <f t="shared" si="10"/>
        <v>6092.0144875495862</v>
      </c>
      <c r="E23" s="8">
        <f t="shared" si="0"/>
        <v>228762.01448754958</v>
      </c>
      <c r="F23" s="6">
        <f t="shared" si="4"/>
        <v>85000</v>
      </c>
      <c r="G23" s="7">
        <f t="shared" si="11"/>
        <v>59320.99107251408</v>
      </c>
      <c r="H23" s="6">
        <f t="shared" si="1"/>
        <v>144320.99107251409</v>
      </c>
      <c r="I23" s="6">
        <f t="shared" si="2"/>
        <v>-84441.023415035481</v>
      </c>
      <c r="J23" s="6">
        <f t="shared" si="5"/>
        <v>-826861.96001645364</v>
      </c>
      <c r="M23" s="48"/>
      <c r="N23" s="48"/>
      <c r="O23" s="48"/>
      <c r="Q23" s="50">
        <f t="shared" si="3"/>
        <v>138228.97658496452</v>
      </c>
      <c r="R23" s="50">
        <f t="shared" si="6"/>
        <v>238228.97658496452</v>
      </c>
      <c r="S23" s="50">
        <f t="shared" si="7"/>
        <v>223478.97658496452</v>
      </c>
      <c r="T23" s="50">
        <f t="shared" si="8"/>
        <v>85250</v>
      </c>
      <c r="V23" s="49">
        <v>297161</v>
      </c>
    </row>
    <row r="24" spans="2:22" x14ac:dyDescent="0.2">
      <c r="B24" s="10">
        <f t="shared" si="9"/>
        <v>2028</v>
      </c>
      <c r="C24" s="11">
        <v>224220</v>
      </c>
      <c r="D24" s="7">
        <f t="shared" si="10"/>
        <v>6244.3148497383254</v>
      </c>
      <c r="E24" s="8">
        <f t="shared" si="0"/>
        <v>230464.31484973832</v>
      </c>
      <c r="F24" s="6">
        <f t="shared" si="4"/>
        <v>85000</v>
      </c>
      <c r="G24" s="7">
        <f t="shared" si="11"/>
        <v>60804.015849326926</v>
      </c>
      <c r="H24" s="6">
        <f t="shared" si="1"/>
        <v>145804.01584932691</v>
      </c>
      <c r="I24" s="6">
        <f t="shared" si="2"/>
        <v>-84660.299000411411</v>
      </c>
      <c r="J24" s="6">
        <f t="shared" si="5"/>
        <v>-911522.25901686505</v>
      </c>
      <c r="Q24" s="50">
        <f t="shared" si="3"/>
        <v>139559.70099958859</v>
      </c>
      <c r="R24" s="50">
        <f t="shared" si="6"/>
        <v>239559.70099958859</v>
      </c>
      <c r="S24" s="50">
        <f t="shared" si="7"/>
        <v>224809.70099958859</v>
      </c>
      <c r="T24" s="50">
        <f t="shared" si="8"/>
        <v>85250</v>
      </c>
      <c r="V24" s="49">
        <v>288950.59999999963</v>
      </c>
    </row>
    <row r="25" spans="2:22" x14ac:dyDescent="0.2">
      <c r="B25" s="10">
        <f t="shared" si="9"/>
        <v>2029</v>
      </c>
      <c r="C25" s="11">
        <v>224957.5</v>
      </c>
      <c r="D25" s="7">
        <f t="shared" si="10"/>
        <v>6400.4227209817827</v>
      </c>
      <c r="E25" s="8">
        <f t="shared" si="0"/>
        <v>231357.92272098179</v>
      </c>
      <c r="F25" s="6">
        <f t="shared" si="4"/>
        <v>85000</v>
      </c>
      <c r="G25" s="7">
        <f t="shared" si="11"/>
        <v>62324.116245560093</v>
      </c>
      <c r="H25" s="6">
        <f t="shared" si="1"/>
        <v>147324.11624556009</v>
      </c>
      <c r="I25" s="6">
        <f t="shared" si="2"/>
        <v>-84033.806475421705</v>
      </c>
      <c r="J25" s="6">
        <f t="shared" si="5"/>
        <v>-995556.06549228681</v>
      </c>
      <c r="L25" s="51" t="s">
        <v>32</v>
      </c>
      <c r="M25" s="52">
        <v>2035000</v>
      </c>
      <c r="N25" s="48"/>
      <c r="O25" s="48"/>
      <c r="Q25" s="50">
        <f t="shared" si="3"/>
        <v>140923.6935245783</v>
      </c>
      <c r="R25" s="50">
        <f t="shared" si="6"/>
        <v>240923.6935245783</v>
      </c>
      <c r="S25" s="50">
        <f t="shared" si="7"/>
        <v>226173.6935245783</v>
      </c>
      <c r="T25" s="50">
        <f t="shared" si="8"/>
        <v>85250</v>
      </c>
      <c r="V25" s="49">
        <v>293737.62000000011</v>
      </c>
    </row>
    <row r="26" spans="2:22" x14ac:dyDescent="0.2">
      <c r="B26" s="10">
        <f t="shared" si="9"/>
        <v>2030</v>
      </c>
      <c r="C26" s="11">
        <v>225557.5</v>
      </c>
      <c r="D26" s="7">
        <f t="shared" si="10"/>
        <v>6560.433289006327</v>
      </c>
      <c r="E26" s="8">
        <f t="shared" si="0"/>
        <v>232117.93328900632</v>
      </c>
      <c r="F26" s="6">
        <f t="shared" si="4"/>
        <v>85000</v>
      </c>
      <c r="G26" s="7">
        <f t="shared" si="11"/>
        <v>63882.219151699093</v>
      </c>
      <c r="H26" s="6">
        <f t="shared" si="1"/>
        <v>148882.2191516991</v>
      </c>
      <c r="I26" s="6">
        <f t="shared" si="2"/>
        <v>-83235.714137307223</v>
      </c>
      <c r="J26" s="6">
        <f t="shared" si="5"/>
        <v>-1078791.7796295939</v>
      </c>
      <c r="L26" s="51" t="s">
        <v>33</v>
      </c>
      <c r="M26" s="52">
        <f>3460000-M25</f>
        <v>1425000</v>
      </c>
      <c r="N26" s="48"/>
      <c r="O26" s="48"/>
      <c r="Q26" s="50">
        <f t="shared" si="3"/>
        <v>142321.78586269278</v>
      </c>
      <c r="R26" s="50">
        <f t="shared" si="6"/>
        <v>242321.78586269278</v>
      </c>
      <c r="S26" s="50">
        <f t="shared" si="7"/>
        <v>227571.78586269278</v>
      </c>
      <c r="T26" s="50">
        <f t="shared" si="8"/>
        <v>85250</v>
      </c>
      <c r="V26" s="49">
        <v>260881.70999999903</v>
      </c>
    </row>
    <row r="27" spans="2:22" x14ac:dyDescent="0.2">
      <c r="B27" s="10">
        <f t="shared" si="9"/>
        <v>2031</v>
      </c>
      <c r="C27" s="11">
        <v>266020</v>
      </c>
      <c r="D27" s="7">
        <f t="shared" si="10"/>
        <v>6724.4441212314841</v>
      </c>
      <c r="E27" s="8">
        <f t="shared" si="0"/>
        <v>272744.4441212315</v>
      </c>
      <c r="F27" s="6">
        <f t="shared" si="4"/>
        <v>85000</v>
      </c>
      <c r="G27" s="7">
        <f t="shared" si="11"/>
        <v>65479.274630491564</v>
      </c>
      <c r="H27" s="6">
        <f t="shared" si="1"/>
        <v>150479.27463049156</v>
      </c>
      <c r="I27" s="6">
        <f t="shared" si="2"/>
        <v>-122265.16949073994</v>
      </c>
      <c r="J27" s="6">
        <f t="shared" si="5"/>
        <v>-1201056.9491203339</v>
      </c>
      <c r="Q27" s="50">
        <f t="shared" si="3"/>
        <v>143754.83050926009</v>
      </c>
      <c r="R27" s="50">
        <f>Q27+100000+40000</f>
        <v>283754.83050926006</v>
      </c>
      <c r="S27" s="50">
        <f t="shared" si="7"/>
        <v>269004.83050926006</v>
      </c>
      <c r="T27" s="50">
        <f t="shared" si="8"/>
        <v>125249.99999999997</v>
      </c>
      <c r="V27" s="49">
        <v>2008702.8699999992</v>
      </c>
    </row>
    <row r="28" spans="2:22" x14ac:dyDescent="0.2">
      <c r="B28" s="10">
        <f t="shared" si="9"/>
        <v>2032</v>
      </c>
      <c r="C28" s="11">
        <v>269510</v>
      </c>
      <c r="D28" s="7">
        <f t="shared" si="10"/>
        <v>6892.5552242622707</v>
      </c>
      <c r="E28" s="8">
        <f t="shared" si="0"/>
        <v>276402.55522426229</v>
      </c>
      <c r="F28" s="6">
        <f t="shared" si="4"/>
        <v>85000</v>
      </c>
      <c r="G28" s="7">
        <f t="shared" si="11"/>
        <v>67116.256496253845</v>
      </c>
      <c r="H28" s="6">
        <f t="shared" si="1"/>
        <v>152116.25649625383</v>
      </c>
      <c r="I28" s="6">
        <f t="shared" si="2"/>
        <v>-124286.29872800846</v>
      </c>
      <c r="J28" s="6">
        <f t="shared" si="5"/>
        <v>-1325343.2478483424</v>
      </c>
      <c r="Q28" s="50">
        <f t="shared" si="3"/>
        <v>145223.70127199157</v>
      </c>
      <c r="R28" s="50">
        <f t="shared" ref="R28:R33" si="12">Q28+100000+40000</f>
        <v>285223.70127199159</v>
      </c>
      <c r="S28" s="50">
        <f t="shared" si="7"/>
        <v>270473.70127199159</v>
      </c>
      <c r="T28" s="50">
        <f t="shared" si="8"/>
        <v>125250.00000000003</v>
      </c>
      <c r="V28" s="49">
        <v>3992102.2599999993</v>
      </c>
    </row>
    <row r="29" spans="2:22" x14ac:dyDescent="0.2">
      <c r="B29" s="10">
        <f t="shared" si="9"/>
        <v>2033</v>
      </c>
      <c r="C29" s="11">
        <v>267690</v>
      </c>
      <c r="D29" s="7">
        <f t="shared" si="10"/>
        <v>7064.869104868827</v>
      </c>
      <c r="E29" s="8">
        <f t="shared" si="0"/>
        <v>274754.86910486885</v>
      </c>
      <c r="F29" s="6">
        <f t="shared" si="4"/>
        <v>85000</v>
      </c>
      <c r="G29" s="7">
        <f t="shared" si="11"/>
        <v>68794.16290866019</v>
      </c>
      <c r="H29" s="6">
        <f t="shared" si="1"/>
        <v>153794.16290866019</v>
      </c>
      <c r="I29" s="6">
        <f t="shared" si="2"/>
        <v>-120960.70619620866</v>
      </c>
      <c r="J29" s="6">
        <f t="shared" si="5"/>
        <v>-1446303.9540445511</v>
      </c>
      <c r="Q29" s="50">
        <f t="shared" si="3"/>
        <v>146729.29380379137</v>
      </c>
      <c r="R29" s="50">
        <f t="shared" si="12"/>
        <v>286729.2938037914</v>
      </c>
      <c r="S29" s="50">
        <f t="shared" si="7"/>
        <v>271979.2938037914</v>
      </c>
      <c r="T29" s="50">
        <f t="shared" si="8"/>
        <v>125250.00000000003</v>
      </c>
      <c r="V29" s="49">
        <v>3989302.2999999993</v>
      </c>
    </row>
    <row r="30" spans="2:22" x14ac:dyDescent="0.2">
      <c r="B30" s="10">
        <f t="shared" si="9"/>
        <v>2034</v>
      </c>
      <c r="C30" s="11">
        <v>270265</v>
      </c>
      <c r="D30" s="7">
        <f t="shared" si="10"/>
        <v>7241.4908324905473</v>
      </c>
      <c r="E30" s="8">
        <f t="shared" si="0"/>
        <v>277506.49083249056</v>
      </c>
      <c r="F30" s="6">
        <f t="shared" si="4"/>
        <v>85000</v>
      </c>
      <c r="G30" s="7">
        <f t="shared" si="11"/>
        <v>70514.016981376684</v>
      </c>
      <c r="H30" s="6">
        <f t="shared" si="1"/>
        <v>155514.01698137668</v>
      </c>
      <c r="I30" s="6">
        <f t="shared" si="2"/>
        <v>-121992.47385111387</v>
      </c>
      <c r="J30" s="6">
        <f t="shared" si="5"/>
        <v>-1568296.4278956649</v>
      </c>
      <c r="Q30" s="50">
        <f t="shared" si="3"/>
        <v>148272.52614888613</v>
      </c>
      <c r="R30" s="50">
        <f t="shared" si="12"/>
        <v>288272.52614888613</v>
      </c>
      <c r="S30" s="50">
        <f t="shared" si="7"/>
        <v>273522.52614888613</v>
      </c>
      <c r="T30" s="50">
        <f t="shared" si="8"/>
        <v>125250</v>
      </c>
      <c r="V30" s="49">
        <v>3992251.6799999997</v>
      </c>
    </row>
    <row r="31" spans="2:22" x14ac:dyDescent="0.2">
      <c r="B31" s="10">
        <f t="shared" si="9"/>
        <v>2035</v>
      </c>
      <c r="C31" s="11">
        <v>272040</v>
      </c>
      <c r="D31" s="7">
        <f t="shared" si="10"/>
        <v>7422.5281033028105</v>
      </c>
      <c r="E31" s="8">
        <f t="shared" si="0"/>
        <v>279462.52810330281</v>
      </c>
      <c r="F31" s="6">
        <f t="shared" si="4"/>
        <v>85000</v>
      </c>
      <c r="G31" s="7">
        <f t="shared" si="11"/>
        <v>72276.867405911093</v>
      </c>
      <c r="H31" s="6">
        <f t="shared" si="1"/>
        <v>157276.86740591109</v>
      </c>
      <c r="I31" s="6">
        <f t="shared" si="2"/>
        <v>-122185.66069739172</v>
      </c>
      <c r="J31" s="6">
        <f t="shared" si="5"/>
        <v>-1690482.0885930567</v>
      </c>
      <c r="Q31" s="50">
        <f t="shared" si="3"/>
        <v>149854.33930260828</v>
      </c>
      <c r="R31" s="50">
        <f t="shared" si="12"/>
        <v>289854.33930260828</v>
      </c>
      <c r="S31" s="50">
        <f t="shared" si="7"/>
        <v>275104.33930260828</v>
      </c>
      <c r="T31" s="50">
        <f t="shared" si="8"/>
        <v>125250</v>
      </c>
      <c r="V31" s="49">
        <v>3985802.5999999996</v>
      </c>
    </row>
    <row r="32" spans="2:22" x14ac:dyDescent="0.2">
      <c r="B32" s="10">
        <f t="shared" si="9"/>
        <v>2036</v>
      </c>
      <c r="C32" s="11">
        <v>273465</v>
      </c>
      <c r="D32" s="7">
        <f t="shared" si="10"/>
        <v>7608.0913058853803</v>
      </c>
      <c r="E32" s="8">
        <f t="shared" si="0"/>
        <v>281073.09130588541</v>
      </c>
      <c r="F32" s="6">
        <f t="shared" si="4"/>
        <v>85000</v>
      </c>
      <c r="G32" s="7">
        <f t="shared" si="11"/>
        <v>74083.789091058861</v>
      </c>
      <c r="H32" s="6">
        <f t="shared" si="1"/>
        <v>159083.78909105886</v>
      </c>
      <c r="I32" s="6">
        <f t="shared" si="2"/>
        <v>-121989.30221482654</v>
      </c>
      <c r="J32" s="6">
        <f t="shared" si="5"/>
        <v>-1812471.3908078831</v>
      </c>
      <c r="Q32" s="50">
        <f t="shared" si="3"/>
        <v>151475.69778517348</v>
      </c>
      <c r="R32" s="50">
        <f t="shared" si="12"/>
        <v>291475.69778517348</v>
      </c>
      <c r="S32" s="50">
        <f t="shared" si="7"/>
        <v>276725.69778517348</v>
      </c>
      <c r="T32" s="50">
        <f t="shared" si="8"/>
        <v>125250</v>
      </c>
      <c r="V32" s="49">
        <v>3990253.1399999997</v>
      </c>
    </row>
    <row r="33" spans="2:22" x14ac:dyDescent="0.2">
      <c r="B33" s="10">
        <f t="shared" si="9"/>
        <v>2037</v>
      </c>
      <c r="C33" s="11">
        <v>274540</v>
      </c>
      <c r="D33" s="7">
        <f t="shared" si="10"/>
        <v>7798.2935885325141</v>
      </c>
      <c r="E33" s="8">
        <f t="shared" si="0"/>
        <v>282338.29358853254</v>
      </c>
      <c r="F33" s="6">
        <f t="shared" si="4"/>
        <v>85000</v>
      </c>
      <c r="G33" s="7">
        <f t="shared" si="11"/>
        <v>75935.883818335322</v>
      </c>
      <c r="H33" s="6">
        <f t="shared" si="1"/>
        <v>160935.88381833531</v>
      </c>
      <c r="I33" s="6">
        <f t="shared" si="2"/>
        <v>-121402.40977019724</v>
      </c>
      <c r="J33" s="6">
        <f t="shared" si="5"/>
        <v>-1933873.8005780804</v>
      </c>
      <c r="Q33" s="50">
        <f t="shared" si="3"/>
        <v>153137.59022980279</v>
      </c>
      <c r="R33" s="50">
        <f t="shared" si="12"/>
        <v>293137.59022980276</v>
      </c>
      <c r="S33" s="50">
        <f t="shared" si="7"/>
        <v>278387.59022980276</v>
      </c>
      <c r="T33" s="50">
        <f t="shared" si="8"/>
        <v>125249.99999999997</v>
      </c>
      <c r="V33" s="49">
        <v>4814675.4399999995</v>
      </c>
    </row>
    <row r="34" spans="2:22" x14ac:dyDescent="0.2">
      <c r="B34" s="5" t="s">
        <v>1</v>
      </c>
      <c r="C34" s="4">
        <f t="shared" ref="C34:I34" si="13">SUM(C14:C33)</f>
        <v>4752515</v>
      </c>
      <c r="D34" s="4">
        <f t="shared" si="13"/>
        <v>119730.03712983346</v>
      </c>
      <c r="E34" s="4">
        <f t="shared" si="13"/>
        <v>4872245.0371298324</v>
      </c>
      <c r="F34" s="4">
        <f t="shared" si="13"/>
        <v>1700000</v>
      </c>
      <c r="G34" s="4">
        <f t="shared" si="13"/>
        <v>1238371.2365517532</v>
      </c>
      <c r="H34" s="4">
        <f t="shared" si="13"/>
        <v>2938371.2365517537</v>
      </c>
      <c r="I34" s="4">
        <f t="shared" si="13"/>
        <v>-1933873.8005780804</v>
      </c>
      <c r="J34" s="3">
        <f>J33</f>
        <v>-1933873.8005780804</v>
      </c>
      <c r="Q34" s="50"/>
      <c r="T34" s="50">
        <f t="shared" si="8"/>
        <v>0</v>
      </c>
    </row>
    <row r="35" spans="2:22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22" x14ac:dyDescent="0.2">
      <c r="B36" s="1"/>
      <c r="C36" s="1"/>
      <c r="D36" s="1"/>
      <c r="E36" s="1"/>
      <c r="F36" s="1"/>
      <c r="G36" s="1"/>
      <c r="H36" s="1"/>
      <c r="I36" s="1"/>
      <c r="J36" s="1"/>
    </row>
  </sheetData>
  <mergeCells count="14">
    <mergeCell ref="B10:D10"/>
    <mergeCell ref="B7:D7"/>
    <mergeCell ref="B8:D8"/>
    <mergeCell ref="B9:D9"/>
    <mergeCell ref="F8:I8"/>
    <mergeCell ref="F9:I9"/>
    <mergeCell ref="F10:I10"/>
    <mergeCell ref="F4:J4"/>
    <mergeCell ref="F5:I5"/>
    <mergeCell ref="F6:I6"/>
    <mergeCell ref="F7:I7"/>
    <mergeCell ref="B1:J1"/>
    <mergeCell ref="B4:E4"/>
    <mergeCell ref="B5:D5"/>
  </mergeCells>
  <printOptions horizontalCentered="1"/>
  <pageMargins left="0.7" right="0.7" top="0.75" bottom="0.75" header="0.3" footer="0.3"/>
  <pageSetup orientation="landscape" r:id="rId1"/>
  <ignoredErrors>
    <ignoredError sqref="E6:E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showGridLines="0" zoomScale="85" zoomScaleNormal="85" workbookViewId="0">
      <selection activeCell="F29" sqref="F29"/>
    </sheetView>
  </sheetViews>
  <sheetFormatPr defaultRowHeight="12.75" x14ac:dyDescent="0.2"/>
  <cols>
    <col min="2" max="2" width="10.42578125" customWidth="1"/>
    <col min="3" max="3" width="12.7109375" customWidth="1"/>
    <col min="4" max="4" width="10.28515625" customWidth="1"/>
    <col min="5" max="10" width="12.7109375" customWidth="1"/>
    <col min="13" max="13" width="25.85546875" customWidth="1"/>
    <col min="14" max="15" width="14.7109375" customWidth="1"/>
    <col min="17" max="19" width="10" bestFit="1" customWidth="1"/>
    <col min="21" max="21" width="15.5703125" customWidth="1"/>
  </cols>
  <sheetData>
    <row r="1" spans="1:21" ht="18" x14ac:dyDescent="0.25">
      <c r="B1" s="59" t="s">
        <v>24</v>
      </c>
      <c r="C1" s="60"/>
      <c r="D1" s="60"/>
      <c r="E1" s="60"/>
      <c r="F1" s="60"/>
      <c r="G1" s="60"/>
      <c r="H1" s="60"/>
      <c r="I1" s="60"/>
      <c r="J1" s="61"/>
    </row>
    <row r="2" spans="1:21" ht="15.75" x14ac:dyDescent="0.25">
      <c r="A2" s="35"/>
      <c r="B2" s="40" t="s">
        <v>23</v>
      </c>
      <c r="C2" s="41"/>
      <c r="D2" s="41"/>
      <c r="E2" s="41"/>
      <c r="F2" s="41"/>
      <c r="G2" s="41"/>
      <c r="H2" s="41"/>
      <c r="I2" s="41"/>
      <c r="J2" s="42"/>
    </row>
    <row r="3" spans="1:21" ht="25.5" x14ac:dyDescent="0.2">
      <c r="A3" s="30"/>
      <c r="B3" s="34"/>
      <c r="C3" s="46"/>
      <c r="D3" s="46"/>
      <c r="E3" s="47"/>
      <c r="F3" s="31"/>
      <c r="G3" s="18"/>
      <c r="H3" s="18"/>
      <c r="I3" s="18"/>
      <c r="J3" s="16"/>
    </row>
    <row r="4" spans="1:21" x14ac:dyDescent="0.2">
      <c r="A4" s="30"/>
      <c r="B4" s="62" t="s">
        <v>5</v>
      </c>
      <c r="C4" s="62"/>
      <c r="D4" s="62"/>
      <c r="E4" s="62"/>
      <c r="F4" s="53" t="s">
        <v>6</v>
      </c>
      <c r="G4" s="54"/>
      <c r="H4" s="54"/>
      <c r="I4" s="54"/>
      <c r="J4" s="55"/>
    </row>
    <row r="5" spans="1:21" x14ac:dyDescent="0.2">
      <c r="A5" s="22"/>
      <c r="B5" s="63" t="s">
        <v>21</v>
      </c>
      <c r="C5" s="63"/>
      <c r="D5" s="63"/>
      <c r="E5" s="26">
        <v>3350000</v>
      </c>
      <c r="F5" s="56" t="s">
        <v>20</v>
      </c>
      <c r="G5" s="57"/>
      <c r="H5" s="57"/>
      <c r="I5" s="58"/>
      <c r="J5" s="20">
        <v>90000</v>
      </c>
    </row>
    <row r="6" spans="1:21" x14ac:dyDescent="0.2">
      <c r="A6" s="22"/>
      <c r="B6" s="29" t="s">
        <v>2</v>
      </c>
      <c r="C6" s="28"/>
      <c r="D6" s="27"/>
      <c r="E6" s="26">
        <f>E5*0.032</f>
        <v>107200</v>
      </c>
      <c r="F6" s="56" t="s">
        <v>19</v>
      </c>
      <c r="G6" s="57"/>
      <c r="H6" s="57"/>
      <c r="I6" s="58"/>
      <c r="J6" s="20">
        <v>47500</v>
      </c>
    </row>
    <row r="7" spans="1:21" x14ac:dyDescent="0.2">
      <c r="A7" s="22"/>
      <c r="B7" s="63" t="s">
        <v>3</v>
      </c>
      <c r="C7" s="63"/>
      <c r="D7" s="63"/>
      <c r="E7" s="26">
        <f>E6+E5</f>
        <v>3457200</v>
      </c>
      <c r="F7" s="56" t="s">
        <v>18</v>
      </c>
      <c r="G7" s="57"/>
      <c r="H7" s="57"/>
      <c r="I7" s="58"/>
      <c r="J7" s="24">
        <v>0.02</v>
      </c>
    </row>
    <row r="8" spans="1:21" x14ac:dyDescent="0.2">
      <c r="A8" s="22"/>
      <c r="B8" s="63" t="s">
        <v>4</v>
      </c>
      <c r="C8" s="63"/>
      <c r="D8" s="63"/>
      <c r="E8" s="25">
        <v>2.75E-2</v>
      </c>
      <c r="F8" s="56" t="s">
        <v>17</v>
      </c>
      <c r="G8" s="57"/>
      <c r="H8" s="57"/>
      <c r="I8" s="58"/>
      <c r="J8" s="24">
        <v>2.5000000000000001E-2</v>
      </c>
    </row>
    <row r="9" spans="1:21" x14ac:dyDescent="0.2">
      <c r="A9" s="22"/>
      <c r="B9" s="63" t="s">
        <v>16</v>
      </c>
      <c r="C9" s="63"/>
      <c r="D9" s="63"/>
      <c r="E9" s="36">
        <v>15</v>
      </c>
      <c r="F9" s="56" t="s">
        <v>15</v>
      </c>
      <c r="G9" s="57"/>
      <c r="H9" s="57"/>
      <c r="I9" s="58"/>
      <c r="J9" s="23" t="s">
        <v>26</v>
      </c>
    </row>
    <row r="10" spans="1:21" x14ac:dyDescent="0.2">
      <c r="A10" s="22"/>
      <c r="B10" s="56" t="s">
        <v>22</v>
      </c>
      <c r="C10" s="57"/>
      <c r="D10" s="58"/>
      <c r="E10" s="21">
        <v>5000</v>
      </c>
      <c r="F10" s="56" t="s">
        <v>25</v>
      </c>
      <c r="G10" s="57"/>
      <c r="H10" s="57"/>
      <c r="I10" s="58"/>
      <c r="J10" s="20">
        <v>25000</v>
      </c>
    </row>
    <row r="11" spans="1:21" x14ac:dyDescent="0.2">
      <c r="B11" s="19"/>
      <c r="C11" s="18"/>
      <c r="D11" s="18"/>
      <c r="E11" s="16"/>
      <c r="F11" s="2"/>
      <c r="G11" s="18"/>
      <c r="H11" s="17"/>
      <c r="I11" s="17"/>
      <c r="J11" s="16"/>
    </row>
    <row r="12" spans="1:21" x14ac:dyDescent="0.2">
      <c r="B12" s="15"/>
      <c r="C12" s="14"/>
      <c r="D12" s="14"/>
      <c r="E12" s="13"/>
      <c r="F12" s="2"/>
      <c r="G12" s="14"/>
      <c r="H12" s="14"/>
      <c r="I12" s="14"/>
      <c r="J12" s="13"/>
    </row>
    <row r="13" spans="1:21" ht="25.5" x14ac:dyDescent="0.2">
      <c r="B13" s="43" t="s">
        <v>10</v>
      </c>
      <c r="C13" s="44" t="s">
        <v>7</v>
      </c>
      <c r="D13" s="43" t="s">
        <v>11</v>
      </c>
      <c r="E13" s="45" t="s">
        <v>8</v>
      </c>
      <c r="F13" s="37" t="s">
        <v>0</v>
      </c>
      <c r="G13" s="38" t="s">
        <v>14</v>
      </c>
      <c r="H13" s="38" t="s">
        <v>9</v>
      </c>
      <c r="I13" s="37" t="s">
        <v>12</v>
      </c>
      <c r="J13" s="39" t="s">
        <v>13</v>
      </c>
      <c r="N13" s="48">
        <v>3350000</v>
      </c>
      <c r="O13" s="48"/>
    </row>
    <row r="14" spans="1:21" x14ac:dyDescent="0.2">
      <c r="B14" s="10">
        <v>2018</v>
      </c>
      <c r="C14" s="9">
        <v>290805</v>
      </c>
      <c r="D14" s="7">
        <v>0</v>
      </c>
      <c r="E14" s="8">
        <f t="shared" ref="E14:E28" si="0">C14+D14</f>
        <v>290805</v>
      </c>
      <c r="F14" s="6">
        <f>J5</f>
        <v>90000</v>
      </c>
      <c r="G14" s="8">
        <f>J6+J10</f>
        <v>72500</v>
      </c>
      <c r="H14" s="12">
        <f t="shared" ref="H14:H28" si="1">F14+G14</f>
        <v>162500</v>
      </c>
      <c r="I14" s="12">
        <f t="shared" ref="I14:I28" si="2">H14-E14</f>
        <v>-128305</v>
      </c>
      <c r="J14" s="12">
        <f>I14</f>
        <v>-128305</v>
      </c>
      <c r="M14" t="s">
        <v>27</v>
      </c>
      <c r="N14" s="48">
        <f>3465000*0.02</f>
        <v>69300</v>
      </c>
      <c r="O14" s="48"/>
      <c r="Q14" s="50">
        <f t="shared" ref="Q14:Q28" si="3">H14-D14</f>
        <v>162500</v>
      </c>
      <c r="R14" s="50">
        <f>Q14+150000</f>
        <v>312500</v>
      </c>
      <c r="S14" s="50">
        <f>R14-21500+700+400+300+300</f>
        <v>292700</v>
      </c>
      <c r="U14" s="49">
        <v>285969.31999999937</v>
      </c>
    </row>
    <row r="15" spans="1:21" x14ac:dyDescent="0.2">
      <c r="B15" s="10">
        <f>B14+1</f>
        <v>2019</v>
      </c>
      <c r="C15" s="11">
        <v>261705</v>
      </c>
      <c r="D15" s="7">
        <f>E10</f>
        <v>5000</v>
      </c>
      <c r="E15" s="8">
        <f t="shared" si="0"/>
        <v>266705</v>
      </c>
      <c r="F15" s="6">
        <f t="shared" ref="F15:F28" si="4">F14*(1+$J$7)</f>
        <v>91800</v>
      </c>
      <c r="G15" s="7">
        <f>J6*(1+$J$8)</f>
        <v>48687.499999999993</v>
      </c>
      <c r="H15" s="6">
        <f t="shared" si="1"/>
        <v>140487.5</v>
      </c>
      <c r="I15" s="6">
        <f t="shared" si="2"/>
        <v>-126217.5</v>
      </c>
      <c r="J15" s="6">
        <f t="shared" ref="J15:J28" si="5">J14+I15</f>
        <v>-254522.5</v>
      </c>
      <c r="M15" t="s">
        <v>28</v>
      </c>
      <c r="N15" s="48">
        <v>8250</v>
      </c>
      <c r="O15" s="48"/>
      <c r="Q15" s="50">
        <f t="shared" si="3"/>
        <v>135487.5</v>
      </c>
      <c r="R15" s="50">
        <f t="shared" ref="R15:R28" si="6">Q15+150000</f>
        <v>285487.5</v>
      </c>
      <c r="S15" s="50">
        <f t="shared" ref="S15:S28" si="7">R15-21500+700+400+300+300</f>
        <v>265687.5</v>
      </c>
      <c r="U15" s="49">
        <v>286805.16999999899</v>
      </c>
    </row>
    <row r="16" spans="1:21" x14ac:dyDescent="0.2">
      <c r="B16" s="10">
        <f t="shared" ref="B16:B28" si="8">B15+1</f>
        <v>2020</v>
      </c>
      <c r="C16" s="11">
        <v>268105</v>
      </c>
      <c r="D16" s="7">
        <f t="shared" ref="D16:D28" si="9">D15*(1+$J$8)</f>
        <v>5125</v>
      </c>
      <c r="E16" s="8">
        <f t="shared" si="0"/>
        <v>273230</v>
      </c>
      <c r="F16" s="6">
        <f t="shared" si="4"/>
        <v>93636</v>
      </c>
      <c r="G16" s="7">
        <f t="shared" ref="G16:G28" si="10">G15*(1+$J$8)</f>
        <v>49904.687499999985</v>
      </c>
      <c r="H16" s="6">
        <f t="shared" si="1"/>
        <v>143540.6875</v>
      </c>
      <c r="I16" s="6">
        <f t="shared" si="2"/>
        <v>-129689.3125</v>
      </c>
      <c r="J16" s="6">
        <f t="shared" si="5"/>
        <v>-384211.8125</v>
      </c>
      <c r="M16" t="s">
        <v>29</v>
      </c>
      <c r="N16" s="48">
        <v>3500</v>
      </c>
      <c r="O16" s="48"/>
      <c r="Q16" s="50">
        <f t="shared" si="3"/>
        <v>138415.6875</v>
      </c>
      <c r="R16" s="50">
        <f t="shared" si="6"/>
        <v>288415.6875</v>
      </c>
      <c r="S16" s="50">
        <f t="shared" si="7"/>
        <v>268615.6875</v>
      </c>
      <c r="U16" s="49">
        <v>284697.37999999896</v>
      </c>
    </row>
    <row r="17" spans="2:21" x14ac:dyDescent="0.2">
      <c r="B17" s="10">
        <f t="shared" si="8"/>
        <v>2021</v>
      </c>
      <c r="C17" s="11">
        <v>269305</v>
      </c>
      <c r="D17" s="7">
        <f t="shared" si="9"/>
        <v>5253.1249999999991</v>
      </c>
      <c r="E17" s="8">
        <f t="shared" si="0"/>
        <v>274558.125</v>
      </c>
      <c r="F17" s="6">
        <f t="shared" si="4"/>
        <v>95508.72</v>
      </c>
      <c r="G17" s="7">
        <f t="shared" si="10"/>
        <v>51152.304687499978</v>
      </c>
      <c r="H17" s="6">
        <f t="shared" si="1"/>
        <v>146661.02468749997</v>
      </c>
      <c r="I17" s="6">
        <f t="shared" si="2"/>
        <v>-127897.10031250003</v>
      </c>
      <c r="J17" s="6">
        <f t="shared" si="5"/>
        <v>-512108.91281250003</v>
      </c>
      <c r="M17" t="s">
        <v>30</v>
      </c>
      <c r="N17" s="48">
        <v>26860</v>
      </c>
      <c r="O17" s="48"/>
      <c r="Q17" s="50">
        <f t="shared" si="3"/>
        <v>141407.89968749997</v>
      </c>
      <c r="R17" s="50">
        <f t="shared" si="6"/>
        <v>291407.89968749997</v>
      </c>
      <c r="S17" s="50">
        <f t="shared" si="7"/>
        <v>271607.89968749997</v>
      </c>
      <c r="U17" s="49">
        <v>284234.52999999933</v>
      </c>
    </row>
    <row r="18" spans="2:21" x14ac:dyDescent="0.2">
      <c r="B18" s="10">
        <f t="shared" si="8"/>
        <v>2022</v>
      </c>
      <c r="C18" s="11">
        <v>270405</v>
      </c>
      <c r="D18" s="7">
        <f t="shared" si="9"/>
        <v>5384.4531249999982</v>
      </c>
      <c r="E18" s="8">
        <f t="shared" si="0"/>
        <v>275789.453125</v>
      </c>
      <c r="F18" s="6">
        <f t="shared" si="4"/>
        <v>97418.894400000005</v>
      </c>
      <c r="G18" s="7">
        <f t="shared" si="10"/>
        <v>52431.112304687471</v>
      </c>
      <c r="H18" s="6">
        <f t="shared" si="1"/>
        <v>149850.00670468749</v>
      </c>
      <c r="I18" s="6">
        <f t="shared" si="2"/>
        <v>-125939.44642031251</v>
      </c>
      <c r="J18" s="6">
        <f t="shared" si="5"/>
        <v>-638048.35923281254</v>
      </c>
      <c r="M18" s="2" t="s">
        <v>31</v>
      </c>
      <c r="N18" s="48">
        <v>2090</v>
      </c>
      <c r="O18" s="48"/>
      <c r="Q18" s="50">
        <f t="shared" si="3"/>
        <v>144465.55357968749</v>
      </c>
      <c r="R18" s="50">
        <f t="shared" si="6"/>
        <v>294465.55357968749</v>
      </c>
      <c r="S18" s="50">
        <f t="shared" si="7"/>
        <v>274665.55357968749</v>
      </c>
      <c r="U18" s="49">
        <v>287226.12999999989</v>
      </c>
    </row>
    <row r="19" spans="2:21" x14ac:dyDescent="0.2">
      <c r="B19" s="10">
        <f t="shared" si="8"/>
        <v>2023</v>
      </c>
      <c r="C19" s="11">
        <v>276405</v>
      </c>
      <c r="D19" s="7">
        <f t="shared" si="9"/>
        <v>5519.0644531249973</v>
      </c>
      <c r="E19" s="8">
        <f t="shared" si="0"/>
        <v>281924.064453125</v>
      </c>
      <c r="F19" s="6">
        <f t="shared" si="4"/>
        <v>99367.272288000007</v>
      </c>
      <c r="G19" s="7">
        <f t="shared" si="10"/>
        <v>53741.890112304653</v>
      </c>
      <c r="H19" s="6">
        <f t="shared" si="1"/>
        <v>153109.16240030466</v>
      </c>
      <c r="I19" s="6">
        <f t="shared" si="2"/>
        <v>-128814.90205282034</v>
      </c>
      <c r="J19" s="6">
        <f t="shared" si="5"/>
        <v>-766863.26128563285</v>
      </c>
      <c r="N19" s="48">
        <f>SUM(N13:N18)</f>
        <v>3460000</v>
      </c>
      <c r="O19" s="48"/>
      <c r="Q19" s="50">
        <f t="shared" si="3"/>
        <v>147590.09794717966</v>
      </c>
      <c r="R19" s="50">
        <f t="shared" si="6"/>
        <v>297590.09794717969</v>
      </c>
      <c r="S19" s="50">
        <f t="shared" si="7"/>
        <v>277790.09794717969</v>
      </c>
      <c r="U19" s="49">
        <v>287176.74000000022</v>
      </c>
    </row>
    <row r="20" spans="2:21" x14ac:dyDescent="0.2">
      <c r="B20" s="10">
        <f t="shared" si="8"/>
        <v>2024</v>
      </c>
      <c r="C20" s="11">
        <v>276575</v>
      </c>
      <c r="D20" s="7">
        <f t="shared" si="9"/>
        <v>5657.0410644531221</v>
      </c>
      <c r="E20" s="8">
        <f t="shared" si="0"/>
        <v>282232.04106445314</v>
      </c>
      <c r="F20" s="6">
        <f t="shared" si="4"/>
        <v>101354.61773376001</v>
      </c>
      <c r="G20" s="7">
        <f t="shared" si="10"/>
        <v>55085.437365112266</v>
      </c>
      <c r="H20" s="6">
        <f t="shared" si="1"/>
        <v>156440.05509887228</v>
      </c>
      <c r="I20" s="6">
        <f t="shared" si="2"/>
        <v>-125791.98596558085</v>
      </c>
      <c r="J20" s="6">
        <f t="shared" si="5"/>
        <v>-892655.24725121376</v>
      </c>
      <c r="N20" s="48">
        <v>3460000</v>
      </c>
      <c r="O20" s="48"/>
      <c r="Q20" s="50">
        <f t="shared" si="3"/>
        <v>150783.01403441915</v>
      </c>
      <c r="R20" s="50">
        <f t="shared" si="6"/>
        <v>300783.01403441915</v>
      </c>
      <c r="S20" s="50">
        <f t="shared" si="7"/>
        <v>280983.01403441915</v>
      </c>
      <c r="U20" s="49">
        <v>288548.11999999918</v>
      </c>
    </row>
    <row r="21" spans="2:21" x14ac:dyDescent="0.2">
      <c r="B21" s="10">
        <f t="shared" si="8"/>
        <v>2025</v>
      </c>
      <c r="C21" s="11">
        <v>281630</v>
      </c>
      <c r="D21" s="7">
        <f t="shared" si="9"/>
        <v>5798.46709106445</v>
      </c>
      <c r="E21" s="8">
        <f t="shared" si="0"/>
        <v>287428.46709106443</v>
      </c>
      <c r="F21" s="6">
        <f t="shared" si="4"/>
        <v>103381.71008843521</v>
      </c>
      <c r="G21" s="7">
        <f t="shared" si="10"/>
        <v>56462.573299240066</v>
      </c>
      <c r="H21" s="6">
        <f t="shared" si="1"/>
        <v>159844.28338767527</v>
      </c>
      <c r="I21" s="6">
        <f t="shared" si="2"/>
        <v>-127584.18370338916</v>
      </c>
      <c r="J21" s="6">
        <f t="shared" si="5"/>
        <v>-1020239.4309546029</v>
      </c>
      <c r="N21" s="48"/>
      <c r="O21" s="48"/>
      <c r="Q21" s="50">
        <f t="shared" si="3"/>
        <v>154045.81629661081</v>
      </c>
      <c r="R21" s="50">
        <f t="shared" si="6"/>
        <v>304045.81629661081</v>
      </c>
      <c r="S21" s="50">
        <f t="shared" si="7"/>
        <v>284245.81629661081</v>
      </c>
      <c r="U21" s="49">
        <v>292713.98999999929</v>
      </c>
    </row>
    <row r="22" spans="2:21" x14ac:dyDescent="0.2">
      <c r="B22" s="10">
        <f t="shared" si="8"/>
        <v>2026</v>
      </c>
      <c r="C22" s="11">
        <v>286455</v>
      </c>
      <c r="D22" s="7">
        <f t="shared" si="9"/>
        <v>5943.4287683410603</v>
      </c>
      <c r="E22" s="8">
        <f t="shared" si="0"/>
        <v>292398.42876834108</v>
      </c>
      <c r="F22" s="6">
        <f t="shared" si="4"/>
        <v>105449.34429020392</v>
      </c>
      <c r="G22" s="7">
        <f t="shared" si="10"/>
        <v>57874.13763172106</v>
      </c>
      <c r="H22" s="6">
        <f t="shared" si="1"/>
        <v>163323.48192192498</v>
      </c>
      <c r="I22" s="6">
        <f t="shared" si="2"/>
        <v>-129074.9468464161</v>
      </c>
      <c r="J22" s="6">
        <f t="shared" si="5"/>
        <v>-1149314.377801019</v>
      </c>
      <c r="Q22" s="50">
        <f t="shared" si="3"/>
        <v>157380.05315358393</v>
      </c>
      <c r="R22" s="50">
        <f t="shared" si="6"/>
        <v>307380.0531535839</v>
      </c>
      <c r="S22" s="50">
        <f t="shared" si="7"/>
        <v>287580.0531535839</v>
      </c>
      <c r="U22" s="49">
        <v>288659.70000000019</v>
      </c>
    </row>
    <row r="23" spans="2:21" x14ac:dyDescent="0.2">
      <c r="B23" s="10">
        <f t="shared" si="8"/>
        <v>2027</v>
      </c>
      <c r="C23" s="11">
        <v>286050</v>
      </c>
      <c r="D23" s="7">
        <f t="shared" si="9"/>
        <v>6092.0144875495862</v>
      </c>
      <c r="E23" s="8">
        <f t="shared" si="0"/>
        <v>292142.0144875496</v>
      </c>
      <c r="F23" s="6">
        <f t="shared" si="4"/>
        <v>107558.33117600801</v>
      </c>
      <c r="G23" s="7">
        <f t="shared" si="10"/>
        <v>59320.99107251408</v>
      </c>
      <c r="H23" s="6">
        <f t="shared" si="1"/>
        <v>166879.32224852208</v>
      </c>
      <c r="I23" s="6">
        <f t="shared" si="2"/>
        <v>-125262.69223902753</v>
      </c>
      <c r="J23" s="6">
        <f t="shared" si="5"/>
        <v>-1274577.0700400465</v>
      </c>
      <c r="M23" s="51" t="s">
        <v>32</v>
      </c>
      <c r="N23" s="52">
        <v>1875000</v>
      </c>
      <c r="O23" s="48"/>
      <c r="Q23" s="50">
        <f t="shared" si="3"/>
        <v>160787.3077609725</v>
      </c>
      <c r="R23" s="50">
        <f t="shared" si="6"/>
        <v>310787.30776097253</v>
      </c>
      <c r="S23" s="50">
        <f t="shared" si="7"/>
        <v>290987.30776097253</v>
      </c>
      <c r="U23" s="49">
        <v>297161</v>
      </c>
    </row>
    <row r="24" spans="2:21" x14ac:dyDescent="0.2">
      <c r="B24" s="10">
        <f t="shared" si="8"/>
        <v>2028</v>
      </c>
      <c r="C24" s="11">
        <v>290530</v>
      </c>
      <c r="D24" s="7">
        <f t="shared" si="9"/>
        <v>6244.3148497383254</v>
      </c>
      <c r="E24" s="8">
        <f t="shared" si="0"/>
        <v>296774.31484973832</v>
      </c>
      <c r="F24" s="6">
        <f t="shared" si="4"/>
        <v>109709.49779952817</v>
      </c>
      <c r="G24" s="7">
        <f t="shared" si="10"/>
        <v>60804.015849326926</v>
      </c>
      <c r="H24" s="6">
        <f t="shared" si="1"/>
        <v>170513.51364885509</v>
      </c>
      <c r="I24" s="6">
        <f t="shared" si="2"/>
        <v>-126260.80120088323</v>
      </c>
      <c r="J24" s="6">
        <f t="shared" si="5"/>
        <v>-1400837.8712409297</v>
      </c>
      <c r="M24" s="51" t="s">
        <v>33</v>
      </c>
      <c r="N24" s="52">
        <f>3460000-N23</f>
        <v>1585000</v>
      </c>
      <c r="O24" s="48"/>
      <c r="Q24" s="50">
        <f t="shared" si="3"/>
        <v>164269.19879911677</v>
      </c>
      <c r="R24" s="50">
        <f t="shared" si="6"/>
        <v>314269.19879911677</v>
      </c>
      <c r="S24" s="50">
        <f t="shared" si="7"/>
        <v>294469.19879911677</v>
      </c>
      <c r="U24" s="49">
        <v>288950.59999999963</v>
      </c>
    </row>
    <row r="25" spans="2:21" x14ac:dyDescent="0.2">
      <c r="B25" s="10">
        <f t="shared" si="8"/>
        <v>2029</v>
      </c>
      <c r="C25" s="11">
        <v>293655</v>
      </c>
      <c r="D25" s="7">
        <f t="shared" si="9"/>
        <v>6400.4227209817827</v>
      </c>
      <c r="E25" s="8">
        <f t="shared" si="0"/>
        <v>300055.42272098176</v>
      </c>
      <c r="F25" s="6">
        <f t="shared" si="4"/>
        <v>111903.68775551874</v>
      </c>
      <c r="G25" s="7">
        <f t="shared" si="10"/>
        <v>62324.116245560093</v>
      </c>
      <c r="H25" s="6">
        <f t="shared" si="1"/>
        <v>174227.80400107882</v>
      </c>
      <c r="I25" s="6">
        <f t="shared" si="2"/>
        <v>-125827.61871990294</v>
      </c>
      <c r="J25" s="6">
        <f t="shared" si="5"/>
        <v>-1526665.4899608325</v>
      </c>
      <c r="Q25" s="50">
        <f t="shared" si="3"/>
        <v>167827.38128009703</v>
      </c>
      <c r="R25" s="50">
        <f t="shared" si="6"/>
        <v>317827.38128009706</v>
      </c>
      <c r="S25" s="50">
        <f t="shared" si="7"/>
        <v>298027.38128009706</v>
      </c>
      <c r="U25" s="49">
        <v>293737.62000000011</v>
      </c>
    </row>
    <row r="26" spans="2:21" x14ac:dyDescent="0.2">
      <c r="B26" s="10">
        <f t="shared" si="8"/>
        <v>2030</v>
      </c>
      <c r="C26" s="11">
        <v>301505</v>
      </c>
      <c r="D26" s="7">
        <f t="shared" si="9"/>
        <v>6560.433289006327</v>
      </c>
      <c r="E26" s="8">
        <f t="shared" si="0"/>
        <v>308065.43328900635</v>
      </c>
      <c r="F26" s="6">
        <f t="shared" si="4"/>
        <v>114141.76151062912</v>
      </c>
      <c r="G26" s="7">
        <f t="shared" si="10"/>
        <v>63882.219151699093</v>
      </c>
      <c r="H26" s="6">
        <f t="shared" si="1"/>
        <v>178023.98066232822</v>
      </c>
      <c r="I26" s="6">
        <f t="shared" si="2"/>
        <v>-130041.45262667813</v>
      </c>
      <c r="J26" s="6">
        <f t="shared" si="5"/>
        <v>-1656706.9425875107</v>
      </c>
      <c r="Q26" s="50">
        <f t="shared" si="3"/>
        <v>171463.5473733219</v>
      </c>
      <c r="R26" s="50">
        <f t="shared" si="6"/>
        <v>321463.5473733219</v>
      </c>
      <c r="S26" s="50">
        <f t="shared" si="7"/>
        <v>301663.5473733219</v>
      </c>
      <c r="U26" s="49">
        <v>260881.70999999903</v>
      </c>
    </row>
    <row r="27" spans="2:21" x14ac:dyDescent="0.2">
      <c r="B27" s="10">
        <f t="shared" si="8"/>
        <v>2031</v>
      </c>
      <c r="C27" s="11">
        <v>302980</v>
      </c>
      <c r="D27" s="7">
        <f t="shared" si="9"/>
        <v>6724.4441212314841</v>
      </c>
      <c r="E27" s="8">
        <f t="shared" si="0"/>
        <v>309704.4441212315</v>
      </c>
      <c r="F27" s="6">
        <f t="shared" si="4"/>
        <v>116424.59674084171</v>
      </c>
      <c r="G27" s="7">
        <f t="shared" si="10"/>
        <v>65479.274630491564</v>
      </c>
      <c r="H27" s="6">
        <f t="shared" si="1"/>
        <v>181903.87137133325</v>
      </c>
      <c r="I27" s="6">
        <f t="shared" si="2"/>
        <v>-127800.57274989825</v>
      </c>
      <c r="J27" s="6">
        <f t="shared" si="5"/>
        <v>-1784507.515337409</v>
      </c>
      <c r="Q27" s="50">
        <f t="shared" si="3"/>
        <v>175179.42725010178</v>
      </c>
      <c r="R27" s="50">
        <f t="shared" si="6"/>
        <v>325179.42725010181</v>
      </c>
      <c r="S27" s="50">
        <f t="shared" si="7"/>
        <v>305379.42725010181</v>
      </c>
      <c r="U27" s="49">
        <v>2008702.8699999992</v>
      </c>
    </row>
    <row r="28" spans="2:21" x14ac:dyDescent="0.2">
      <c r="B28" s="10">
        <f t="shared" si="8"/>
        <v>2032</v>
      </c>
      <c r="C28" s="11">
        <v>304145</v>
      </c>
      <c r="D28" s="7">
        <f t="shared" si="9"/>
        <v>6892.5552242622707</v>
      </c>
      <c r="E28" s="8">
        <f t="shared" si="0"/>
        <v>311037.55522426229</v>
      </c>
      <c r="F28" s="6">
        <f t="shared" si="4"/>
        <v>118753.08867565854</v>
      </c>
      <c r="G28" s="7">
        <f t="shared" si="10"/>
        <v>67116.256496253845</v>
      </c>
      <c r="H28" s="6">
        <f t="shared" si="1"/>
        <v>185869.3451719124</v>
      </c>
      <c r="I28" s="6">
        <f t="shared" si="2"/>
        <v>-125168.2100523499</v>
      </c>
      <c r="J28" s="6">
        <f t="shared" si="5"/>
        <v>-1909675.7253897588</v>
      </c>
      <c r="Q28" s="50">
        <f t="shared" si="3"/>
        <v>178976.78994765013</v>
      </c>
      <c r="R28" s="50">
        <f t="shared" si="6"/>
        <v>328976.78994765016</v>
      </c>
      <c r="S28" s="50">
        <f t="shared" si="7"/>
        <v>309176.78994765016</v>
      </c>
      <c r="U28" s="49">
        <v>3992102.2599999993</v>
      </c>
    </row>
    <row r="29" spans="2:21" x14ac:dyDescent="0.2">
      <c r="B29" s="5" t="s">
        <v>1</v>
      </c>
      <c r="C29" s="4">
        <f t="shared" ref="C29:I29" si="11">SUM(C14:C28)</f>
        <v>4260255</v>
      </c>
      <c r="D29" s="4">
        <f t="shared" si="11"/>
        <v>82594.764194753399</v>
      </c>
      <c r="E29" s="4">
        <f t="shared" si="11"/>
        <v>4342849.764194753</v>
      </c>
      <c r="F29" s="4">
        <f t="shared" si="11"/>
        <v>1556407.5224585833</v>
      </c>
      <c r="G29" s="4">
        <f t="shared" si="11"/>
        <v>876766.51634641108</v>
      </c>
      <c r="H29" s="4">
        <f t="shared" si="11"/>
        <v>2433174.0388049949</v>
      </c>
      <c r="I29" s="4">
        <f t="shared" si="11"/>
        <v>-1909675.7253897588</v>
      </c>
      <c r="J29" s="3">
        <f>J28</f>
        <v>-1909675.7253897588</v>
      </c>
      <c r="Q29" s="50"/>
      <c r="U29" s="49">
        <v>3989302.2999999993</v>
      </c>
    </row>
    <row r="30" spans="2:21" x14ac:dyDescent="0.2">
      <c r="B30" s="1"/>
      <c r="C30" s="1"/>
      <c r="D30" s="1"/>
      <c r="E30" s="1"/>
      <c r="F30" s="1"/>
      <c r="G30" s="1"/>
      <c r="H30" s="1"/>
      <c r="I30" s="1"/>
      <c r="J30" s="1"/>
      <c r="Q30" s="50"/>
      <c r="U30" s="49">
        <v>3992251.6799999997</v>
      </c>
    </row>
    <row r="31" spans="2:21" x14ac:dyDescent="0.2">
      <c r="B31" s="1"/>
      <c r="C31" s="1"/>
      <c r="D31" s="1"/>
      <c r="E31" s="1"/>
      <c r="F31" s="1"/>
      <c r="G31" s="1"/>
      <c r="H31" s="1"/>
      <c r="I31" s="1"/>
      <c r="J31" s="1"/>
      <c r="Q31" s="50"/>
      <c r="U31" s="49">
        <v>3985802.5999999996</v>
      </c>
    </row>
    <row r="32" spans="2:21" x14ac:dyDescent="0.2">
      <c r="Q32" s="50"/>
      <c r="U32" s="49">
        <v>3990253.1399999997</v>
      </c>
    </row>
    <row r="33" spans="17:21" x14ac:dyDescent="0.2">
      <c r="Q33" s="50"/>
      <c r="U33" s="49">
        <v>4814675.4399999995</v>
      </c>
    </row>
    <row r="34" spans="17:21" x14ac:dyDescent="0.2">
      <c r="Q34" s="50"/>
    </row>
    <row r="35" spans="17:21" x14ac:dyDescent="0.2">
      <c r="Q35" s="50"/>
    </row>
    <row r="36" spans="17:21" x14ac:dyDescent="0.2">
      <c r="Q36" s="50"/>
    </row>
    <row r="37" spans="17:21" x14ac:dyDescent="0.2">
      <c r="Q37" s="50"/>
    </row>
  </sheetData>
  <mergeCells count="14">
    <mergeCell ref="F6:I6"/>
    <mergeCell ref="B1:J1"/>
    <mergeCell ref="B4:E4"/>
    <mergeCell ref="F4:J4"/>
    <mergeCell ref="B5:D5"/>
    <mergeCell ref="F5:I5"/>
    <mergeCell ref="B10:D10"/>
    <mergeCell ref="F10:I10"/>
    <mergeCell ref="B7:D7"/>
    <mergeCell ref="F7:I7"/>
    <mergeCell ref="B8:D8"/>
    <mergeCell ref="F8:I8"/>
    <mergeCell ref="B9:D9"/>
    <mergeCell ref="F9:I9"/>
  </mergeCells>
  <printOptions horizontalCentered="1"/>
  <pageMargins left="0.7" right="0.7" top="0.75" bottom="0.75" header="0.3" footer="0.3"/>
  <pageSetup orientation="landscape" r:id="rId1"/>
  <ignoredErrors>
    <ignoredError sqref="E6: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20yr Pro-forma</vt:lpstr>
      <vt:lpstr>15yr Pro-forma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jkelly</dc:creator>
  <cp:lastModifiedBy>McKay, Carla</cp:lastModifiedBy>
  <cp:lastPrinted>2014-02-27T22:41:52Z</cp:lastPrinted>
  <dcterms:created xsi:type="dcterms:W3CDTF">2012-10-03T13:37:13Z</dcterms:created>
  <dcterms:modified xsi:type="dcterms:W3CDTF">2016-10-12T17:53:27Z</dcterms:modified>
</cp:coreProperties>
</file>