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355" yWindow="-45" windowWidth="9375" windowHeight="5205" tabRatio="737"/>
  </bookViews>
  <sheets>
    <sheet name="Data" sheetId="5" r:id="rId1"/>
    <sheet name="DISTRICT" sheetId="6" r:id="rId2"/>
    <sheet name="EHS" sheetId="7" r:id="rId3"/>
    <sheet name="Morningside" sheetId="1" r:id="rId4"/>
    <sheet name="Helmwood" sheetId="2" r:id="rId5"/>
    <sheet name="TK Stone MS" sheetId="3" r:id="rId6"/>
    <sheet name="Panther Acad" sheetId="8" r:id="rId7"/>
  </sheets>
  <definedNames>
    <definedName name="_xlnm.Print_Area" localSheetId="0">Data!$A$1:$I$97</definedName>
    <definedName name="_xlnm.Print_Area" localSheetId="1">DISTRICT!$A$1:$H$67</definedName>
    <definedName name="_xlnm.Print_Area" localSheetId="2">EHS!$A$1:$K$188</definedName>
    <definedName name="_xlnm.Print_Area" localSheetId="4">Helmwood!$A$1:$K$179</definedName>
    <definedName name="_xlnm.Print_Area" localSheetId="3">Morningside!$A$1:$K$193</definedName>
    <definedName name="_xlnm.Print_Area" localSheetId="6">'Panther Acad'!$A$1:$K$183</definedName>
    <definedName name="_xlnm.Print_Area" localSheetId="5">'TK Stone MS'!$A$1:$K$176</definedName>
    <definedName name="_xlnm.Print_Titles" localSheetId="0">Data!$1:$3</definedName>
    <definedName name="_xlnm.Print_Titles" localSheetId="2">EHS!$1:$2</definedName>
    <definedName name="_xlnm.Print_Titles" localSheetId="4">Helmwood!$1:$2</definedName>
    <definedName name="_xlnm.Print_Titles" localSheetId="3">Morningside!$1:$2</definedName>
    <definedName name="_xlnm.Print_Titles" localSheetId="6">'Panther Acad'!$1:$2</definedName>
    <definedName name="_xlnm.Print_Titles" localSheetId="5">'TK Stone MS'!$1:$2</definedName>
  </definedNames>
  <calcPr calcId="125725"/>
</workbook>
</file>

<file path=xl/calcChain.xml><?xml version="1.0" encoding="utf-8"?>
<calcChain xmlns="http://schemas.openxmlformats.org/spreadsheetml/2006/main">
  <c r="J132" i="8"/>
  <c r="I132"/>
  <c r="K132" s="1"/>
  <c r="H132"/>
  <c r="J69" i="1"/>
  <c r="H69"/>
  <c r="D178" i="5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28" i="8"/>
  <c r="H62" i="5" s="1"/>
  <c r="I118" i="7"/>
  <c r="K118" s="1"/>
  <c r="J64" i="3"/>
  <c r="H64"/>
  <c r="H59" i="8"/>
  <c r="C21" i="5"/>
  <c r="C33" s="1"/>
  <c r="C39"/>
  <c r="J125" i="8"/>
  <c r="I125"/>
  <c r="J133"/>
  <c r="I133"/>
  <c r="H133"/>
  <c r="J131"/>
  <c r="K131" s="1"/>
  <c r="F114" i="5"/>
  <c r="E114"/>
  <c r="C114"/>
  <c r="F104"/>
  <c r="H38" i="6"/>
  <c r="I59" i="5"/>
  <c r="H50"/>
  <c r="H47"/>
  <c r="J87" i="3"/>
  <c r="C80"/>
  <c r="J67"/>
  <c r="H63" i="1"/>
  <c r="J63"/>
  <c r="H56" i="5"/>
  <c r="I131" i="1"/>
  <c r="I130"/>
  <c r="I129"/>
  <c r="I128"/>
  <c r="I127"/>
  <c r="I126"/>
  <c r="E30" i="8"/>
  <c r="E29"/>
  <c r="E28"/>
  <c r="E27"/>
  <c r="C27" s="1"/>
  <c r="E13"/>
  <c r="G13" s="1"/>
  <c r="E12"/>
  <c r="G12" s="1"/>
  <c r="E11"/>
  <c r="G11" s="1"/>
  <c r="E10"/>
  <c r="C10" s="1"/>
  <c r="H51" i="5"/>
  <c r="H49"/>
  <c r="H48"/>
  <c r="H42"/>
  <c r="D21"/>
  <c r="D33"/>
  <c r="D34" s="1"/>
  <c r="J126" i="8"/>
  <c r="I126"/>
  <c r="H126"/>
  <c r="D122"/>
  <c r="C35" s="1"/>
  <c r="J120"/>
  <c r="I120"/>
  <c r="H120"/>
  <c r="J119"/>
  <c r="I119"/>
  <c r="H119"/>
  <c r="J118"/>
  <c r="I118"/>
  <c r="H118"/>
  <c r="J117"/>
  <c r="I117"/>
  <c r="H117"/>
  <c r="J116"/>
  <c r="I116"/>
  <c r="H116"/>
  <c r="J115"/>
  <c r="I115"/>
  <c r="H115"/>
  <c r="J114"/>
  <c r="I114"/>
  <c r="H114"/>
  <c r="J113"/>
  <c r="I113"/>
  <c r="H113"/>
  <c r="D111"/>
  <c r="H57" i="5" s="1"/>
  <c r="J108" i="8"/>
  <c r="I108"/>
  <c r="H108"/>
  <c r="J89"/>
  <c r="C82"/>
  <c r="C19" s="1"/>
  <c r="H45" i="5" s="1"/>
  <c r="J81" i="8"/>
  <c r="C81"/>
  <c r="C80"/>
  <c r="C79"/>
  <c r="C78"/>
  <c r="C77"/>
  <c r="J58"/>
  <c r="H58"/>
  <c r="J57"/>
  <c r="H57"/>
  <c r="J56"/>
  <c r="H56"/>
  <c r="H94"/>
  <c r="H55"/>
  <c r="J54"/>
  <c r="H54"/>
  <c r="H53"/>
  <c r="J52"/>
  <c r="H52"/>
  <c r="J48"/>
  <c r="J80" s="1"/>
  <c r="F143" s="1"/>
  <c r="H48"/>
  <c r="J45"/>
  <c r="J79" s="1"/>
  <c r="F144" s="1"/>
  <c r="H45"/>
  <c r="J42"/>
  <c r="J78" s="1"/>
  <c r="F141" s="1"/>
  <c r="J40"/>
  <c r="J77" s="1"/>
  <c r="H40"/>
  <c r="C36"/>
  <c r="F75" s="1"/>
  <c r="A36"/>
  <c r="A6"/>
  <c r="C136" s="1"/>
  <c r="C1"/>
  <c r="J57" i="7"/>
  <c r="H57"/>
  <c r="J84" i="2"/>
  <c r="J85" s="1"/>
  <c r="J126" i="1"/>
  <c r="J127"/>
  <c r="J128"/>
  <c r="J129"/>
  <c r="J130"/>
  <c r="I121"/>
  <c r="I122"/>
  <c r="I136"/>
  <c r="I137"/>
  <c r="I138"/>
  <c r="J42"/>
  <c r="J84" s="1"/>
  <c r="J44"/>
  <c r="J45"/>
  <c r="J54"/>
  <c r="J55"/>
  <c r="J56"/>
  <c r="J57"/>
  <c r="J58"/>
  <c r="J59"/>
  <c r="C147" i="5"/>
  <c r="C148" s="1"/>
  <c r="J60" i="1"/>
  <c r="J61"/>
  <c r="J62"/>
  <c r="D147" i="5"/>
  <c r="D148" s="1"/>
  <c r="D149" s="1"/>
  <c r="J47" i="3" s="1"/>
  <c r="J64" i="1"/>
  <c r="J65"/>
  <c r="J66"/>
  <c r="J67"/>
  <c r="J70"/>
  <c r="J71"/>
  <c r="C38"/>
  <c r="J74" s="1"/>
  <c r="J76"/>
  <c r="J77"/>
  <c r="J78"/>
  <c r="J79"/>
  <c r="J80"/>
  <c r="J50"/>
  <c r="J87" s="1"/>
  <c r="F155" s="1"/>
  <c r="J47"/>
  <c r="J86" s="1"/>
  <c r="F156" s="1"/>
  <c r="D70" i="5"/>
  <c r="E70" s="1"/>
  <c r="J31" i="7"/>
  <c r="J82" s="1"/>
  <c r="J34"/>
  <c r="J36"/>
  <c r="J37"/>
  <c r="J39"/>
  <c r="J85" s="1"/>
  <c r="F150" s="1"/>
  <c r="J42"/>
  <c r="J43"/>
  <c r="J45"/>
  <c r="J62"/>
  <c r="J47"/>
  <c r="J53"/>
  <c r="J49"/>
  <c r="J50"/>
  <c r="J51"/>
  <c r="J52"/>
  <c r="J55"/>
  <c r="J59"/>
  <c r="J58"/>
  <c r="J46"/>
  <c r="J60"/>
  <c r="J61"/>
  <c r="J44"/>
  <c r="J63"/>
  <c r="J64"/>
  <c r="J65"/>
  <c r="J54"/>
  <c r="J76"/>
  <c r="J67"/>
  <c r="J68"/>
  <c r="J41"/>
  <c r="J70"/>
  <c r="J71"/>
  <c r="J101"/>
  <c r="J104" s="1"/>
  <c r="J72"/>
  <c r="J74"/>
  <c r="J75"/>
  <c r="I123"/>
  <c r="I124"/>
  <c r="I125"/>
  <c r="J125"/>
  <c r="I117"/>
  <c r="I119"/>
  <c r="I130"/>
  <c r="I131"/>
  <c r="I132"/>
  <c r="I133"/>
  <c r="I134"/>
  <c r="I135"/>
  <c r="C84"/>
  <c r="C87"/>
  <c r="D22" s="1"/>
  <c r="J31" i="3"/>
  <c r="J76" s="1"/>
  <c r="J34"/>
  <c r="J77" s="1"/>
  <c r="F139" s="1"/>
  <c r="J37"/>
  <c r="J78" s="1"/>
  <c r="F138" s="1"/>
  <c r="J42"/>
  <c r="J43"/>
  <c r="J44"/>
  <c r="J45"/>
  <c r="J40"/>
  <c r="J46"/>
  <c r="J48"/>
  <c r="J50"/>
  <c r="J52"/>
  <c r="J51"/>
  <c r="J54"/>
  <c r="J55"/>
  <c r="J56"/>
  <c r="J57"/>
  <c r="J58"/>
  <c r="J41"/>
  <c r="C25"/>
  <c r="J62" s="1"/>
  <c r="J65"/>
  <c r="J53"/>
  <c r="J68"/>
  <c r="J69"/>
  <c r="I115"/>
  <c r="I116"/>
  <c r="I108"/>
  <c r="I109"/>
  <c r="I121"/>
  <c r="I122"/>
  <c r="I123"/>
  <c r="J40" i="2"/>
  <c r="J74" s="1"/>
  <c r="F136" s="1"/>
  <c r="J42"/>
  <c r="J75" s="1"/>
  <c r="F137" s="1"/>
  <c r="J45"/>
  <c r="J76" s="1"/>
  <c r="F140" s="1"/>
  <c r="J48"/>
  <c r="J77" s="1"/>
  <c r="F139" s="1"/>
  <c r="J52"/>
  <c r="J53"/>
  <c r="J54"/>
  <c r="J55"/>
  <c r="J67"/>
  <c r="J56"/>
  <c r="J57"/>
  <c r="J58"/>
  <c r="J59"/>
  <c r="J61"/>
  <c r="J63"/>
  <c r="J64"/>
  <c r="J65"/>
  <c r="J66"/>
  <c r="J68"/>
  <c r="J69"/>
  <c r="J70"/>
  <c r="J91"/>
  <c r="J78"/>
  <c r="I110"/>
  <c r="J110"/>
  <c r="I111"/>
  <c r="J111"/>
  <c r="I112"/>
  <c r="J112"/>
  <c r="I113"/>
  <c r="J113"/>
  <c r="I114"/>
  <c r="J114"/>
  <c r="I115"/>
  <c r="J115"/>
  <c r="I105"/>
  <c r="J105"/>
  <c r="I106"/>
  <c r="J106"/>
  <c r="I121"/>
  <c r="J121"/>
  <c r="I122"/>
  <c r="J122"/>
  <c r="I123"/>
  <c r="J123"/>
  <c r="D108"/>
  <c r="F57" i="5" s="1"/>
  <c r="D118" i="2"/>
  <c r="C35" s="1"/>
  <c r="D125"/>
  <c r="F62" i="5" s="1"/>
  <c r="C74" i="2"/>
  <c r="F47" i="5" s="1"/>
  <c r="C75" i="2"/>
  <c r="F48" i="5" s="1"/>
  <c r="C76" i="2"/>
  <c r="F49" i="5" s="1"/>
  <c r="C77" i="2"/>
  <c r="F50" i="5" s="1"/>
  <c r="C79" i="2"/>
  <c r="C19" s="1"/>
  <c r="D137" i="7"/>
  <c r="D62" i="5" s="1"/>
  <c r="D140" i="1"/>
  <c r="G62" i="5" s="1"/>
  <c r="D125" i="3"/>
  <c r="E62" i="5" s="1"/>
  <c r="J133" i="7"/>
  <c r="B137"/>
  <c r="H123" i="2"/>
  <c r="H122"/>
  <c r="H121"/>
  <c r="J134" i="7"/>
  <c r="H134"/>
  <c r="J138" i="1"/>
  <c r="H138"/>
  <c r="J135" i="7"/>
  <c r="H135"/>
  <c r="J137" i="1"/>
  <c r="H137"/>
  <c r="J136"/>
  <c r="H136"/>
  <c r="J123" i="3"/>
  <c r="H123"/>
  <c r="J132" i="7"/>
  <c r="H132"/>
  <c r="J131"/>
  <c r="H131"/>
  <c r="J122" i="3"/>
  <c r="H122"/>
  <c r="J121"/>
  <c r="H121"/>
  <c r="J130" i="7"/>
  <c r="H130"/>
  <c r="E147" i="5"/>
  <c r="E148" s="1"/>
  <c r="E149" s="1"/>
  <c r="E150" s="1"/>
  <c r="E151" s="1"/>
  <c r="H53" i="3"/>
  <c r="J86"/>
  <c r="J88" s="1"/>
  <c r="H86"/>
  <c r="B21" i="5"/>
  <c r="C89" i="1"/>
  <c r="C19" s="1"/>
  <c r="C83" i="7"/>
  <c r="D48" i="5" s="1"/>
  <c r="I128" i="2"/>
  <c r="J95" i="7"/>
  <c r="J70" i="3"/>
  <c r="J93" i="7"/>
  <c r="H80" i="1"/>
  <c r="H60"/>
  <c r="H79"/>
  <c r="H78"/>
  <c r="H76"/>
  <c r="H77"/>
  <c r="H54"/>
  <c r="I128" i="3"/>
  <c r="J128"/>
  <c r="I129"/>
  <c r="J129"/>
  <c r="J94" i="7"/>
  <c r="I145" i="1"/>
  <c r="J145"/>
  <c r="J144"/>
  <c r="J94"/>
  <c r="J95"/>
  <c r="J121"/>
  <c r="J122"/>
  <c r="H34" i="7"/>
  <c r="D124" i="1"/>
  <c r="G57" i="5" s="1"/>
  <c r="J128" i="2"/>
  <c r="J129"/>
  <c r="I140" i="7"/>
  <c r="J140"/>
  <c r="H140"/>
  <c r="H129" i="3"/>
  <c r="H128"/>
  <c r="H95" i="1"/>
  <c r="J66" i="3"/>
  <c r="H84" i="2"/>
  <c r="H54" i="7"/>
  <c r="H53"/>
  <c r="H69"/>
  <c r="H73"/>
  <c r="H65"/>
  <c r="H145" i="1"/>
  <c r="J118" i="7"/>
  <c r="H63"/>
  <c r="E28" i="2"/>
  <c r="E29"/>
  <c r="C29" s="1"/>
  <c r="G29" s="1"/>
  <c r="E30"/>
  <c r="C30" s="1"/>
  <c r="G22" i="5"/>
  <c r="G23"/>
  <c r="G24"/>
  <c r="G25"/>
  <c r="G26"/>
  <c r="G27"/>
  <c r="G28"/>
  <c r="G29"/>
  <c r="G30"/>
  <c r="G31"/>
  <c r="D191"/>
  <c r="G191" s="1"/>
  <c r="F122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33"/>
  <c r="D38" s="1"/>
  <c r="F112"/>
  <c r="F106"/>
  <c r="F108"/>
  <c r="E33"/>
  <c r="E38" s="1"/>
  <c r="F110"/>
  <c r="F196"/>
  <c r="C196"/>
  <c r="G32"/>
  <c r="R159"/>
  <c r="R160" s="1"/>
  <c r="R161" s="1"/>
  <c r="R162" s="1"/>
  <c r="R163" s="1"/>
  <c r="R164" s="1"/>
  <c r="R165" s="1"/>
  <c r="R166" s="1"/>
  <c r="R167" s="1"/>
  <c r="R168" s="1"/>
  <c r="R169" s="1"/>
  <c r="R170" s="1"/>
  <c r="R171" s="1"/>
  <c r="R172" s="1"/>
  <c r="R173" s="1"/>
  <c r="R174" s="1"/>
  <c r="R175" s="1"/>
  <c r="R176" s="1"/>
  <c r="R177" s="1"/>
  <c r="R178" s="1"/>
  <c r="H159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M159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  <c r="M177" s="1"/>
  <c r="M178" s="1"/>
  <c r="Q159"/>
  <c r="Q160" s="1"/>
  <c r="Q161" s="1"/>
  <c r="Q162" s="1"/>
  <c r="Q163" s="1"/>
  <c r="Q164" s="1"/>
  <c r="Q165" s="1"/>
  <c r="Q166" s="1"/>
  <c r="Q167" s="1"/>
  <c r="Q168" s="1"/>
  <c r="Q169" s="1"/>
  <c r="Q170" s="1"/>
  <c r="Q171" s="1"/>
  <c r="Q172" s="1"/>
  <c r="Q173" s="1"/>
  <c r="Q174" s="1"/>
  <c r="Q175" s="1"/>
  <c r="Q176" s="1"/>
  <c r="Q177" s="1"/>
  <c r="Q178" s="1"/>
  <c r="P159"/>
  <c r="P160" s="1"/>
  <c r="P161" s="1"/>
  <c r="P162" s="1"/>
  <c r="P163" s="1"/>
  <c r="P164" s="1"/>
  <c r="P165" s="1"/>
  <c r="P166" s="1"/>
  <c r="P167" s="1"/>
  <c r="P168" s="1"/>
  <c r="P169" s="1"/>
  <c r="P170" s="1"/>
  <c r="P171" s="1"/>
  <c r="P172" s="1"/>
  <c r="P173" s="1"/>
  <c r="P174" s="1"/>
  <c r="P175" s="1"/>
  <c r="P176" s="1"/>
  <c r="P177" s="1"/>
  <c r="P178" s="1"/>
  <c r="O159"/>
  <c r="O160" s="1"/>
  <c r="O161" s="1"/>
  <c r="O162" s="1"/>
  <c r="O163" s="1"/>
  <c r="O164" s="1"/>
  <c r="O165" s="1"/>
  <c r="O166" s="1"/>
  <c r="O167" s="1"/>
  <c r="O168" s="1"/>
  <c r="O169" s="1"/>
  <c r="O170" s="1"/>
  <c r="O171" s="1"/>
  <c r="O172" s="1"/>
  <c r="O173" s="1"/>
  <c r="O174" s="1"/>
  <c r="O175" s="1"/>
  <c r="O176" s="1"/>
  <c r="O177" s="1"/>
  <c r="O178" s="1"/>
  <c r="N159"/>
  <c r="N160" s="1"/>
  <c r="N161" s="1"/>
  <c r="N162" s="1"/>
  <c r="N163" s="1"/>
  <c r="N164" s="1"/>
  <c r="N165" s="1"/>
  <c r="N166" s="1"/>
  <c r="N167" s="1"/>
  <c r="N168" s="1"/>
  <c r="N169" s="1"/>
  <c r="N170" s="1"/>
  <c r="N171" s="1"/>
  <c r="N172" s="1"/>
  <c r="N173" s="1"/>
  <c r="N174" s="1"/>
  <c r="N175" s="1"/>
  <c r="N176" s="1"/>
  <c r="N177" s="1"/>
  <c r="N178" s="1"/>
  <c r="L162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G159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J170"/>
  <c r="J162"/>
  <c r="G122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76"/>
  <c r="F76"/>
  <c r="E76"/>
  <c r="D76"/>
  <c r="G36"/>
  <c r="I73" s="1"/>
  <c r="G37"/>
  <c r="F37"/>
  <c r="E37"/>
  <c r="D37"/>
  <c r="G20"/>
  <c r="G19"/>
  <c r="G18"/>
  <c r="G17"/>
  <c r="F15"/>
  <c r="E15"/>
  <c r="C15"/>
  <c r="B15"/>
  <c r="F4"/>
  <c r="D51"/>
  <c r="C85" i="7"/>
  <c r="D50" i="5" s="1"/>
  <c r="C82" i="7"/>
  <c r="D47" i="5" s="1"/>
  <c r="D121" i="7"/>
  <c r="D57" i="5" s="1"/>
  <c r="D127" i="7"/>
  <c r="D58" i="5" s="1"/>
  <c r="G51"/>
  <c r="C78" i="2"/>
  <c r="F51" i="5" s="1"/>
  <c r="D113" i="3"/>
  <c r="E57" i="5" s="1"/>
  <c r="D118" i="3"/>
  <c r="E58" i="5" s="1"/>
  <c r="C75" i="3"/>
  <c r="E47" i="5" s="1"/>
  <c r="C76" i="3"/>
  <c r="C77"/>
  <c r="E49" i="5" s="1"/>
  <c r="C78" i="3"/>
  <c r="E50" i="5" s="1"/>
  <c r="E51"/>
  <c r="D133" i="1"/>
  <c r="G58" i="5" s="1"/>
  <c r="C86" i="1"/>
  <c r="G49" i="5" s="1"/>
  <c r="C84" i="1"/>
  <c r="G47" i="5" s="1"/>
  <c r="C85" i="1"/>
  <c r="C87"/>
  <c r="G50" i="5" s="1"/>
  <c r="F11" i="7"/>
  <c r="D11" s="1"/>
  <c r="F12"/>
  <c r="E12" s="1"/>
  <c r="F13"/>
  <c r="E13" s="1"/>
  <c r="F14"/>
  <c r="E14" s="1"/>
  <c r="E10" i="2"/>
  <c r="C10" s="1"/>
  <c r="E11"/>
  <c r="D11" s="1"/>
  <c r="E12"/>
  <c r="C12" s="1"/>
  <c r="E13"/>
  <c r="J131" i="1"/>
  <c r="E10"/>
  <c r="D10" s="1"/>
  <c r="E11"/>
  <c r="D11" s="1"/>
  <c r="E12"/>
  <c r="C12" s="1"/>
  <c r="G12" s="1"/>
  <c r="E13"/>
  <c r="D13" s="1"/>
  <c r="J115" i="3"/>
  <c r="J116"/>
  <c r="J108"/>
  <c r="J109"/>
  <c r="F10"/>
  <c r="E10" s="1"/>
  <c r="F11"/>
  <c r="D11" s="1"/>
  <c r="I11" s="1"/>
  <c r="F12"/>
  <c r="E12" s="1"/>
  <c r="G14" i="7"/>
  <c r="J123"/>
  <c r="J124"/>
  <c r="J117"/>
  <c r="J119"/>
  <c r="C20" i="6"/>
  <c r="F30"/>
  <c r="H34"/>
  <c r="H32"/>
  <c r="H30"/>
  <c r="H36"/>
  <c r="A36"/>
  <c r="A34"/>
  <c r="A32"/>
  <c r="A30"/>
  <c r="F9"/>
  <c r="E63"/>
  <c r="H64" i="7"/>
  <c r="H125"/>
  <c r="C27"/>
  <c r="J29" s="1"/>
  <c r="H37"/>
  <c r="H35"/>
  <c r="H124"/>
  <c r="H123"/>
  <c r="H119"/>
  <c r="H117"/>
  <c r="H74"/>
  <c r="H75"/>
  <c r="H72"/>
  <c r="H43"/>
  <c r="H71"/>
  <c r="H70"/>
  <c r="H101"/>
  <c r="H44"/>
  <c r="H68"/>
  <c r="H76"/>
  <c r="H66"/>
  <c r="H61"/>
  <c r="H60"/>
  <c r="H46"/>
  <c r="H67"/>
  <c r="H58"/>
  <c r="H56"/>
  <c r="H59"/>
  <c r="H55"/>
  <c r="H52"/>
  <c r="H51"/>
  <c r="H50"/>
  <c r="H49"/>
  <c r="H41"/>
  <c r="H47"/>
  <c r="H62"/>
  <c r="H45"/>
  <c r="H42"/>
  <c r="H48"/>
  <c r="H39"/>
  <c r="H36"/>
  <c r="H33"/>
  <c r="H31"/>
  <c r="A11"/>
  <c r="A22" s="1"/>
  <c r="A27" s="1"/>
  <c r="A7"/>
  <c r="C144" s="1"/>
  <c r="C1"/>
  <c r="H116" i="2"/>
  <c r="H115"/>
  <c r="H114"/>
  <c r="H113"/>
  <c r="H112"/>
  <c r="H111"/>
  <c r="H110"/>
  <c r="H106"/>
  <c r="H105"/>
  <c r="H70"/>
  <c r="H69"/>
  <c r="H68"/>
  <c r="H65"/>
  <c r="H55"/>
  <c r="H64"/>
  <c r="H63"/>
  <c r="H91"/>
  <c r="H52"/>
  <c r="H60"/>
  <c r="H54"/>
  <c r="H59"/>
  <c r="H61"/>
  <c r="H62"/>
  <c r="H58"/>
  <c r="H57"/>
  <c r="H56"/>
  <c r="H53"/>
  <c r="H67"/>
  <c r="H66"/>
  <c r="H48"/>
  <c r="H45"/>
  <c r="H40"/>
  <c r="A10"/>
  <c r="A35" s="1"/>
  <c r="C1"/>
  <c r="A153"/>
  <c r="A152"/>
  <c r="A151"/>
  <c r="A146"/>
  <c r="A145"/>
  <c r="A144"/>
  <c r="A138"/>
  <c r="A142"/>
  <c r="A150"/>
  <c r="A149"/>
  <c r="A148"/>
  <c r="A147"/>
  <c r="A141"/>
  <c r="A140"/>
  <c r="A139"/>
  <c r="A137"/>
  <c r="A136"/>
  <c r="A6"/>
  <c r="C132" s="1"/>
  <c r="C36"/>
  <c r="J38" s="1"/>
  <c r="H130" i="1"/>
  <c r="H129"/>
  <c r="H131"/>
  <c r="H128"/>
  <c r="H127"/>
  <c r="H126"/>
  <c r="H122"/>
  <c r="H121"/>
  <c r="H59"/>
  <c r="H68"/>
  <c r="H67"/>
  <c r="H66"/>
  <c r="H65"/>
  <c r="H64"/>
  <c r="H62"/>
  <c r="H61"/>
  <c r="H57"/>
  <c r="H70"/>
  <c r="H58"/>
  <c r="H56"/>
  <c r="H71"/>
  <c r="H55"/>
  <c r="H50"/>
  <c r="H47"/>
  <c r="H42"/>
  <c r="E29"/>
  <c r="C29" s="1"/>
  <c r="E30"/>
  <c r="A10"/>
  <c r="A149" s="1"/>
  <c r="A27"/>
  <c r="C1"/>
  <c r="A169"/>
  <c r="A168"/>
  <c r="A167"/>
  <c r="A162"/>
  <c r="A161"/>
  <c r="A158"/>
  <c r="A154"/>
  <c r="A160"/>
  <c r="A166"/>
  <c r="A165"/>
  <c r="A164"/>
  <c r="A163"/>
  <c r="A157"/>
  <c r="A156"/>
  <c r="A155"/>
  <c r="A153"/>
  <c r="A152"/>
  <c r="A6"/>
  <c r="C149" s="1"/>
  <c r="E28"/>
  <c r="H50" i="3"/>
  <c r="H65"/>
  <c r="H116"/>
  <c r="H115"/>
  <c r="H109"/>
  <c r="H108"/>
  <c r="H70"/>
  <c r="H69"/>
  <c r="H68"/>
  <c r="H41"/>
  <c r="H42"/>
  <c r="H57"/>
  <c r="H56"/>
  <c r="H58"/>
  <c r="H55"/>
  <c r="H54"/>
  <c r="H45"/>
  <c r="H52"/>
  <c r="H49"/>
  <c r="H48"/>
  <c r="H47"/>
  <c r="H51"/>
  <c r="H40"/>
  <c r="H46"/>
  <c r="H44"/>
  <c r="H43"/>
  <c r="H37"/>
  <c r="H34"/>
  <c r="H31"/>
  <c r="H29"/>
  <c r="A10"/>
  <c r="G102" s="1"/>
  <c r="B113" s="1"/>
  <c r="B118" s="1"/>
  <c r="B125" s="1"/>
  <c r="C1"/>
  <c r="A149"/>
  <c r="A148"/>
  <c r="A147"/>
  <c r="A146"/>
  <c r="A140"/>
  <c r="A139"/>
  <c r="A138"/>
  <c r="A136"/>
  <c r="A135"/>
  <c r="A6"/>
  <c r="C132" s="1"/>
  <c r="E48" i="5"/>
  <c r="I70"/>
  <c r="K122" i="2" l="1"/>
  <c r="K106"/>
  <c r="K113"/>
  <c r="K125" i="7"/>
  <c r="K144" i="1"/>
  <c r="K129"/>
  <c r="J59" i="8"/>
  <c r="K129" i="3"/>
  <c r="F34" i="5"/>
  <c r="H38"/>
  <c r="H39" s="1"/>
  <c r="K125" i="8"/>
  <c r="K123" i="7"/>
  <c r="E30" i="6"/>
  <c r="E36" s="1"/>
  <c r="F70" i="5"/>
  <c r="K133" i="8"/>
  <c r="K134" s="1"/>
  <c r="E60" i="5"/>
  <c r="F161" i="3" s="1"/>
  <c r="A144" i="7"/>
  <c r="H52" i="6"/>
  <c r="G111" i="7"/>
  <c r="B121" s="1"/>
  <c r="B127" s="1"/>
  <c r="C88"/>
  <c r="K132"/>
  <c r="K119"/>
  <c r="I57" i="5"/>
  <c r="I50"/>
  <c r="I47"/>
  <c r="K128" i="1"/>
  <c r="K121" i="2"/>
  <c r="K115"/>
  <c r="I62" i="5"/>
  <c r="K129" i="2"/>
  <c r="H70" i="5"/>
  <c r="G70"/>
  <c r="K122" i="3"/>
  <c r="K109"/>
  <c r="K115"/>
  <c r="K128"/>
  <c r="K108"/>
  <c r="D10" i="2"/>
  <c r="J93"/>
  <c r="C80"/>
  <c r="K123"/>
  <c r="K122" i="1"/>
  <c r="K131"/>
  <c r="K127"/>
  <c r="C35"/>
  <c r="K137"/>
  <c r="K121"/>
  <c r="K130"/>
  <c r="A19"/>
  <c r="A38" s="1"/>
  <c r="K145"/>
  <c r="J85"/>
  <c r="F153" s="1"/>
  <c r="K126"/>
  <c r="H52" i="5"/>
  <c r="C90" i="1"/>
  <c r="H66" i="5"/>
  <c r="H81" s="1"/>
  <c r="K120" i="8"/>
  <c r="K126"/>
  <c r="K114"/>
  <c r="K118"/>
  <c r="F16" i="7"/>
  <c r="C205" i="5"/>
  <c r="D39"/>
  <c r="D195"/>
  <c r="E195" s="1"/>
  <c r="D65"/>
  <c r="E34"/>
  <c r="E11" i="3"/>
  <c r="D14" s="1"/>
  <c r="E43" i="5" s="1"/>
  <c r="D207" s="1"/>
  <c r="C11" i="2"/>
  <c r="G11" s="1"/>
  <c r="A104" i="3"/>
  <c r="A117" i="1"/>
  <c r="A101" i="2"/>
  <c r="K113" i="8"/>
  <c r="H58" i="5"/>
  <c r="H60" s="1"/>
  <c r="K105" i="2"/>
  <c r="J84" i="7"/>
  <c r="F151" s="1"/>
  <c r="K119" i="8"/>
  <c r="K108"/>
  <c r="K116"/>
  <c r="K115"/>
  <c r="K117"/>
  <c r="F80" i="7"/>
  <c r="A113"/>
  <c r="A132" i="2"/>
  <c r="K117" i="7"/>
  <c r="C13" i="1"/>
  <c r="G13" s="1"/>
  <c r="F72" i="2"/>
  <c r="K112"/>
  <c r="C83" i="8"/>
  <c r="J27" i="3"/>
  <c r="K124" i="7"/>
  <c r="J97" i="1"/>
  <c r="D12" i="7"/>
  <c r="I12" s="1"/>
  <c r="J38" i="8"/>
  <c r="G21" i="5"/>
  <c r="G33" s="1"/>
  <c r="E15" i="1"/>
  <c r="E17" s="1"/>
  <c r="E15" i="2"/>
  <c r="E17" s="1"/>
  <c r="E19" i="8"/>
  <c r="G10"/>
  <c r="C16"/>
  <c r="F140"/>
  <c r="G27"/>
  <c r="A27"/>
  <c r="A136"/>
  <c r="C32"/>
  <c r="C34" s="1"/>
  <c r="D10"/>
  <c r="D11"/>
  <c r="D12"/>
  <c r="D13"/>
  <c r="E15"/>
  <c r="A19"/>
  <c r="B22"/>
  <c r="G102"/>
  <c r="B111" s="1"/>
  <c r="B122" s="1"/>
  <c r="B128" s="1"/>
  <c r="A35"/>
  <c r="A104"/>
  <c r="F45" i="5"/>
  <c r="B22" i="2"/>
  <c r="D150" i="5"/>
  <c r="J62" i="2"/>
  <c r="G38" i="5"/>
  <c r="C34"/>
  <c r="G45"/>
  <c r="G193" s="1"/>
  <c r="B22" i="1"/>
  <c r="D45" i="5"/>
  <c r="B25" i="7"/>
  <c r="D194" i="5"/>
  <c r="E194" s="1"/>
  <c r="G14" i="3"/>
  <c r="D205" i="5"/>
  <c r="E65"/>
  <c r="E39"/>
  <c r="D60"/>
  <c r="D61" s="1"/>
  <c r="C149"/>
  <c r="J69" i="7" s="1"/>
  <c r="J93" i="3"/>
  <c r="J96" s="1"/>
  <c r="D14" i="7"/>
  <c r="I14" s="1"/>
  <c r="C11" i="1"/>
  <c r="G11" s="1"/>
  <c r="E19" i="2"/>
  <c r="J40" i="1"/>
  <c r="A25" i="3"/>
  <c r="C28" i="1"/>
  <c r="G28" s="1"/>
  <c r="C30"/>
  <c r="G30" s="1"/>
  <c r="A27" i="2"/>
  <c r="G12"/>
  <c r="D12"/>
  <c r="G48" i="5"/>
  <c r="I48" s="1"/>
  <c r="I51"/>
  <c r="B33"/>
  <c r="F58"/>
  <c r="K110" i="2"/>
  <c r="K123" i="3"/>
  <c r="D49" i="5"/>
  <c r="I49" s="1"/>
  <c r="K133" i="7"/>
  <c r="K138" i="1"/>
  <c r="A132" i="3"/>
  <c r="A20"/>
  <c r="G60" i="5"/>
  <c r="F178" i="1" s="1"/>
  <c r="J96" i="7"/>
  <c r="K121" i="3"/>
  <c r="K116"/>
  <c r="K134" i="7"/>
  <c r="K130"/>
  <c r="F82" i="1"/>
  <c r="E19"/>
  <c r="K140" i="7"/>
  <c r="K142" s="1"/>
  <c r="K128" i="2"/>
  <c r="K114"/>
  <c r="K111"/>
  <c r="K135" i="7"/>
  <c r="K131"/>
  <c r="K136" i="1"/>
  <c r="G10" i="2"/>
  <c r="F147" i="7"/>
  <c r="F152" i="1"/>
  <c r="F136" i="3"/>
  <c r="D10"/>
  <c r="D12" i="1"/>
  <c r="C15" s="1"/>
  <c r="C13" i="2"/>
  <c r="E11" i="7"/>
  <c r="D16" s="1"/>
  <c r="C28" i="2"/>
  <c r="G28" s="1"/>
  <c r="I11" i="7"/>
  <c r="G29" i="1"/>
  <c r="G30" i="2"/>
  <c r="G115" i="1"/>
  <c r="B124" s="1"/>
  <c r="B133" s="1"/>
  <c r="B140" s="1"/>
  <c r="A35"/>
  <c r="F73" i="3"/>
  <c r="A19" i="2"/>
  <c r="D12" i="3"/>
  <c r="I12" s="1"/>
  <c r="C10" i="1"/>
  <c r="G10" s="1"/>
  <c r="D13" i="7"/>
  <c r="D13" i="2"/>
  <c r="G99"/>
  <c r="B108" s="1"/>
  <c r="B118" s="1"/>
  <c r="B125" s="1"/>
  <c r="A36"/>
  <c r="K108" l="1"/>
  <c r="F141" s="1"/>
  <c r="J60"/>
  <c r="J79" s="1"/>
  <c r="K146" i="1"/>
  <c r="K130" i="3"/>
  <c r="K127" i="7"/>
  <c r="F153" s="1"/>
  <c r="K125" i="2"/>
  <c r="F143" s="1"/>
  <c r="K113" i="3"/>
  <c r="F140" s="1"/>
  <c r="K118"/>
  <c r="F141" s="1"/>
  <c r="E61" i="5"/>
  <c r="K128" i="8"/>
  <c r="H64" i="5" s="1"/>
  <c r="H80" s="1"/>
  <c r="H46"/>
  <c r="H65"/>
  <c r="H53"/>
  <c r="D104"/>
  <c r="G104" s="1"/>
  <c r="I104" s="1"/>
  <c r="H68"/>
  <c r="E38" i="6"/>
  <c r="E34"/>
  <c r="E32"/>
  <c r="K140" i="1"/>
  <c r="G64" i="5" s="1"/>
  <c r="G80" s="1"/>
  <c r="I58"/>
  <c r="I60" s="1"/>
  <c r="K121" i="7"/>
  <c r="F152" s="1"/>
  <c r="F173"/>
  <c r="K130" i="2"/>
  <c r="K124" i="1"/>
  <c r="F157" s="1"/>
  <c r="K122" i="8"/>
  <c r="F146" s="1"/>
  <c r="C16" i="2"/>
  <c r="C18" s="1"/>
  <c r="C206" i="5"/>
  <c r="D112"/>
  <c r="D68"/>
  <c r="C18" i="8"/>
  <c r="H44" i="5"/>
  <c r="K111" i="8"/>
  <c r="F145" s="1"/>
  <c r="H61" i="5"/>
  <c r="K137" i="7"/>
  <c r="D64" i="5" s="1"/>
  <c r="C15" i="2"/>
  <c r="F43" i="5" s="1"/>
  <c r="E207" s="1"/>
  <c r="C22" i="2"/>
  <c r="F209" i="5"/>
  <c r="K125" i="3"/>
  <c r="E64" i="5" s="1"/>
  <c r="E80" s="1"/>
  <c r="G61"/>
  <c r="C32" i="2"/>
  <c r="C34" s="1"/>
  <c r="K133" i="1"/>
  <c r="F158" s="1"/>
  <c r="K118" i="2"/>
  <c r="K119" s="1"/>
  <c r="F54" i="5" s="1"/>
  <c r="C32" i="1"/>
  <c r="C34" s="1"/>
  <c r="F60" i="5"/>
  <c r="C22" i="8"/>
  <c r="E17"/>
  <c r="C15"/>
  <c r="G13" i="2"/>
  <c r="D18" i="7"/>
  <c r="D44" i="5" s="1"/>
  <c r="G192"/>
  <c r="I192" s="1"/>
  <c r="F52"/>
  <c r="E209"/>
  <c r="B34"/>
  <c r="G34" s="1"/>
  <c r="F38"/>
  <c r="I38" s="1"/>
  <c r="C150"/>
  <c r="J66" i="7" s="1"/>
  <c r="E68" i="5"/>
  <c r="D110"/>
  <c r="G110" s="1"/>
  <c r="I110" s="1"/>
  <c r="D206"/>
  <c r="G46"/>
  <c r="G52"/>
  <c r="D151"/>
  <c r="J94" i="8" s="1"/>
  <c r="J96" s="1"/>
  <c r="C22" i="1"/>
  <c r="C16"/>
  <c r="G44" i="5" s="1"/>
  <c r="D52"/>
  <c r="C209"/>
  <c r="C210" s="1"/>
  <c r="D46"/>
  <c r="G195"/>
  <c r="I195" s="1"/>
  <c r="G65"/>
  <c r="G39"/>
  <c r="D193"/>
  <c r="E193" s="1"/>
  <c r="F205"/>
  <c r="C21" i="1"/>
  <c r="G43" i="5"/>
  <c r="F207" s="1"/>
  <c r="I193"/>
  <c r="D43"/>
  <c r="C24" i="7"/>
  <c r="D16" i="3"/>
  <c r="I10"/>
  <c r="I13" i="7"/>
  <c r="J80" i="2" l="1"/>
  <c r="F40" i="5" s="1"/>
  <c r="F41" s="1"/>
  <c r="F138" i="2"/>
  <c r="F156" s="1"/>
  <c r="J49" i="3"/>
  <c r="J80" s="1"/>
  <c r="J53" i="8"/>
  <c r="F64" i="5"/>
  <c r="F80" s="1"/>
  <c r="F147" i="8"/>
  <c r="F161" s="1"/>
  <c r="J68" i="1"/>
  <c r="K119" i="3"/>
  <c r="E54" i="5" s="1"/>
  <c r="E79" s="1"/>
  <c r="D38" i="6"/>
  <c r="H82" i="5"/>
  <c r="F159" i="1"/>
  <c r="F171" s="1"/>
  <c r="K128" i="7"/>
  <c r="D54" i="5" s="1"/>
  <c r="D55" s="1"/>
  <c r="G112"/>
  <c r="D21" i="7"/>
  <c r="C25" s="1"/>
  <c r="F44" i="5"/>
  <c r="D82"/>
  <c r="D30" i="6"/>
  <c r="F210" i="5"/>
  <c r="C21" i="2"/>
  <c r="C21" i="8"/>
  <c r="H43" i="5"/>
  <c r="I43" s="1"/>
  <c r="G207" s="1"/>
  <c r="K123" i="8"/>
  <c r="H54" i="5" s="1"/>
  <c r="F154" i="7"/>
  <c r="L154" s="1"/>
  <c r="F142" i="2"/>
  <c r="F158" s="1"/>
  <c r="K134" i="1"/>
  <c r="G54" i="5" s="1"/>
  <c r="G79" s="1"/>
  <c r="F142" i="3"/>
  <c r="F159" s="1"/>
  <c r="F208" i="5"/>
  <c r="F161" i="2"/>
  <c r="F165" i="8"/>
  <c r="F162" i="2"/>
  <c r="F166" i="8"/>
  <c r="C18" i="1"/>
  <c r="D192" i="5"/>
  <c r="F65"/>
  <c r="F39"/>
  <c r="I39" s="1"/>
  <c r="F46"/>
  <c r="E205"/>
  <c r="E210" s="1"/>
  <c r="F53"/>
  <c r="F61"/>
  <c r="F172" i="7"/>
  <c r="D53" i="5"/>
  <c r="J48" i="7"/>
  <c r="F159" i="2"/>
  <c r="F206" i="5"/>
  <c r="D108"/>
  <c r="G108" s="1"/>
  <c r="I108" s="1"/>
  <c r="G68"/>
  <c r="D36" i="6"/>
  <c r="E82" i="5"/>
  <c r="E208"/>
  <c r="F177" i="1"/>
  <c r="G53" i="5"/>
  <c r="E71"/>
  <c r="F38" i="6" s="1"/>
  <c r="E83" i="5"/>
  <c r="C151"/>
  <c r="J56" i="7" s="1"/>
  <c r="D19" i="3"/>
  <c r="C23" s="1"/>
  <c r="E44" i="5"/>
  <c r="D80"/>
  <c r="F55"/>
  <c r="F79"/>
  <c r="C207"/>
  <c r="C208" s="1"/>
  <c r="F78" l="1"/>
  <c r="F137" i="3"/>
  <c r="I64" i="5"/>
  <c r="J55" i="8"/>
  <c r="J82" s="1"/>
  <c r="F159"/>
  <c r="F162"/>
  <c r="F164"/>
  <c r="I80" i="5"/>
  <c r="D79"/>
  <c r="E55"/>
  <c r="F150" i="3"/>
  <c r="F173" i="1"/>
  <c r="F174"/>
  <c r="F176"/>
  <c r="I44" i="5"/>
  <c r="I112"/>
  <c r="I54"/>
  <c r="I55" s="1"/>
  <c r="B93" s="1"/>
  <c r="J89" i="1"/>
  <c r="F154" s="1"/>
  <c r="J107"/>
  <c r="H55" i="5"/>
  <c r="C38" i="6"/>
  <c r="H79" i="5"/>
  <c r="H71"/>
  <c r="H83"/>
  <c r="F157" i="3"/>
  <c r="F154"/>
  <c r="F156"/>
  <c r="F171" i="7"/>
  <c r="F166"/>
  <c r="F168"/>
  <c r="F169"/>
  <c r="F155" i="2"/>
  <c r="F160"/>
  <c r="F157"/>
  <c r="G55" i="5"/>
  <c r="E206"/>
  <c r="D106"/>
  <c r="D114" s="1"/>
  <c r="F68"/>
  <c r="I68" s="1"/>
  <c r="G206"/>
  <c r="F36" i="6"/>
  <c r="G71" i="5"/>
  <c r="F34" i="6" s="1"/>
  <c r="G83" i="5"/>
  <c r="D196"/>
  <c r="E196" s="1"/>
  <c r="E192"/>
  <c r="J33" i="7"/>
  <c r="J83" s="1"/>
  <c r="J29" i="3"/>
  <c r="J75" s="1"/>
  <c r="D34" i="6"/>
  <c r="G82" i="5"/>
  <c r="G205"/>
  <c r="I61"/>
  <c r="I65"/>
  <c r="F42"/>
  <c r="B32" i="6" s="1"/>
  <c r="J87" i="7"/>
  <c r="F149" s="1"/>
  <c r="F142" i="8" l="1"/>
  <c r="J83"/>
  <c r="H40" i="5" s="1"/>
  <c r="B38" i="6" s="1"/>
  <c r="G38" s="1"/>
  <c r="I79" i="5"/>
  <c r="F155" i="8"/>
  <c r="G56" i="5"/>
  <c r="C34" i="6" s="1"/>
  <c r="D83" i="5"/>
  <c r="F162" i="7" s="1"/>
  <c r="L162" s="1"/>
  <c r="J90" i="1"/>
  <c r="G40" i="5" s="1"/>
  <c r="G78" s="1"/>
  <c r="E56"/>
  <c r="C36" i="6" s="1"/>
  <c r="D56" i="5"/>
  <c r="F56"/>
  <c r="F66" s="1"/>
  <c r="F167" i="1"/>
  <c r="G106" i="5"/>
  <c r="G114" s="1"/>
  <c r="F148" i="7"/>
  <c r="J88"/>
  <c r="D40" i="5" s="1"/>
  <c r="D32" i="6"/>
  <c r="D52" s="1"/>
  <c r="F82" i="5"/>
  <c r="I82" s="1"/>
  <c r="F175" i="1"/>
  <c r="F172"/>
  <c r="F135" i="3"/>
  <c r="J81"/>
  <c r="H78" i="5" l="1"/>
  <c r="H84" s="1"/>
  <c r="E40"/>
  <c r="E78" s="1"/>
  <c r="H72"/>
  <c r="H41"/>
  <c r="F163" i="8"/>
  <c r="F160"/>
  <c r="H86" i="5"/>
  <c r="F170" i="8"/>
  <c r="C30" i="6"/>
  <c r="I56" i="5"/>
  <c r="G41"/>
  <c r="C32" i="6"/>
  <c r="F179" i="1"/>
  <c r="F182" s="1"/>
  <c r="D78" i="5"/>
  <c r="D41"/>
  <c r="I106"/>
  <c r="I114" s="1"/>
  <c r="F158" i="3"/>
  <c r="F155"/>
  <c r="L151" i="7"/>
  <c r="F167"/>
  <c r="F170"/>
  <c r="G42" i="5"/>
  <c r="F81"/>
  <c r="I40" l="1"/>
  <c r="C52" i="6"/>
  <c r="I78" i="5"/>
  <c r="F174" i="7"/>
  <c r="F177" s="1"/>
  <c r="G66" i="5"/>
  <c r="B34" i="6"/>
  <c r="G34" s="1"/>
  <c r="F71" i="5"/>
  <c r="F168" i="8" s="1"/>
  <c r="F171" s="1"/>
  <c r="F83" i="5"/>
  <c r="I83" s="1"/>
  <c r="D42"/>
  <c r="L173" i="7"/>
  <c r="L172"/>
  <c r="F84" i="5"/>
  <c r="F166" i="2" l="1"/>
  <c r="I170" i="8"/>
  <c r="F86" i="5"/>
  <c r="F32" i="6"/>
  <c r="I71" i="5"/>
  <c r="F151" i="2"/>
  <c r="F164" s="1"/>
  <c r="F167" s="1"/>
  <c r="F72" i="5"/>
  <c r="G72"/>
  <c r="G81"/>
  <c r="G84" s="1"/>
  <c r="D66"/>
  <c r="B30" i="6"/>
  <c r="F168" i="2" l="1"/>
  <c r="I166"/>
  <c r="F172" i="8"/>
  <c r="F52" i="6"/>
  <c r="G32"/>
  <c r="D72" i="5"/>
  <c r="D81"/>
  <c r="F181" i="1"/>
  <c r="G86" i="5"/>
  <c r="G30" i="6"/>
  <c r="D84" i="5" l="1"/>
  <c r="I181" i="1"/>
  <c r="F183"/>
  <c r="D86" i="5" l="1"/>
  <c r="F176" i="7"/>
  <c r="F178" l="1"/>
  <c r="I176"/>
  <c r="C81" i="3"/>
  <c r="D20"/>
  <c r="C22" s="1"/>
  <c r="B23" l="1"/>
  <c r="E45" i="5"/>
  <c r="I45" s="1"/>
  <c r="D209" l="1"/>
  <c r="E52"/>
  <c r="I52" s="1"/>
  <c r="G194"/>
  <c r="E46"/>
  <c r="G209" l="1"/>
  <c r="I46"/>
  <c r="I194"/>
  <c r="G196"/>
  <c r="I196" s="1"/>
  <c r="D210"/>
  <c r="D208"/>
  <c r="E53"/>
  <c r="F160" i="3"/>
  <c r="E41" i="5"/>
  <c r="I53" l="1"/>
  <c r="I41"/>
  <c r="B91" s="1"/>
  <c r="F162" i="3"/>
  <c r="F165" s="1"/>
  <c r="E42" i="5"/>
  <c r="G210"/>
  <c r="G208"/>
  <c r="E66" l="1"/>
  <c r="B36" i="6"/>
  <c r="B52" s="1"/>
  <c r="I42" i="5"/>
  <c r="E72" l="1"/>
  <c r="I66"/>
  <c r="I72" s="1"/>
  <c r="E81"/>
  <c r="G36" i="6"/>
  <c r="G52" l="1"/>
  <c r="G17" s="1"/>
  <c r="G13" s="1"/>
  <c r="I81" i="5"/>
  <c r="E84"/>
  <c r="I84" s="1"/>
  <c r="G54" i="6" l="1"/>
  <c r="G56" s="1"/>
  <c r="E86" i="5"/>
  <c r="F164" i="3"/>
  <c r="I86" i="5"/>
  <c r="F166" i="3" l="1"/>
  <c r="I164"/>
</calcChain>
</file>

<file path=xl/sharedStrings.xml><?xml version="1.0" encoding="utf-8"?>
<sst xmlns="http://schemas.openxmlformats.org/spreadsheetml/2006/main" count="1930" uniqueCount="625">
  <si>
    <t>ELIZABETHTOWN INDEPENDENT SCHOOLS</t>
  </si>
  <si>
    <t xml:space="preserve">   SCHOOL BASED ALLOCATIONS</t>
  </si>
  <si>
    <t xml:space="preserve">         SCHOOL COUNCIL ALLOCATION</t>
  </si>
  <si>
    <t xml:space="preserve">    SECTION 4</t>
  </si>
  <si>
    <t>CERTIFIED STAFF</t>
  </si>
  <si>
    <t>DISTRICT</t>
  </si>
  <si>
    <t>SCHOOL</t>
  </si>
  <si>
    <t>CERTIFIED</t>
  </si>
  <si>
    <t>GRADE 4</t>
  </si>
  <si>
    <t>GRADE 5</t>
  </si>
  <si>
    <t>OTHER</t>
  </si>
  <si>
    <t>PRINCIPAL</t>
  </si>
  <si>
    <t>FRINGE BENEFITS</t>
  </si>
  <si>
    <t>TOTAL ALLOCATION</t>
  </si>
  <si>
    <t xml:space="preserve">     SECTION 5</t>
  </si>
  <si>
    <t>CLASSIFIED STAFF</t>
  </si>
  <si>
    <t>CLASSIFIED</t>
  </si>
  <si>
    <t>SECTION 7 ALLOCATION</t>
  </si>
  <si>
    <t>GRAND TOTAL ALLOCATION</t>
  </si>
  <si>
    <t>CODE</t>
  </si>
  <si>
    <t>DESCRIPTION</t>
  </si>
  <si>
    <t>0110</t>
  </si>
  <si>
    <t>0130</t>
  </si>
  <si>
    <t>0610</t>
  </si>
  <si>
    <t>0690</t>
  </si>
  <si>
    <t>0735</t>
  </si>
  <si>
    <t>HIGH SCHOOL MAXIMUM CLASS SIZE STAFFING</t>
  </si>
  <si>
    <t>GRADE</t>
  </si>
  <si>
    <t>TOTAL</t>
  </si>
  <si>
    <t>MAX CLASS</t>
  </si>
  <si>
    <t>Student/Teacher</t>
  </si>
  <si>
    <t>FTE STAFF</t>
  </si>
  <si>
    <t>STUDENTS</t>
  </si>
  <si>
    <t>SIZE</t>
  </si>
  <si>
    <t>RATIO</t>
  </si>
  <si>
    <t>K.G</t>
  </si>
  <si>
    <t>PRIMARY</t>
  </si>
  <si>
    <t>Teaching Staff To Meet Class Caps =</t>
  </si>
  <si>
    <t xml:space="preserve"> = TOTAL FTE ENROLLMENT</t>
  </si>
  <si>
    <t>Reg. Tch. Staff =</t>
  </si>
  <si>
    <t>Positions Over Class Cap =</t>
  </si>
  <si>
    <t xml:space="preserve"> CERTIFIED STAFF LISTING</t>
  </si>
  <si>
    <t>BUDGET</t>
  </si>
  <si>
    <t>PORTION</t>
  </si>
  <si>
    <t>NAME</t>
  </si>
  <si>
    <t>POSITION</t>
  </si>
  <si>
    <t>EXP</t>
  </si>
  <si>
    <t>RANK</t>
  </si>
  <si>
    <t>STAFFED</t>
  </si>
  <si>
    <t>0201077</t>
  </si>
  <si>
    <t>ASST PRIN.</t>
  </si>
  <si>
    <t>0201031</t>
  </si>
  <si>
    <t>GUIDANCE</t>
  </si>
  <si>
    <t>0201059</t>
  </si>
  <si>
    <t>MEDIA SPEC</t>
  </si>
  <si>
    <t>INSTR SUPP</t>
  </si>
  <si>
    <t>0201118</t>
  </si>
  <si>
    <t>TEACHER</t>
  </si>
  <si>
    <t>CRUZE, KELLY</t>
  </si>
  <si>
    <t>PORTER, V A</t>
  </si>
  <si>
    <t xml:space="preserve">SUMMARY OF CERTIFIED STAFFING </t>
  </si>
  <si>
    <t>ASST PRINCIPAL</t>
  </si>
  <si>
    <t>COUNSELOR</t>
  </si>
  <si>
    <t>MEDIA SPECIALIST</t>
  </si>
  <si>
    <t>DETAIL ON CLASSIFIED STAFF SBDM ALLOTMENT</t>
  </si>
  <si>
    <t>SEC/CLER. &amp; INSTR. ASST. STAFF</t>
  </si>
  <si>
    <t>STAFF</t>
  </si>
  <si>
    <t>DAILY</t>
  </si>
  <si>
    <t>ANNUAL</t>
  </si>
  <si>
    <t>HOURLY</t>
  </si>
  <si>
    <t>LEVEL</t>
  </si>
  <si>
    <t>HOURS</t>
  </si>
  <si>
    <t>DAYS</t>
  </si>
  <si>
    <t>RATE</t>
  </si>
  <si>
    <t>SALARY</t>
  </si>
  <si>
    <t>SECRETARY</t>
  </si>
  <si>
    <t xml:space="preserve"> TOTAL SECRETARY</t>
  </si>
  <si>
    <t>= SEC. STAFF POSITIONS</t>
  </si>
  <si>
    <t xml:space="preserve"> TOTAL INSTR ASST</t>
  </si>
  <si>
    <t>= INSTR. ASST. STAFF POSITIONS</t>
  </si>
  <si>
    <t>SEC/INSTR ASST ALLOCATION</t>
  </si>
  <si>
    <t xml:space="preserve"> TOTAL CUSTODIANS</t>
  </si>
  <si>
    <t>= CUSTODIAL STAFF POSITIONS</t>
  </si>
  <si>
    <t xml:space="preserve"> SCHOOL BUDGET REPORT TO SUPT</t>
  </si>
  <si>
    <t xml:space="preserve"> ORG</t>
  </si>
  <si>
    <t xml:space="preserve"> OBJECT</t>
  </si>
  <si>
    <t>BOARD</t>
  </si>
  <si>
    <t>COUNCIL</t>
  </si>
  <si>
    <t xml:space="preserve"> CODE</t>
  </si>
  <si>
    <t>ALLOCATION</t>
  </si>
  <si>
    <t>DETERMINATION</t>
  </si>
  <si>
    <t>Principal</t>
  </si>
  <si>
    <t>Asst. Principal</t>
  </si>
  <si>
    <t>Teachers</t>
  </si>
  <si>
    <t>Librarian</t>
  </si>
  <si>
    <t>Guidance</t>
  </si>
  <si>
    <t>Secretarial/Clerical</t>
  </si>
  <si>
    <t>Instructional Assistants</t>
  </si>
  <si>
    <t>0201087</t>
  </si>
  <si>
    <t>Custodial</t>
  </si>
  <si>
    <t>Other Contractual</t>
  </si>
  <si>
    <t>0442</t>
  </si>
  <si>
    <t>Equipment &amp; Vehicle Rent</t>
  </si>
  <si>
    <t>0582</t>
  </si>
  <si>
    <t>Travel - Out of District</t>
  </si>
  <si>
    <t>0641</t>
  </si>
  <si>
    <t>Library Books</t>
  </si>
  <si>
    <t>0642</t>
  </si>
  <si>
    <t>Periodicals &amp; Newspapers</t>
  </si>
  <si>
    <t>Library Supplies</t>
  </si>
  <si>
    <t>0645</t>
  </si>
  <si>
    <t>Audio-Visual Material</t>
  </si>
  <si>
    <t>Teaching Supplies-Regular Program</t>
  </si>
  <si>
    <t>Other Supplies &amp; Materials</t>
  </si>
  <si>
    <t>Instructional Equipment-Regular</t>
  </si>
  <si>
    <t>0221</t>
  </si>
  <si>
    <t>0222</t>
  </si>
  <si>
    <t>0232</t>
  </si>
  <si>
    <t>0260</t>
  </si>
  <si>
    <t>0263</t>
  </si>
  <si>
    <t xml:space="preserve"> GRAND TOTAL ALL COSTS</t>
  </si>
  <si>
    <t>GRAND TOTAL ALL COSTS</t>
  </si>
  <si>
    <t>DIFFERENCE</t>
  </si>
  <si>
    <t>THIS FORM IS TO BE RETURNED TO THE SUPERINTENDENT WITH THE COLUMN FOR "COUNCIL</t>
  </si>
  <si>
    <t>DETERMINATION" COMPLETED.  THE TOTAL FOR "COUNCIL DETERMINATION" SHALL NOT EXCEED</t>
  </si>
  <si>
    <t xml:space="preserve"> SCHOOL PRINCIPAL'S SIGNATURE</t>
  </si>
  <si>
    <t>DATE APPROVED BY THE SCHOOL COUNCIL</t>
  </si>
  <si>
    <t>SUPERINTENDENT'S SIGNATURE</t>
  </si>
  <si>
    <t>DATE RECEIVED BY SUPERINTENDENT</t>
  </si>
  <si>
    <t>ELEMENTARY SCHOOL MAXIMUM CLASS SIZE STAFFING</t>
  </si>
  <si>
    <t>0151077</t>
  </si>
  <si>
    <t>0151031</t>
  </si>
  <si>
    <t>0151059</t>
  </si>
  <si>
    <t>0151118</t>
  </si>
  <si>
    <t>HEPNER, NANCY</t>
  </si>
  <si>
    <t>METCALF, DEBBIE</t>
  </si>
  <si>
    <t xml:space="preserve">MUDD, TIM </t>
  </si>
  <si>
    <t>0151087</t>
  </si>
  <si>
    <t>MIDDLE SCHOOL MAXIMUM CLASS SIZE STAFFING</t>
  </si>
  <si>
    <t>TOTAL FTE</t>
  </si>
  <si>
    <t>SECTIONS</t>
  </si>
  <si>
    <t>0351077</t>
  </si>
  <si>
    <t>MATHER, BETH</t>
  </si>
  <si>
    <t>0351031</t>
  </si>
  <si>
    <t>0351059</t>
  </si>
  <si>
    <t>0351118</t>
  </si>
  <si>
    <t>HART, MICHELLE</t>
  </si>
  <si>
    <t>PERRY, TONI</t>
  </si>
  <si>
    <t>INSTR ASST</t>
  </si>
  <si>
    <t>0351087</t>
  </si>
  <si>
    <t>ADA</t>
  </si>
  <si>
    <t>NUMBER</t>
  </si>
  <si>
    <t>AT RISK</t>
  </si>
  <si>
    <t>TOTAL ENR</t>
  </si>
  <si>
    <t>702 KAR 3:246</t>
  </si>
  <si>
    <t>(MUNIS)</t>
  </si>
  <si>
    <t>SECTION 3</t>
  </si>
  <si>
    <t>TOTAL FUND 1 FROM LATEST BUDGET</t>
  </si>
  <si>
    <t>LESS EXPENDITURES FOR DISTRICT WIDE PROGRAMS</t>
  </si>
  <si>
    <t xml:space="preserve">  (To include pay for extended employment and extra duty for all</t>
  </si>
  <si>
    <t xml:space="preserve">    employees as well as contingencies)</t>
  </si>
  <si>
    <t>AMOUNT TO BE ALLOCATED TO SCHOOLS</t>
  </si>
  <si>
    <t>SCHOOL COUNCIL ALLOCATION</t>
  </si>
  <si>
    <t>Section 4</t>
  </si>
  <si>
    <t>Section 5</t>
  </si>
  <si>
    <t>Section 6</t>
  </si>
  <si>
    <t>Section 7</t>
  </si>
  <si>
    <t>INSTRUCTIONAL</t>
  </si>
  <si>
    <t>PER</t>
  </si>
  <si>
    <t>PROFESSIONAL</t>
  </si>
  <si>
    <t>MATERIALS</t>
  </si>
  <si>
    <t>PUPIL</t>
  </si>
  <si>
    <t>FUNDS</t>
  </si>
  <si>
    <t>DEVELOPMENT</t>
  </si>
  <si>
    <t>AMOUNT</t>
  </si>
  <si>
    <t>BY SCHOOL</t>
  </si>
  <si>
    <t>LESS SECTION 9</t>
  </si>
  <si>
    <t>TOTAL AMOUNT AVAILABLE FOR ALLOCATION</t>
  </si>
  <si>
    <t xml:space="preserve">        (SUPERINTENDENT'S SIGNATURE)</t>
  </si>
  <si>
    <t xml:space="preserve"> (DATE)</t>
  </si>
  <si>
    <t>SCHOOLS:</t>
  </si>
  <si>
    <t>Number</t>
  </si>
  <si>
    <t>Name</t>
  </si>
  <si>
    <t>Prof Dev</t>
  </si>
  <si>
    <t>Allocation</t>
  </si>
  <si>
    <t>SCHOOL YEAR</t>
  </si>
  <si>
    <t>010</t>
  </si>
  <si>
    <t>035</t>
  </si>
  <si>
    <t>T. K. Stone M/S</t>
  </si>
  <si>
    <t>015</t>
  </si>
  <si>
    <t>Helmwood</t>
  </si>
  <si>
    <t>020</t>
  </si>
  <si>
    <t>Morningside</t>
  </si>
  <si>
    <t xml:space="preserve"> GRADE</t>
  </si>
  <si>
    <t>KG-Total</t>
  </si>
  <si>
    <t xml:space="preserve">  P-1</t>
  </si>
  <si>
    <t xml:space="preserve">  P-2</t>
  </si>
  <si>
    <t xml:space="preserve">  P-3</t>
  </si>
  <si>
    <t>PRIM SCHOOL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</si>
  <si>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</si>
  <si>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</si>
  <si>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</si>
  <si>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</si>
  <si>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</si>
  <si>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</si>
  <si>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</si>
  <si>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</si>
  <si>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</si>
  <si>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SP ED</t>
  </si>
  <si>
    <t>Homebound</t>
  </si>
  <si>
    <t xml:space="preserve"> TOTAL</t>
  </si>
  <si>
    <t>ALLOCATIONS TO SCHOOL BY SECTION OF 702 KAR 3:246</t>
  </si>
  <si>
    <t>ALLOCATION COMPONENT</t>
  </si>
  <si>
    <t xml:space="preserve">Projected FTE Enrollment </t>
  </si>
  <si>
    <t>SEC. 4</t>
  </si>
  <si>
    <t xml:space="preserve"> Certified Staff, excl. Sp. Ed.</t>
  </si>
  <si>
    <t xml:space="preserve"> Certified Staff Fringe Benefit</t>
  </si>
  <si>
    <t>Minimum Staff Required</t>
  </si>
  <si>
    <t xml:space="preserve"> Pupil/Teacher Ratio Reg. Tch.</t>
  </si>
  <si>
    <t xml:space="preserve">  Principal</t>
  </si>
  <si>
    <t xml:space="preserve">  Guidance Counselor</t>
  </si>
  <si>
    <t xml:space="preserve">  Media Specialist</t>
  </si>
  <si>
    <t xml:space="preserve">  Instructional Support</t>
  </si>
  <si>
    <t>Total Certified Staff, excl. Sp. Ed.</t>
  </si>
  <si>
    <t xml:space="preserve"> Pupil/Staff Ratio</t>
  </si>
  <si>
    <t>SEC. 5</t>
  </si>
  <si>
    <t xml:space="preserve"> Classified Staff, excl. categ</t>
  </si>
  <si>
    <t xml:space="preserve"> Average of Actual Classified Salary</t>
  </si>
  <si>
    <t xml:space="preserve"> Class. Staff Fringe Benefit</t>
  </si>
  <si>
    <t xml:space="preserve">  Secretaries</t>
  </si>
  <si>
    <t xml:space="preserve">  Instructional Assistants</t>
  </si>
  <si>
    <t xml:space="preserve">  Other</t>
  </si>
  <si>
    <t>Total Class. Stf, excl. Sp. Ed. &amp; Custodians</t>
  </si>
  <si>
    <t xml:space="preserve"> Pupil/Oth Classified Ratio</t>
  </si>
  <si>
    <t xml:space="preserve">  Custodians</t>
  </si>
  <si>
    <t xml:space="preserve"> Average Salary</t>
  </si>
  <si>
    <t xml:space="preserve"> Total for Custodians</t>
  </si>
  <si>
    <t xml:space="preserve"> Pupil/Custodian Ratio</t>
  </si>
  <si>
    <t>SEC. 4/5</t>
  </si>
  <si>
    <t xml:space="preserve"> TOTAL Fringe Benefits</t>
  </si>
  <si>
    <t>SEC. 6</t>
  </si>
  <si>
    <t xml:space="preserve"> Instructional Supplies &amp;</t>
  </si>
  <si>
    <t xml:space="preserve"> Materials - ADA x</t>
  </si>
  <si>
    <t xml:space="preserve"> Base SEEK =</t>
  </si>
  <si>
    <t xml:space="preserve"> @ 3.5% base SEEK</t>
  </si>
  <si>
    <t>SEC. 7</t>
  </si>
  <si>
    <t xml:space="preserve"> Additional Funds (Section 7)</t>
  </si>
  <si>
    <t>Summary of Allocations to School Councils</t>
  </si>
  <si>
    <t xml:space="preserve"> ALLOCATION</t>
  </si>
  <si>
    <t xml:space="preserve"> COMPONENT</t>
  </si>
  <si>
    <t>CUSTODIANS</t>
  </si>
  <si>
    <t>INSTR. SUPPLIES &amp; MAT</t>
  </si>
  <si>
    <t>Sec 7 - ADDITIONAL FUNDS</t>
  </si>
  <si>
    <t>PER PUPIL</t>
  </si>
  <si>
    <t>** Pupil teacher ratio for all teachers is based on state and local funded regular teaching positions.</t>
  </si>
  <si>
    <t xml:space="preserve">    This data is provided for information only.  The allocation provides for regular teachers only.</t>
  </si>
  <si>
    <t xml:space="preserve"> = 95% DISTRICT AVERAGE CUSTODIANS' SALARY</t>
  </si>
  <si>
    <t xml:space="preserve"> = 95% DISTRICT AVERAGE OTHER CLASSIFIED SALARY</t>
  </si>
  <si>
    <t>ID Needs</t>
  </si>
  <si>
    <t>Sec 7</t>
  </si>
  <si>
    <t>Sec 7 @</t>
  </si>
  <si>
    <t xml:space="preserve"> MORNINGSIDE</t>
  </si>
  <si>
    <t>Remaining Balance</t>
  </si>
  <si>
    <t>Certified Salary Schedule</t>
  </si>
  <si>
    <t>CLASSIFIED SALARY SCHEDULE</t>
  </si>
  <si>
    <t xml:space="preserve">  EXP.</t>
  </si>
  <si>
    <t>SECR</t>
  </si>
  <si>
    <t>CLERKS</t>
  </si>
  <si>
    <t>LUNCHROOM</t>
  </si>
  <si>
    <t>MAINTENANCE</t>
  </si>
  <si>
    <t>OPEN</t>
  </si>
  <si>
    <t>INSTR</t>
  </si>
  <si>
    <t>HDCP DAILY</t>
  </si>
  <si>
    <t>GIFTED</t>
  </si>
  <si>
    <t>LONG RUN</t>
  </si>
  <si>
    <t>TEMP</t>
  </si>
  <si>
    <t>BOOKKEEPERS</t>
  </si>
  <si>
    <t>SUPERVISOR</t>
  </si>
  <si>
    <t>WORKER</t>
  </si>
  <si>
    <t>ASST</t>
  </si>
  <si>
    <t>MANAGER</t>
  </si>
  <si>
    <t>WORKERS</t>
  </si>
  <si>
    <t>DRIVER</t>
  </si>
  <si>
    <t>PART-TIME</t>
  </si>
  <si>
    <t xml:space="preserve">  ELIZABETHTOWN INDEPENDENT SCHOOLS</t>
  </si>
  <si>
    <t>ALLOCATION TO SCHOOL COUNCILS</t>
  </si>
  <si>
    <t>CERTIFICATION</t>
  </si>
  <si>
    <t>0101077</t>
  </si>
  <si>
    <t>0101031</t>
  </si>
  <si>
    <t>0101059</t>
  </si>
  <si>
    <t>0101118</t>
  </si>
  <si>
    <t>BLACK, KIM</t>
  </si>
  <si>
    <t>PENNINGTON, JANIE</t>
  </si>
  <si>
    <t>LIBRARY ASST</t>
  </si>
  <si>
    <t>0101087</t>
  </si>
  <si>
    <t xml:space="preserve"> HELMWOOD</t>
  </si>
  <si>
    <t xml:space="preserve"> T.K. STONE M/S</t>
  </si>
  <si>
    <t xml:space="preserve"> E'TOWN H/S</t>
  </si>
  <si>
    <t>TODD, JAMES</t>
  </si>
  <si>
    <t>PULLEN, ANNETTE</t>
  </si>
  <si>
    <t>PEARMAN, GARY</t>
  </si>
  <si>
    <t>WILLIAMS, JANE</t>
  </si>
  <si>
    <t>WATTS, LAURA</t>
  </si>
  <si>
    <t>CHRISTIAN, CAROL</t>
  </si>
  <si>
    <t>HINKLE, PAULINE</t>
  </si>
  <si>
    <t>O'DONNEL, LINDA</t>
  </si>
  <si>
    <t>THOMAS, LISA</t>
  </si>
  <si>
    <t>HENSON, KAREN</t>
  </si>
  <si>
    <t>E'town H/S</t>
  </si>
  <si>
    <t>School</t>
  </si>
  <si>
    <t>Change</t>
  </si>
  <si>
    <t>Regular Teachers</t>
  </si>
  <si>
    <t>Total</t>
  </si>
  <si>
    <t>T. K. Stone</t>
  </si>
  <si>
    <t>% Over Minimum</t>
  </si>
  <si>
    <t>Regular Teachers Allocated</t>
  </si>
  <si>
    <t xml:space="preserve">Pupil/Teacher Ratio </t>
  </si>
  <si>
    <t>PAYNE, CANDANCE</t>
  </si>
  <si>
    <t>SULLIVAN, ANN</t>
  </si>
  <si>
    <t>WALKER, KENDRA</t>
  </si>
  <si>
    <t>Pupil Staff Ratio for</t>
  </si>
  <si>
    <t xml:space="preserve">               SCHOOL COUNCIL ALLOCATION</t>
  </si>
  <si>
    <t>SECTION 4</t>
  </si>
  <si>
    <t xml:space="preserve">                 CERTIFIED STAFF</t>
  </si>
  <si>
    <t xml:space="preserve">                      CERTIFIED STAFF</t>
  </si>
  <si>
    <t xml:space="preserve"> = pupil-teacher ratio</t>
  </si>
  <si>
    <t xml:space="preserve"> </t>
  </si>
  <si>
    <t>SIMON. FRANCES</t>
  </si>
  <si>
    <t xml:space="preserve"> @ FULL DAY</t>
  </si>
  <si>
    <t>Teaching Staff Allocated by Formula =</t>
  </si>
  <si>
    <t>Teaching Staff Required for Class Caps =</t>
  </si>
  <si>
    <t xml:space="preserve"> = pupil-teacher ratio school wide</t>
  </si>
  <si>
    <t>TOTAL CERTIFIED</t>
  </si>
  <si>
    <t>TOTAL CLASSIFIED</t>
  </si>
  <si>
    <t>FTE INST ASST STAFF</t>
  </si>
  <si>
    <t>Class</t>
  </si>
  <si>
    <t>Cap</t>
  </si>
  <si>
    <t>Level</t>
  </si>
  <si>
    <t>Student/Asst</t>
  </si>
  <si>
    <t>Instr Asst Staff =</t>
  </si>
  <si>
    <t xml:space="preserve">GR. 9 </t>
  </si>
  <si>
    <t xml:space="preserve">GR. 10 </t>
  </si>
  <si>
    <t>GR. 11</t>
  </si>
  <si>
    <t>GR. 12</t>
  </si>
  <si>
    <t>Class Cap Plan Period Factor =</t>
  </si>
  <si>
    <t>Hold Harmless</t>
  </si>
  <si>
    <t>Staff Allocated</t>
  </si>
  <si>
    <t xml:space="preserve">GR. 6 </t>
  </si>
  <si>
    <t>GR. 7</t>
  </si>
  <si>
    <t xml:space="preserve">GR. 8 </t>
  </si>
  <si>
    <t>Total Sec * Factor</t>
  </si>
  <si>
    <t xml:space="preserve">             SCHOOL COUNCIL ALLOCATION</t>
  </si>
  <si>
    <t>Instructional Assistants Allocated by Formula =</t>
  </si>
  <si>
    <t>Hold Harmless =</t>
  </si>
  <si>
    <t>Instructional Assistants Allocated =</t>
  </si>
  <si>
    <t>(DISTRICT)</t>
  </si>
  <si>
    <t>Section 9*</t>
  </si>
  <si>
    <t>SCHOOL NAME</t>
  </si>
  <si>
    <t>TOTALS BY CATEGORY</t>
  </si>
  <si>
    <t xml:space="preserve"> * Section 9 monies come from Fund 2</t>
  </si>
  <si>
    <t>BARCENILLA, MARIA</t>
  </si>
  <si>
    <t>WILSON,RHONDA</t>
  </si>
  <si>
    <t>BREUNING, JACK</t>
  </si>
  <si>
    <t>PITTS, DON</t>
  </si>
  <si>
    <t>PRESCHOOL</t>
  </si>
  <si>
    <t>SMITH, KIM</t>
  </si>
  <si>
    <t>FTE</t>
  </si>
  <si>
    <t xml:space="preserve">  Workers Comp Insurance - Certified</t>
  </si>
  <si>
    <t xml:space="preserve">  Medicare - Certified </t>
  </si>
  <si>
    <t xml:space="preserve">  Medicare Classified</t>
  </si>
  <si>
    <t xml:space="preserve">  Other Retirement</t>
  </si>
  <si>
    <t xml:space="preserve">  Workers Comp Insurance - Classified</t>
  </si>
  <si>
    <t xml:space="preserve">  Unemployment - Certified</t>
  </si>
  <si>
    <t xml:space="preserve">  Unemployment - Classified</t>
  </si>
  <si>
    <t>FICA</t>
  </si>
  <si>
    <t>Other Retirement</t>
  </si>
  <si>
    <t>Medicare</t>
  </si>
  <si>
    <t>Workers Comp</t>
  </si>
  <si>
    <t>Unemployment</t>
  </si>
  <si>
    <t xml:space="preserve">  Social Security </t>
  </si>
  <si>
    <t>E’town H/S</t>
  </si>
  <si>
    <t>BUTLER, MELISSA</t>
  </si>
  <si>
    <t>KEY, AMY</t>
  </si>
  <si>
    <t>LARKIN, LORI</t>
  </si>
  <si>
    <t>LUNSFORD, MARY ELLEN</t>
  </si>
  <si>
    <t>SWANK, DAWNE</t>
  </si>
  <si>
    <t>WILSON, ELLISHA</t>
  </si>
  <si>
    <t>CRAIG, MISTI</t>
  </si>
  <si>
    <t>STEFFY, SUE</t>
  </si>
  <si>
    <t>Attd Clerk</t>
  </si>
  <si>
    <t xml:space="preserve"> Proj 2nd Month ADA</t>
  </si>
  <si>
    <t>GARDNER, LEAH</t>
  </si>
  <si>
    <t>BREUNING, JOANNA</t>
  </si>
  <si>
    <t>FULFORD, JENNIFER</t>
  </si>
  <si>
    <t>HAIRE, JAMES</t>
  </si>
  <si>
    <t>HINKLE, TIM</t>
  </si>
  <si>
    <t>CONWAY, JANE</t>
  </si>
  <si>
    <t>PARSONS, CHRISTY</t>
  </si>
  <si>
    <t>LUNCH</t>
  </si>
  <si>
    <t>FREE/REDUCED</t>
  </si>
  <si>
    <t>FTE Projected Enrollment</t>
  </si>
  <si>
    <t>T K Stone</t>
  </si>
  <si>
    <t>Projected ADA 1st 2 months</t>
  </si>
  <si>
    <t>attendance</t>
  </si>
  <si>
    <t>DONES, SUSAN</t>
  </si>
  <si>
    <t xml:space="preserve">  </t>
  </si>
  <si>
    <t>Dean of Students</t>
  </si>
  <si>
    <t>CLEMONS, BETTY</t>
  </si>
  <si>
    <t>WEBER, KIMBERLY</t>
  </si>
  <si>
    <t>GOHMAN, PATRICIA</t>
  </si>
  <si>
    <t>ATTEND CLERK</t>
  </si>
  <si>
    <t>BLACK, PAT</t>
  </si>
  <si>
    <t>ECK, MARK</t>
  </si>
  <si>
    <t>DAVIS, TIFFANY</t>
  </si>
  <si>
    <t>GREGORY, LINDA</t>
  </si>
  <si>
    <t>SEC</t>
  </si>
  <si>
    <t>HALK, KAREN</t>
  </si>
  <si>
    <t>MUDD, LISA</t>
  </si>
  <si>
    <t>SWINEY, DONNIE</t>
  </si>
  <si>
    <t>BARNES, DOUG</t>
  </si>
  <si>
    <t>KNIGHT, JIMMY</t>
  </si>
  <si>
    <t>LEWIS, DEBORAH</t>
  </si>
  <si>
    <t>HAYCRAFT, LISA</t>
  </si>
  <si>
    <t>TURNER, JESSICA</t>
  </si>
  <si>
    <t>BLAND, BRENDA</t>
  </si>
  <si>
    <t>BRAKEBILL, WANDA</t>
  </si>
  <si>
    <t>HENRY, LESLEY</t>
  </si>
  <si>
    <t>WEAVER, JENNIFER</t>
  </si>
  <si>
    <t>TABLE A INFORMATION</t>
  </si>
  <si>
    <t>TABLE B INFORMATION</t>
  </si>
  <si>
    <t>DYE, TAMMY</t>
  </si>
  <si>
    <t>WILLETT, KRISTIN A.</t>
  </si>
  <si>
    <t>BUCKINGHAM, KARLA</t>
  </si>
  <si>
    <t>ERICKSEN, LISA</t>
  </si>
  <si>
    <t>RIZER, BRENDA</t>
  </si>
  <si>
    <t>ACRES, BRENDA</t>
  </si>
  <si>
    <t>STINSON, BRIDGETT</t>
  </si>
  <si>
    <t>INSTR ASST- la</t>
  </si>
  <si>
    <t>CARTER, CINDY</t>
  </si>
  <si>
    <t>HAMILTON, SHERYL</t>
  </si>
  <si>
    <t>BURCH, DONNA</t>
  </si>
  <si>
    <t>Additonal Teaching Staff Allocated</t>
  </si>
  <si>
    <t>Total Teaching Staff Allocated</t>
  </si>
  <si>
    <t xml:space="preserve">DUFF, SHANNON </t>
  </si>
  <si>
    <t>Additional Teaching Staff Allocated</t>
  </si>
  <si>
    <t xml:space="preserve">Projected 1st Month FTE Enrollment </t>
  </si>
  <si>
    <t>E+1</t>
  </si>
  <si>
    <t>Board Assigned Staff</t>
  </si>
  <si>
    <t>Unassigned Staff</t>
  </si>
  <si>
    <t>Staff Allocated by Formula</t>
  </si>
  <si>
    <t xml:space="preserve"> Regular Teachers Assigned</t>
  </si>
  <si>
    <t>BARNES, MEGAN</t>
  </si>
  <si>
    <t>CRAWFORD, DIANNA</t>
  </si>
  <si>
    <t>TOTAL BOARD ASSIGNED</t>
  </si>
  <si>
    <t>BOARD ASSIGNED STAFF</t>
  </si>
  <si>
    <t>TOTAL BOARD ASSIGNED STAFF</t>
  </si>
  <si>
    <t xml:space="preserve">BOARD ASSIGNED STAFF </t>
  </si>
  <si>
    <t>INTERVENTION</t>
  </si>
  <si>
    <t>MONTGOMERY, SUSAN</t>
  </si>
  <si>
    <t>187 SALARY</t>
  </si>
  <si>
    <t>UNASSIGNED STAFF</t>
  </si>
  <si>
    <t xml:space="preserve">INSTR ASST  </t>
  </si>
  <si>
    <t xml:space="preserve"> Ave of Actual 187 Day Salary</t>
  </si>
  <si>
    <t xml:space="preserve"> = 95% DISTRICT AVERAGE 187 DAY TEACHERS' SALARY</t>
  </si>
  <si>
    <t>ADAMS, MARSHA</t>
  </si>
  <si>
    <t>BRANGERS, CHRISTA</t>
  </si>
  <si>
    <t>GROSSMAN, DAVID</t>
  </si>
  <si>
    <t>PAGE, LISA</t>
  </si>
  <si>
    <t>ROWLAND, BARBARA</t>
  </si>
  <si>
    <t>DAILEY, SAUNDRA</t>
  </si>
  <si>
    <t>TWYMAN, TAMMY</t>
  </si>
  <si>
    <t>HINDLE, DEISHA</t>
  </si>
  <si>
    <t>LUTZ, MELISSA</t>
  </si>
  <si>
    <t>*Actual 1st Month Enrollment from FY2008 SBDM Allocation Update (November 2007)</t>
  </si>
  <si>
    <t>2007-08**</t>
  </si>
  <si>
    <t>0351918</t>
  </si>
  <si>
    <t>GILKERSON, BRENDA</t>
  </si>
  <si>
    <t>SAVAGE, MIKE</t>
  </si>
  <si>
    <t>INTERVENTIONIST</t>
  </si>
  <si>
    <t>SMALLWOOD, STEPHEN</t>
  </si>
  <si>
    <t>BOOKKEEPER</t>
  </si>
  <si>
    <t>Hinton, Pamela</t>
  </si>
  <si>
    <t>THRUSH, ROSEANN</t>
  </si>
  <si>
    <t>BENNETT, KATIE</t>
  </si>
  <si>
    <t>ELMORE, THAD</t>
  </si>
  <si>
    <t>ISD</t>
  </si>
  <si>
    <t>BELL, MARY</t>
  </si>
  <si>
    <t>READING</t>
  </si>
  <si>
    <t>BAND</t>
  </si>
  <si>
    <t>0151918</t>
  </si>
  <si>
    <t>A-ROOM</t>
  </si>
  <si>
    <t>IRWIN, LINDA</t>
  </si>
  <si>
    <t>WOOD, MELODY</t>
  </si>
  <si>
    <t>PARSONS, JON</t>
  </si>
  <si>
    <t xml:space="preserve"> =  End of 2nd month ADA Percentage</t>
  </si>
  <si>
    <t>YOUNG, BONNIE</t>
  </si>
  <si>
    <t>TECH ASST</t>
  </si>
  <si>
    <t>2009-2010</t>
  </si>
  <si>
    <t>0201918</t>
  </si>
  <si>
    <t xml:space="preserve">  Assistant Principal/Dean of </t>
  </si>
  <si>
    <t>HINTON, PAM</t>
  </si>
  <si>
    <t>CRABTREE, GERALD</t>
  </si>
  <si>
    <t>HENRY, B.J.</t>
  </si>
  <si>
    <t>ASST PRIN</t>
  </si>
  <si>
    <t>HINKLE, RASHA</t>
  </si>
  <si>
    <t>PEARSALL, CHARLES</t>
  </si>
  <si>
    <t>BILLINGS, SHARON</t>
  </si>
  <si>
    <t>SHEARER, VICKI</t>
  </si>
  <si>
    <t>INSTR ASST-</t>
  </si>
  <si>
    <t xml:space="preserve">INSTR ASST </t>
  </si>
  <si>
    <t>0101918</t>
  </si>
  <si>
    <t>MUSIC</t>
  </si>
  <si>
    <t>STRANGE, KIMBERLY</t>
  </si>
  <si>
    <t>APPELMAN, KAREN</t>
  </si>
  <si>
    <t>MOREMAN, MARTHA</t>
  </si>
  <si>
    <t>ATTENDANCE</t>
  </si>
  <si>
    <t>DEAN/ASST PRINC</t>
  </si>
  <si>
    <t>Updated 09-29-2009</t>
  </si>
  <si>
    <t>**Check against actual teachers allocated in FY2010 SBDM Allocation (February 2007)</t>
  </si>
  <si>
    <t>THOMPSON, KALEEN</t>
  </si>
  <si>
    <t>CAROTHERS, JOE</t>
  </si>
  <si>
    <t>WEBSTER, MARK</t>
  </si>
  <si>
    <t>CANN, ANGELA</t>
  </si>
  <si>
    <t>THORN, DANIEL</t>
  </si>
  <si>
    <t>RAWLINGS, GREG</t>
  </si>
  <si>
    <t>STROOP, STACIE</t>
  </si>
  <si>
    <t>RICHARDSON, RAYLENE</t>
  </si>
  <si>
    <t>Davis, kathryn</t>
  </si>
  <si>
    <t>BAKER, DONALD</t>
  </si>
  <si>
    <t>CUSTODIAN</t>
  </si>
  <si>
    <t>CHAMBERS, KATHY</t>
  </si>
  <si>
    <t>CHOATE, GILLARD</t>
  </si>
  <si>
    <t>DILLARD, DAVID</t>
  </si>
  <si>
    <t>FENWICK, DONALD</t>
  </si>
  <si>
    <t>HORNBACK, GERALYN</t>
  </si>
  <si>
    <t>MATTINGLY, JEREMY</t>
  </si>
  <si>
    <t>MCDANIEL, KEVIN</t>
  </si>
  <si>
    <t>MONTGOMERY, MELVIN</t>
  </si>
  <si>
    <t>PHELPS, PEGGY</t>
  </si>
  <si>
    <t>INSTR ASST  lb</t>
  </si>
  <si>
    <t>Atcher, Ashley</t>
  </si>
  <si>
    <t>Billings, Adam</t>
  </si>
  <si>
    <t>Dodson, Mary Ellen</t>
  </si>
  <si>
    <t>elliott, Candance</t>
  </si>
  <si>
    <t>Ernst, Caleb</t>
  </si>
  <si>
    <t>Walters, Alesia</t>
  </si>
  <si>
    <t>Mooney, Scott</t>
  </si>
  <si>
    <t>Thompson, Brandon</t>
  </si>
  <si>
    <t>Herringshaw, Donna</t>
  </si>
  <si>
    <t>Graham, Kelly</t>
  </si>
  <si>
    <t>Druen, Kim</t>
  </si>
  <si>
    <t>Panther Acad</t>
  </si>
  <si>
    <t>Panther Academy</t>
  </si>
  <si>
    <t>Franklin, Samra</t>
  </si>
  <si>
    <t>Hartledge, Kim</t>
  </si>
  <si>
    <t>STELLPFLUG, BRYAN</t>
  </si>
  <si>
    <t>0251077</t>
  </si>
  <si>
    <t>0251118</t>
  </si>
  <si>
    <t>0251059</t>
  </si>
  <si>
    <t>0251031</t>
  </si>
  <si>
    <t>0251187</t>
  </si>
  <si>
    <t>025</t>
  </si>
  <si>
    <t>Dean of Students/Asst Principal</t>
  </si>
  <si>
    <t>GOODLETT, TARA</t>
  </si>
  <si>
    <t>PANTHER ACADEMY</t>
  </si>
  <si>
    <t>YOUNG, JIM</t>
  </si>
  <si>
    <t>BAL, KERRI</t>
  </si>
  <si>
    <t>FARROW, DEBRA</t>
  </si>
  <si>
    <t>FREDERICK, DOUG</t>
  </si>
  <si>
    <t>LOOTEN, LIZ</t>
  </si>
  <si>
    <t>IA</t>
  </si>
  <si>
    <t>MILLER, MIRANDA</t>
  </si>
  <si>
    <t>PEDIGO, CARYN</t>
  </si>
  <si>
    <t>RAINE, PATRICIA</t>
  </si>
  <si>
    <t>ROBINSON, PATTY</t>
  </si>
  <si>
    <t>SCOTT, ANTHONY</t>
  </si>
  <si>
    <t>SELF, ANN</t>
  </si>
  <si>
    <t>meek, mary beth</t>
  </si>
  <si>
    <t>Dana McCurry</t>
  </si>
  <si>
    <t>Jackie Edwards</t>
  </si>
  <si>
    <t>Melissa Gregory</t>
  </si>
  <si>
    <t>Nancy Hazle</t>
  </si>
  <si>
    <t>Jaunie Knapp</t>
  </si>
  <si>
    <t>Carla Kuhn</t>
  </si>
  <si>
    <t>Becky Pinkham</t>
  </si>
  <si>
    <t>Jill Valentine</t>
  </si>
  <si>
    <t>Amy Truitt</t>
  </si>
  <si>
    <t>Wyatt, Doris</t>
  </si>
  <si>
    <t>Thomas, Vicki</t>
  </si>
  <si>
    <t>Lyman, Carol</t>
  </si>
  <si>
    <t>Riney, Shannon</t>
  </si>
  <si>
    <t>Donahue</t>
  </si>
  <si>
    <t>COLLINS, SUSAN</t>
  </si>
  <si>
    <t>LINE, JUSTIN</t>
  </si>
  <si>
    <t>YATES, COREY</t>
  </si>
  <si>
    <t>ASHBY, JEFFREY</t>
  </si>
  <si>
    <t>STEPHENS, RANDAL</t>
  </si>
  <si>
    <t>TUCKER, CAROYLN</t>
  </si>
  <si>
    <t>DWT.</t>
  </si>
  <si>
    <t>NEPI, JOE</t>
  </si>
  <si>
    <t>HOGUE-MILLS, MELISSA</t>
  </si>
  <si>
    <t>SCHEXNEIDER, EUGENIA</t>
  </si>
  <si>
    <t>Pfeiffer, Trisha</t>
  </si>
  <si>
    <t>Meyer, KELLEY</t>
  </si>
  <si>
    <t>PARKER, LAURA</t>
  </si>
  <si>
    <t>ROVINSKI, DONNA</t>
  </si>
  <si>
    <t>SULLIVAN, ERIC</t>
  </si>
  <si>
    <t>BROCKMAN, MARGET</t>
  </si>
  <si>
    <t>BROWN, LEONARD</t>
  </si>
  <si>
    <t>HURST, JARROD</t>
  </si>
  <si>
    <t>webster, scott</t>
  </si>
  <si>
    <t>REYNOLDS, CATHERINE</t>
  </si>
  <si>
    <t>Paula Schubler</t>
  </si>
  <si>
    <t>Brandenburg, kathy</t>
  </si>
  <si>
    <t>THE GRAND TOTAL ALLOCATION.  THE COMPLETED FORM IS DUEOctober 30.</t>
  </si>
  <si>
    <t>THE GRAND TOTAL ALLOCATION.  THE COMPLETED FORM IS DUE October 30.</t>
  </si>
  <si>
    <t>2012-13</t>
  </si>
  <si>
    <t>dow, STEPHANIE</t>
  </si>
  <si>
    <t>Hatfield, WESLEY</t>
  </si>
  <si>
    <t>open</t>
  </si>
  <si>
    <t>GARDNER, AMY</t>
  </si>
  <si>
    <t>SMALLWOOD, TROY</t>
  </si>
  <si>
    <t>WATERS, AMANDA RESIGNED</t>
  </si>
  <si>
    <t>LANE, KELLY RESIGNED</t>
  </si>
  <si>
    <t>2013-2014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</si>
</sst>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_)"/>
    <numFmt numFmtId="170" formatCode="#,##0.0_);\(#,##0.0\)"/>
    <numFmt numFmtId="171" formatCode="0.00_)"/>
    <numFmt numFmtId="172" formatCode="0.000000_)"/>
    <numFmt numFmtId="173" formatCode="0_)"/>
    <numFmt numFmtId="174" formatCode="_(* #,##0.0_);_(* \(#,##0.0\);_(* &quot;-&quot;?_);_(@_)"/>
    <numFmt numFmtId="175" formatCode="&quot;$&quot;#,##0"/>
    <numFmt numFmtId="176" formatCode="0.000"/>
    <numFmt numFmtId="177" formatCode="dd\-mmm\-yy"/>
    <numFmt numFmtId="178" formatCode="0_);\(0\)"/>
    <numFmt numFmtId="179" formatCode="0.0_);[Red]\(0.0\)"/>
  </numFmts>
  <fonts count="7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 MT"/>
      <family val="2"/>
    </font>
    <font>
      <sz val="10"/>
      <name val="Arial MT"/>
      <family val="2"/>
    </font>
    <font>
      <b/>
      <sz val="12"/>
      <name val="Arial MT"/>
    </font>
    <font>
      <b/>
      <sz val="10"/>
      <name val="Arial MT"/>
      <family val="2"/>
    </font>
    <font>
      <b/>
      <sz val="11"/>
      <name val="Arial MT"/>
    </font>
    <font>
      <b/>
      <sz val="12"/>
      <name val="Arial MT"/>
      <family val="2"/>
    </font>
    <font>
      <sz val="9"/>
      <name val="Arial MT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MT"/>
    </font>
    <font>
      <sz val="10"/>
      <name val="Arial"/>
      <family val="2"/>
    </font>
    <font>
      <b/>
      <sz val="10"/>
      <name val="TimesNewRomanPS"/>
    </font>
    <font>
      <b/>
      <sz val="9"/>
      <name val="TimesNewRomanPS"/>
    </font>
    <font>
      <sz val="9"/>
      <name val="Arial MT"/>
    </font>
    <font>
      <sz val="10"/>
      <name val="Arial MT"/>
    </font>
    <font>
      <b/>
      <sz val="9"/>
      <name val="TimesNewRomanPS"/>
      <family val="1"/>
    </font>
    <font>
      <sz val="14"/>
      <name val="Arial MT"/>
    </font>
    <font>
      <b/>
      <sz val="6"/>
      <name val="TimesNewRomanPS"/>
    </font>
    <font>
      <b/>
      <sz val="14"/>
      <name val="TimesNewRomanPS"/>
    </font>
    <font>
      <b/>
      <sz val="8"/>
      <name val="TimesNewRomanPS"/>
      <family val="1"/>
    </font>
    <font>
      <sz val="12"/>
      <name val="Arial MT"/>
    </font>
    <font>
      <b/>
      <sz val="14"/>
      <name val="Arial MT"/>
    </font>
    <font>
      <b/>
      <sz val="14"/>
      <name val="TimesNewRomanPS"/>
      <family val="1"/>
    </font>
    <font>
      <sz val="12"/>
      <name val="TimesNewRomanPS"/>
    </font>
    <font>
      <sz val="9"/>
      <color indexed="12"/>
      <name val="Courier"/>
      <family val="3"/>
    </font>
    <font>
      <sz val="13"/>
      <name val="Arial MT"/>
    </font>
    <font>
      <b/>
      <sz val="13"/>
      <name val="TimesNewRomanPS"/>
    </font>
    <font>
      <sz val="9"/>
      <name val="TimesNewRomanPS"/>
    </font>
    <font>
      <sz val="13"/>
      <color indexed="12"/>
      <name val="Arial MT"/>
      <family val="2"/>
    </font>
    <font>
      <sz val="13"/>
      <name val="Arial MT"/>
      <family val="2"/>
    </font>
    <font>
      <sz val="10"/>
      <name val="TimesNewRomanPS"/>
    </font>
    <font>
      <sz val="14"/>
      <name val="Arial MT"/>
      <family val="2"/>
    </font>
    <font>
      <sz val="8"/>
      <name val="TimesNewRomanPS"/>
    </font>
    <font>
      <sz val="10"/>
      <name val="TimesNewRomanPS"/>
      <family val="1"/>
    </font>
    <font>
      <sz val="12"/>
      <color indexed="12"/>
      <name val="Courier"/>
      <family val="3"/>
    </font>
    <font>
      <b/>
      <sz val="11"/>
      <name val="TimesNewRomanPS"/>
    </font>
    <font>
      <sz val="11"/>
      <name val="Arial MT"/>
    </font>
    <font>
      <b/>
      <sz val="8"/>
      <name val="TimesNewRomanPS"/>
    </font>
    <font>
      <sz val="12"/>
      <name val="TimesNewRomanPS"/>
      <family val="1"/>
    </font>
    <font>
      <sz val="8"/>
      <name val="TimesNewRomanPS"/>
      <family val="1"/>
    </font>
    <font>
      <sz val="11"/>
      <name val="TimesNewRomanPS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TimesNewRomanPS"/>
    </font>
    <font>
      <sz val="12"/>
      <color indexed="17"/>
      <name val="TimesNewRomanPS"/>
    </font>
    <font>
      <sz val="12"/>
      <color indexed="17"/>
      <name val="Arial MT"/>
    </font>
    <font>
      <sz val="10"/>
      <color indexed="17"/>
      <name val="Arial"/>
      <family val="2"/>
    </font>
    <font>
      <b/>
      <sz val="8"/>
      <color indexed="17"/>
      <name val="TimesNewRomanPS"/>
    </font>
    <font>
      <b/>
      <sz val="10"/>
      <color indexed="17"/>
      <name val="TimesNewRomanPS"/>
    </font>
    <font>
      <sz val="10"/>
      <color indexed="17"/>
      <name val="TimesNewRomanPS"/>
    </font>
    <font>
      <sz val="12"/>
      <color indexed="17"/>
      <name val="TimesNewRomanPS"/>
      <family val="1"/>
    </font>
    <font>
      <sz val="9"/>
      <color indexed="17"/>
      <name val="TimesNewRomanPS"/>
    </font>
    <font>
      <sz val="13"/>
      <color indexed="17"/>
      <name val="Arial MT"/>
      <family val="2"/>
    </font>
    <font>
      <sz val="8"/>
      <color indexed="17"/>
      <name val="TimesNewRomanPS"/>
    </font>
    <font>
      <sz val="12"/>
      <color indexed="17"/>
      <name val="Arial"/>
      <family val="2"/>
    </font>
    <font>
      <sz val="12"/>
      <color indexed="17"/>
      <name val="Arial MT"/>
      <family val="2"/>
    </font>
    <font>
      <sz val="14"/>
      <color indexed="17"/>
      <name val="Arial MT"/>
      <family val="2"/>
    </font>
    <font>
      <sz val="10"/>
      <color indexed="10"/>
      <name val="Arial"/>
      <family val="2"/>
    </font>
    <font>
      <u val="singleAccounting"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5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64"/>
      </bottom>
      <diagonal/>
    </border>
    <border>
      <left/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8"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/>
    <xf numFmtId="0" fontId="1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10" fillId="0" borderId="0" xfId="0" applyFont="1"/>
    <xf numFmtId="0" fontId="8" fillId="0" borderId="0" xfId="0" quotePrefix="1" applyFont="1" applyAlignment="1"/>
    <xf numFmtId="0" fontId="1" fillId="0" borderId="0" xfId="0" applyFont="1" applyAlignment="1"/>
    <xf numFmtId="0" fontId="8" fillId="0" borderId="0" xfId="0" applyFont="1" applyBorder="1" applyAlignment="1"/>
    <xf numFmtId="0" fontId="8" fillId="0" borderId="0" xfId="0" applyFont="1" applyAlignment="1"/>
    <xf numFmtId="0" fontId="11" fillId="0" borderId="0" xfId="0" applyFont="1"/>
    <xf numFmtId="0" fontId="1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164" fontId="13" fillId="0" borderId="0" xfId="2" applyNumberFormat="1" applyFont="1"/>
    <xf numFmtId="0" fontId="14" fillId="0" borderId="0" xfId="0" quotePrefix="1" applyFont="1" applyAlignment="1">
      <alignment horizontal="left"/>
    </xf>
    <xf numFmtId="0" fontId="0" fillId="0" borderId="0" xfId="0" applyBorder="1"/>
    <xf numFmtId="0" fontId="0" fillId="0" borderId="6" xfId="0" applyBorder="1"/>
    <xf numFmtId="0" fontId="0" fillId="0" borderId="4" xfId="0" quotePrefix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0" fillId="0" borderId="5" xfId="0" quotePrefix="1" applyBorder="1" applyAlignment="1">
      <alignment horizontal="left"/>
    </xf>
    <xf numFmtId="0" fontId="0" fillId="0" borderId="9" xfId="0" applyBorder="1"/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7" fontId="13" fillId="0" borderId="9" xfId="1" applyNumberFormat="1" applyFont="1" applyBorder="1"/>
    <xf numFmtId="167" fontId="13" fillId="0" borderId="0" xfId="1" applyNumberFormat="1" applyFont="1" applyBorder="1"/>
    <xf numFmtId="167" fontId="13" fillId="0" borderId="6" xfId="1" applyNumberFormat="1" applyFont="1" applyBorder="1"/>
    <xf numFmtId="0" fontId="0" fillId="0" borderId="11" xfId="0" applyBorder="1"/>
    <xf numFmtId="167" fontId="13" fillId="0" borderId="12" xfId="1" applyNumberFormat="1" applyFont="1" applyBorder="1"/>
    <xf numFmtId="167" fontId="13" fillId="0" borderId="13" xfId="1" applyNumberFormat="1" applyFont="1" applyBorder="1"/>
    <xf numFmtId="167" fontId="13" fillId="0" borderId="14" xfId="1" applyNumberFormat="1" applyFont="1" applyBorder="1"/>
    <xf numFmtId="167" fontId="13" fillId="0" borderId="10" xfId="1" applyNumberFormat="1" applyFont="1" applyBorder="1"/>
    <xf numFmtId="167" fontId="13" fillId="0" borderId="8" xfId="1" applyNumberFormat="1" applyFont="1" applyBorder="1"/>
    <xf numFmtId="167" fontId="13" fillId="0" borderId="7" xfId="1" applyNumberFormat="1" applyFont="1" applyBorder="1"/>
    <xf numFmtId="167" fontId="13" fillId="0" borderId="15" xfId="1" applyNumberFormat="1" applyFont="1" applyBorder="1"/>
    <xf numFmtId="167" fontId="13" fillId="0" borderId="16" xfId="1" applyNumberFormat="1" applyFont="1" applyBorder="1"/>
    <xf numFmtId="167" fontId="13" fillId="2" borderId="10" xfId="1" applyNumberFormat="1" applyFont="1" applyFill="1" applyBorder="1"/>
    <xf numFmtId="167" fontId="13" fillId="2" borderId="9" xfId="1" applyNumberFormat="1" applyFont="1" applyFill="1" applyBorder="1"/>
    <xf numFmtId="43" fontId="13" fillId="0" borderId="9" xfId="1" applyNumberFormat="1" applyFont="1" applyBorder="1"/>
    <xf numFmtId="43" fontId="13" fillId="0" borderId="12" xfId="1" applyNumberFormat="1" applyFont="1" applyBorder="1"/>
    <xf numFmtId="167" fontId="13" fillId="0" borderId="17" xfId="1" applyNumberFormat="1" applyFont="1" applyBorder="1"/>
    <xf numFmtId="43" fontId="16" fillId="0" borderId="0" xfId="1" applyFont="1"/>
    <xf numFmtId="167" fontId="16" fillId="0" borderId="0" xfId="1" applyNumberFormat="1" applyFont="1"/>
    <xf numFmtId="43" fontId="16" fillId="0" borderId="13" xfId="1" applyNumberFormat="1" applyFont="1" applyBorder="1"/>
    <xf numFmtId="0" fontId="17" fillId="0" borderId="0" xfId="0" applyFont="1"/>
    <xf numFmtId="0" fontId="17" fillId="0" borderId="0" xfId="0" quotePrefix="1" applyFont="1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center"/>
    </xf>
    <xf numFmtId="0" fontId="12" fillId="0" borderId="2" xfId="0" applyFont="1" applyBorder="1"/>
    <xf numFmtId="0" fontId="18" fillId="0" borderId="18" xfId="0" applyFont="1" applyBorder="1" applyAlignment="1">
      <alignment horizontal="center"/>
    </xf>
    <xf numFmtId="0" fontId="18" fillId="0" borderId="19" xfId="0" quotePrefix="1" applyFont="1" applyBorder="1" applyAlignment="1">
      <alignment horizontal="center"/>
    </xf>
    <xf numFmtId="0" fontId="0" fillId="0" borderId="20" xfId="0" quotePrefix="1" applyBorder="1" applyAlignment="1">
      <alignment horizontal="left"/>
    </xf>
    <xf numFmtId="167" fontId="13" fillId="0" borderId="21" xfId="1" applyNumberFormat="1" applyFont="1" applyBorder="1"/>
    <xf numFmtId="167" fontId="13" fillId="0" borderId="1" xfId="1" applyNumberFormat="1" applyFont="1" applyBorder="1"/>
    <xf numFmtId="43" fontId="13" fillId="0" borderId="21" xfId="1" applyNumberFormat="1" applyFont="1" applyBorder="1"/>
    <xf numFmtId="167" fontId="13" fillId="0" borderId="22" xfId="1" applyNumberFormat="1" applyFont="1" applyBorder="1"/>
    <xf numFmtId="0" fontId="0" fillId="0" borderId="20" xfId="0" applyBorder="1" applyAlignment="1">
      <alignment horizontal="left"/>
    </xf>
    <xf numFmtId="0" fontId="0" fillId="0" borderId="20" xfId="0" applyBorder="1"/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10" fontId="22" fillId="0" borderId="23" xfId="0" applyNumberFormat="1" applyFont="1" applyBorder="1" applyProtection="1">
      <protection locked="0"/>
    </xf>
    <xf numFmtId="0" fontId="23" fillId="0" borderId="0" xfId="0" applyFont="1"/>
    <xf numFmtId="0" fontId="21" fillId="0" borderId="0" xfId="0" applyFont="1" applyAlignment="1">
      <alignment horizontal="left"/>
    </xf>
    <xf numFmtId="0" fontId="21" fillId="0" borderId="0" xfId="0" applyFont="1"/>
    <xf numFmtId="0" fontId="0" fillId="0" borderId="24" xfId="0" applyBorder="1" applyAlignment="1">
      <alignment horizontal="left"/>
    </xf>
    <xf numFmtId="0" fontId="0" fillId="0" borderId="25" xfId="0" applyBorder="1"/>
    <xf numFmtId="0" fontId="5" fillId="0" borderId="25" xfId="0" quotePrefix="1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5" fillId="0" borderId="0" xfId="0" applyFont="1" applyAlignment="1">
      <alignment horizontal="left"/>
    </xf>
    <xf numFmtId="0" fontId="27" fillId="3" borderId="0" xfId="0" applyFont="1" applyFill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/>
    <xf numFmtId="37" fontId="0" fillId="0" borderId="0" xfId="0" applyNumberFormat="1" applyProtection="1"/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1" xfId="0" applyBorder="1"/>
    <xf numFmtId="5" fontId="0" fillId="0" borderId="31" xfId="0" applyNumberFormat="1" applyBorder="1" applyProtection="1"/>
    <xf numFmtId="37" fontId="0" fillId="0" borderId="32" xfId="0" applyNumberFormat="1" applyBorder="1" applyProtection="1"/>
    <xf numFmtId="0" fontId="0" fillId="0" borderId="33" xfId="0" applyBorder="1"/>
    <xf numFmtId="5" fontId="0" fillId="0" borderId="0" xfId="0" applyNumberFormat="1" applyProtection="1"/>
    <xf numFmtId="0" fontId="0" fillId="0" borderId="34" xfId="0" applyBorder="1"/>
    <xf numFmtId="0" fontId="19" fillId="4" borderId="0" xfId="0" applyFont="1" applyFill="1" applyAlignment="1">
      <alignment horizontal="left"/>
    </xf>
    <xf numFmtId="0" fontId="19" fillId="4" borderId="0" xfId="0" applyFont="1" applyFill="1"/>
    <xf numFmtId="169" fontId="7" fillId="4" borderId="0" xfId="0" applyNumberFormat="1" applyFont="1" applyFill="1" applyProtection="1"/>
    <xf numFmtId="170" fontId="7" fillId="4" borderId="0" xfId="0" applyNumberFormat="1" applyFont="1" applyFill="1" applyProtection="1"/>
    <xf numFmtId="169" fontId="0" fillId="0" borderId="0" xfId="0" applyNumberFormat="1" applyProtection="1"/>
    <xf numFmtId="0" fontId="0" fillId="0" borderId="35" xfId="0" applyBorder="1" applyAlignment="1">
      <alignment horizontal="left"/>
    </xf>
    <xf numFmtId="0" fontId="0" fillId="0" borderId="35" xfId="0" applyBorder="1"/>
    <xf numFmtId="0" fontId="0" fillId="0" borderId="36" xfId="0" applyBorder="1" applyAlignment="1">
      <alignment horizontal="left"/>
    </xf>
    <xf numFmtId="0" fontId="0" fillId="0" borderId="36" xfId="0" applyBorder="1"/>
    <xf numFmtId="170" fontId="0" fillId="0" borderId="36" xfId="0" applyNumberFormat="1" applyBorder="1" applyProtection="1"/>
    <xf numFmtId="0" fontId="0" fillId="0" borderId="37" xfId="0" applyBorder="1" applyAlignment="1">
      <alignment horizontal="left"/>
    </xf>
    <xf numFmtId="0" fontId="0" fillId="0" borderId="37" xfId="0" applyBorder="1"/>
    <xf numFmtId="169" fontId="0" fillId="0" borderId="37" xfId="0" applyNumberFormat="1" applyBorder="1" applyProtection="1"/>
    <xf numFmtId="170" fontId="0" fillId="0" borderId="0" xfId="0" applyNumberFormat="1" applyProtection="1"/>
    <xf numFmtId="5" fontId="0" fillId="0" borderId="37" xfId="0" applyNumberFormat="1" applyBorder="1" applyProtection="1"/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9" xfId="0" applyBorder="1"/>
    <xf numFmtId="5" fontId="0" fillId="0" borderId="39" xfId="0" applyNumberFormat="1" applyBorder="1" applyProtection="1"/>
    <xf numFmtId="5" fontId="0" fillId="0" borderId="40" xfId="0" applyNumberFormat="1" applyBorder="1" applyProtection="1"/>
    <xf numFmtId="0" fontId="0" fillId="0" borderId="32" xfId="0" applyBorder="1"/>
    <xf numFmtId="167" fontId="30" fillId="0" borderId="0" xfId="1" applyNumberFormat="1" applyFont="1" applyProtection="1"/>
    <xf numFmtId="39" fontId="0" fillId="0" borderId="34" xfId="0" applyNumberFormat="1" applyBorder="1" applyProtection="1"/>
    <xf numFmtId="0" fontId="0" fillId="0" borderId="37" xfId="0" quotePrefix="1" applyBorder="1" applyAlignment="1">
      <alignment horizontal="left"/>
    </xf>
    <xf numFmtId="7" fontId="0" fillId="0" borderId="37" xfId="0" applyNumberFormat="1" applyBorder="1" applyProtection="1"/>
    <xf numFmtId="7" fontId="0" fillId="0" borderId="41" xfId="0" applyNumberFormat="1" applyBorder="1" applyProtection="1"/>
    <xf numFmtId="164" fontId="0" fillId="0" borderId="40" xfId="0" applyNumberFormat="1" applyBorder="1" applyProtection="1"/>
    <xf numFmtId="0" fontId="31" fillId="0" borderId="0" xfId="0" applyFont="1"/>
    <xf numFmtId="0" fontId="21" fillId="0" borderId="3" xfId="0" applyFont="1" applyBorder="1" applyAlignment="1">
      <alignment horizontal="left"/>
    </xf>
    <xf numFmtId="0" fontId="0" fillId="0" borderId="15" xfId="0" applyBorder="1"/>
    <xf numFmtId="0" fontId="21" fillId="0" borderId="16" xfId="0" applyFont="1" applyBorder="1" applyAlignment="1">
      <alignment horizontal="center"/>
    </xf>
    <xf numFmtId="0" fontId="21" fillId="0" borderId="5" xfId="0" applyFont="1" applyBorder="1" applyAlignment="1">
      <alignment horizontal="left"/>
    </xf>
    <xf numFmtId="0" fontId="32" fillId="0" borderId="0" xfId="0" applyFont="1" applyAlignment="1">
      <alignment horizontal="left"/>
    </xf>
    <xf numFmtId="37" fontId="33" fillId="0" borderId="34" xfId="0" applyNumberFormat="1" applyFont="1" applyBorder="1" applyProtection="1"/>
    <xf numFmtId="37" fontId="33" fillId="0" borderId="0" xfId="0" applyNumberFormat="1" applyFont="1" applyProtection="1"/>
    <xf numFmtId="0" fontId="21" fillId="0" borderId="37" xfId="0" applyFont="1" applyBorder="1" applyAlignment="1">
      <alignment horizontal="left"/>
    </xf>
    <xf numFmtId="5" fontId="33" fillId="0" borderId="37" xfId="0" applyNumberFormat="1" applyFont="1" applyBorder="1" applyProtection="1"/>
    <xf numFmtId="0" fontId="11" fillId="0" borderId="0" xfId="0" quotePrefix="1" applyFont="1" applyAlignment="1">
      <alignment horizontal="left"/>
    </xf>
    <xf numFmtId="22" fontId="11" fillId="0" borderId="0" xfId="0" applyNumberFormat="1" applyFont="1"/>
    <xf numFmtId="0" fontId="9" fillId="0" borderId="1" xfId="0" quotePrefix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5" fillId="0" borderId="0" xfId="0" applyFont="1"/>
    <xf numFmtId="167" fontId="36" fillId="3" borderId="0" xfId="1" applyNumberFormat="1" applyFont="1" applyFill="1" applyAlignment="1">
      <alignment horizontal="center"/>
    </xf>
    <xf numFmtId="167" fontId="36" fillId="3" borderId="0" xfId="1" applyNumberFormat="1" applyFont="1" applyFill="1" applyAlignment="1">
      <alignment horizontal="left"/>
    </xf>
    <xf numFmtId="0" fontId="35" fillId="0" borderId="42" xfId="0" applyFont="1" applyBorder="1"/>
    <xf numFmtId="0" fontId="35" fillId="0" borderId="43" xfId="0" applyFont="1" applyBorder="1"/>
    <xf numFmtId="37" fontId="35" fillId="0" borderId="8" xfId="0" applyNumberFormat="1" applyFont="1" applyBorder="1" applyProtection="1"/>
    <xf numFmtId="37" fontId="35" fillId="0" borderId="7" xfId="0" applyNumberFormat="1" applyFont="1" applyBorder="1" applyProtection="1"/>
    <xf numFmtId="0" fontId="35" fillId="0" borderId="13" xfId="0" applyFont="1" applyBorder="1"/>
    <xf numFmtId="37" fontId="0" fillId="0" borderId="0" xfId="0" applyNumberFormat="1"/>
    <xf numFmtId="166" fontId="20" fillId="0" borderId="0" xfId="1" applyNumberFormat="1" applyFont="1" applyAlignment="1">
      <alignment horizontal="center"/>
    </xf>
    <xf numFmtId="37" fontId="0" fillId="0" borderId="34" xfId="0" applyNumberFormat="1" applyBorder="1" applyProtection="1"/>
    <xf numFmtId="167" fontId="4" fillId="0" borderId="0" xfId="1" applyNumberFormat="1" applyFont="1" applyProtection="1"/>
    <xf numFmtId="0" fontId="37" fillId="0" borderId="3" xfId="0" applyFont="1" applyBorder="1" applyAlignment="1">
      <alignment horizontal="center"/>
    </xf>
    <xf numFmtId="165" fontId="37" fillId="0" borderId="15" xfId="0" applyNumberFormat="1" applyFont="1" applyBorder="1" applyAlignment="1" applyProtection="1">
      <alignment horizontal="center"/>
    </xf>
    <xf numFmtId="0" fontId="37" fillId="0" borderId="15" xfId="0" applyFont="1" applyBorder="1" applyAlignment="1">
      <alignment horizontal="center"/>
    </xf>
    <xf numFmtId="165" fontId="37" fillId="0" borderId="16" xfId="0" quotePrefix="1" applyNumberFormat="1" applyFont="1" applyBorder="1" applyAlignment="1" applyProtection="1">
      <alignment horizontal="center"/>
    </xf>
    <xf numFmtId="0" fontId="30" fillId="0" borderId="0" xfId="0" applyFont="1"/>
    <xf numFmtId="0" fontId="23" fillId="0" borderId="5" xfId="0" applyFont="1" applyBorder="1"/>
    <xf numFmtId="0" fontId="23" fillId="0" borderId="8" xfId="0" applyFont="1" applyBorder="1"/>
    <xf numFmtId="0" fontId="37" fillId="0" borderId="8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170" fontId="38" fillId="0" borderId="0" xfId="0" applyNumberFormat="1" applyFont="1" applyProtection="1">
      <protection locked="0"/>
    </xf>
    <xf numFmtId="0" fontId="38" fillId="0" borderId="0" xfId="0" applyFont="1" applyProtection="1">
      <protection locked="0"/>
    </xf>
    <xf numFmtId="171" fontId="39" fillId="0" borderId="0" xfId="0" applyNumberFormat="1" applyFont="1" applyProtection="1"/>
    <xf numFmtId="0" fontId="41" fillId="0" borderId="15" xfId="0" applyFont="1" applyBorder="1"/>
    <xf numFmtId="0" fontId="42" fillId="0" borderId="15" xfId="0" applyFont="1" applyBorder="1" applyAlignment="1">
      <alignment horizontal="left"/>
    </xf>
    <xf numFmtId="0" fontId="0" fillId="0" borderId="16" xfId="0" applyBorder="1"/>
    <xf numFmtId="0" fontId="24" fillId="0" borderId="4" xfId="0" applyFont="1" applyBorder="1"/>
    <xf numFmtId="0" fontId="24" fillId="0" borderId="0" xfId="0" applyFont="1" applyBorder="1"/>
    <xf numFmtId="0" fontId="41" fillId="0" borderId="0" xfId="0" applyFont="1" applyBorder="1"/>
    <xf numFmtId="169" fontId="41" fillId="0" borderId="0" xfId="0" applyNumberFormat="1" applyFont="1" applyBorder="1" applyProtection="1"/>
    <xf numFmtId="0" fontId="42" fillId="0" borderId="0" xfId="0" applyFont="1" applyBorder="1" applyAlignment="1">
      <alignment horizontal="left"/>
    </xf>
    <xf numFmtId="0" fontId="30" fillId="0" borderId="0" xfId="0" applyFont="1" applyBorder="1"/>
    <xf numFmtId="0" fontId="40" fillId="0" borderId="5" xfId="0" applyFont="1" applyBorder="1"/>
    <xf numFmtId="0" fontId="40" fillId="0" borderId="8" xfId="0" quotePrefix="1" applyFont="1" applyBorder="1" applyAlignment="1">
      <alignment horizontal="left"/>
    </xf>
    <xf numFmtId="170" fontId="41" fillId="0" borderId="8" xfId="0" applyNumberFormat="1" applyFont="1" applyBorder="1" applyProtection="1"/>
    <xf numFmtId="169" fontId="41" fillId="0" borderId="8" xfId="0" applyNumberFormat="1" applyFont="1" applyBorder="1" applyProtection="1"/>
    <xf numFmtId="0" fontId="42" fillId="0" borderId="8" xfId="0" applyFont="1" applyBorder="1" applyAlignment="1">
      <alignment horizontal="left"/>
    </xf>
    <xf numFmtId="0" fontId="30" fillId="0" borderId="8" xfId="0" applyFont="1" applyBorder="1"/>
    <xf numFmtId="0" fontId="30" fillId="0" borderId="0" xfId="0" applyFont="1" applyAlignment="1">
      <alignment horizontal="left"/>
    </xf>
    <xf numFmtId="171" fontId="26" fillId="0" borderId="44" xfId="0" applyNumberFormat="1" applyFont="1" applyBorder="1" applyProtection="1"/>
    <xf numFmtId="170" fontId="41" fillId="0" borderId="0" xfId="0" applyNumberFormat="1" applyFont="1" applyProtection="1"/>
    <xf numFmtId="0" fontId="42" fillId="0" borderId="0" xfId="0" applyFont="1" applyAlignment="1">
      <alignment horizontal="left"/>
    </xf>
    <xf numFmtId="169" fontId="41" fillId="0" borderId="0" xfId="0" applyNumberFormat="1" applyFont="1" applyProtection="1"/>
    <xf numFmtId="172" fontId="32" fillId="0" borderId="0" xfId="0" applyNumberFormat="1" applyFont="1" applyProtection="1"/>
    <xf numFmtId="0" fontId="28" fillId="0" borderId="0" xfId="0" applyFont="1"/>
    <xf numFmtId="0" fontId="28" fillId="0" borderId="0" xfId="0" applyFont="1" applyAlignment="1">
      <alignment horizontal="left"/>
    </xf>
    <xf numFmtId="0" fontId="33" fillId="0" borderId="3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172" fontId="33" fillId="0" borderId="15" xfId="0" applyNumberFormat="1" applyFont="1" applyBorder="1" applyAlignment="1" applyProtection="1">
      <alignment horizontal="left"/>
    </xf>
    <xf numFmtId="0" fontId="33" fillId="0" borderId="5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7" xfId="0" applyFont="1" applyBorder="1"/>
    <xf numFmtId="171" fontId="33" fillId="0" borderId="0" xfId="0" applyNumberFormat="1" applyFont="1" applyProtection="1"/>
    <xf numFmtId="0" fontId="43" fillId="0" borderId="0" xfId="0" applyFont="1" applyAlignment="1">
      <alignment horizontal="left"/>
    </xf>
    <xf numFmtId="169" fontId="33" fillId="0" borderId="0" xfId="0" applyNumberFormat="1" applyFont="1" applyProtection="1">
      <protection locked="0"/>
    </xf>
    <xf numFmtId="172" fontId="33" fillId="0" borderId="0" xfId="0" applyNumberFormat="1" applyFont="1" applyAlignment="1" applyProtection="1">
      <alignment horizontal="left"/>
      <protection locked="0"/>
    </xf>
    <xf numFmtId="37" fontId="44" fillId="0" borderId="0" xfId="0" applyNumberFormat="1" applyFont="1" applyProtection="1">
      <protection locked="0"/>
    </xf>
    <xf numFmtId="0" fontId="46" fillId="0" borderId="0" xfId="0" applyFont="1"/>
    <xf numFmtId="0" fontId="47" fillId="0" borderId="45" xfId="0" applyFont="1" applyBorder="1" applyAlignment="1">
      <alignment horizontal="center"/>
    </xf>
    <xf numFmtId="0" fontId="25" fillId="0" borderId="46" xfId="0" applyFont="1" applyBorder="1" applyAlignment="1">
      <alignment horizontal="left"/>
    </xf>
    <xf numFmtId="170" fontId="0" fillId="0" borderId="46" xfId="0" applyNumberFormat="1" applyBorder="1" applyProtection="1"/>
    <xf numFmtId="0" fontId="47" fillId="0" borderId="46" xfId="0" applyFont="1" applyBorder="1" applyAlignment="1">
      <alignment horizontal="center"/>
    </xf>
    <xf numFmtId="0" fontId="45" fillId="0" borderId="46" xfId="0" applyFont="1" applyBorder="1" applyAlignment="1">
      <alignment horizontal="center"/>
    </xf>
    <xf numFmtId="37" fontId="0" fillId="0" borderId="47" xfId="0" applyNumberFormat="1" applyBorder="1" applyProtection="1"/>
    <xf numFmtId="0" fontId="47" fillId="0" borderId="48" xfId="0" applyFont="1" applyBorder="1" applyAlignment="1">
      <alignment horizontal="center"/>
    </xf>
    <xf numFmtId="0" fontId="47" fillId="0" borderId="0" xfId="0" applyFont="1" applyAlignment="1">
      <alignment horizontal="center"/>
    </xf>
    <xf numFmtId="37" fontId="0" fillId="0" borderId="49" xfId="0" applyNumberFormat="1" applyBorder="1" applyProtection="1"/>
    <xf numFmtId="0" fontId="47" fillId="0" borderId="50" xfId="0" applyFont="1" applyBorder="1" applyAlignment="1">
      <alignment horizontal="center"/>
    </xf>
    <xf numFmtId="0" fontId="25" fillId="0" borderId="35" xfId="0" applyFont="1" applyBorder="1" applyAlignment="1">
      <alignment horizontal="left"/>
    </xf>
    <xf numFmtId="170" fontId="0" fillId="0" borderId="35" xfId="0" applyNumberFormat="1" applyBorder="1" applyProtection="1"/>
    <xf numFmtId="0" fontId="47" fillId="0" borderId="35" xfId="0" applyFont="1" applyBorder="1" applyAlignment="1">
      <alignment horizontal="center"/>
    </xf>
    <xf numFmtId="37" fontId="0" fillId="0" borderId="51" xfId="0" applyNumberFormat="1" applyBorder="1" applyProtection="1"/>
    <xf numFmtId="0" fontId="19" fillId="0" borderId="31" xfId="0" applyFont="1" applyBorder="1" applyAlignment="1">
      <alignment horizontal="left"/>
    </xf>
    <xf numFmtId="0" fontId="19" fillId="0" borderId="31" xfId="0" applyFont="1" applyBorder="1"/>
    <xf numFmtId="0" fontId="40" fillId="0" borderId="31" xfId="0" applyFont="1" applyBorder="1" applyAlignment="1">
      <alignment horizontal="left"/>
    </xf>
    <xf numFmtId="0" fontId="4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69" fontId="40" fillId="0" borderId="0" xfId="0" applyNumberFormat="1" applyFont="1" applyProtection="1"/>
    <xf numFmtId="169" fontId="33" fillId="0" borderId="0" xfId="0" applyNumberFormat="1" applyFont="1" applyProtection="1"/>
    <xf numFmtId="39" fontId="33" fillId="0" borderId="0" xfId="0" applyNumberFormat="1" applyFont="1" applyProtection="1"/>
    <xf numFmtId="170" fontId="33" fillId="0" borderId="0" xfId="0" applyNumberFormat="1" applyFont="1" applyProtection="1">
      <protection locked="0"/>
    </xf>
    <xf numFmtId="0" fontId="0" fillId="0" borderId="13" xfId="0" applyBorder="1"/>
    <xf numFmtId="170" fontId="0" fillId="0" borderId="13" xfId="0" applyNumberFormat="1" applyBorder="1" applyProtection="1"/>
    <xf numFmtId="0" fontId="0" fillId="0" borderId="13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6" xfId="0" applyBorder="1"/>
    <xf numFmtId="0" fontId="0" fillId="0" borderId="52" xfId="0" applyBorder="1" applyAlignment="1">
      <alignment horizontal="left"/>
    </xf>
    <xf numFmtId="0" fontId="0" fillId="0" borderId="53" xfId="0" applyBorder="1"/>
    <xf numFmtId="0" fontId="37" fillId="0" borderId="30" xfId="0" applyFont="1" applyBorder="1" applyAlignment="1">
      <alignment horizontal="left"/>
    </xf>
    <xf numFmtId="0" fontId="37" fillId="0" borderId="31" xfId="0" applyFont="1" applyBorder="1"/>
    <xf numFmtId="0" fontId="37" fillId="0" borderId="54" xfId="0" applyFont="1" applyBorder="1" applyAlignment="1">
      <alignment horizontal="center"/>
    </xf>
    <xf numFmtId="0" fontId="37" fillId="0" borderId="54" xfId="0" applyFont="1" applyBorder="1"/>
    <xf numFmtId="0" fontId="37" fillId="0" borderId="55" xfId="0" applyFont="1" applyBorder="1"/>
    <xf numFmtId="0" fontId="37" fillId="0" borderId="35" xfId="0" applyFont="1" applyBorder="1"/>
    <xf numFmtId="0" fontId="37" fillId="0" borderId="56" xfId="0" applyFont="1" applyBorder="1" applyAlignment="1">
      <alignment horizontal="center"/>
    </xf>
    <xf numFmtId="0" fontId="37" fillId="0" borderId="56" xfId="0" applyFont="1" applyBorder="1"/>
    <xf numFmtId="0" fontId="37" fillId="0" borderId="56" xfId="0" applyFont="1" applyBorder="1" applyAlignment="1">
      <alignment horizontal="right"/>
    </xf>
    <xf numFmtId="37" fontId="0" fillId="0" borderId="44" xfId="0" applyNumberFormat="1" applyBorder="1" applyProtection="1"/>
    <xf numFmtId="0" fontId="0" fillId="5" borderId="44" xfId="0" applyFill="1" applyBorder="1"/>
    <xf numFmtId="0" fontId="0" fillId="0" borderId="44" xfId="0" applyBorder="1"/>
    <xf numFmtId="0" fontId="0" fillId="2" borderId="38" xfId="0" applyFill="1" applyBorder="1"/>
    <xf numFmtId="0" fontId="0" fillId="2" borderId="39" xfId="0" applyFill="1" applyBorder="1"/>
    <xf numFmtId="0" fontId="0" fillId="2" borderId="0" xfId="0" applyFill="1"/>
    <xf numFmtId="0" fontId="0" fillId="0" borderId="38" xfId="0" applyBorder="1"/>
    <xf numFmtId="0" fontId="1" fillId="0" borderId="0" xfId="0" applyFont="1" applyAlignment="1">
      <alignment horizontal="right"/>
    </xf>
    <xf numFmtId="37" fontId="39" fillId="0" borderId="0" xfId="0" applyNumberFormat="1" applyFont="1"/>
    <xf numFmtId="0" fontId="24" fillId="0" borderId="0" xfId="0" quotePrefix="1" applyFont="1" applyAlignment="1">
      <alignment horizontal="left"/>
    </xf>
    <xf numFmtId="37" fontId="41" fillId="0" borderId="15" xfId="0" applyNumberFormat="1" applyFont="1" applyBorder="1"/>
    <xf numFmtId="167" fontId="41" fillId="0" borderId="8" xfId="1" applyNumberFormat="1" applyFont="1" applyBorder="1"/>
    <xf numFmtId="0" fontId="30" fillId="0" borderId="0" xfId="0" quotePrefix="1" applyFont="1" applyAlignment="1">
      <alignment horizontal="left"/>
    </xf>
    <xf numFmtId="171" fontId="49" fillId="0" borderId="0" xfId="0" applyNumberFormat="1" applyFont="1" applyAlignment="1" applyProtection="1">
      <alignment horizontal="left"/>
    </xf>
    <xf numFmtId="167" fontId="0" fillId="0" borderId="0" xfId="1" applyNumberFormat="1" applyFont="1"/>
    <xf numFmtId="0" fontId="1" fillId="2" borderId="0" xfId="0" applyFont="1" applyFill="1" applyAlignment="1">
      <alignment horizontal="center"/>
    </xf>
    <xf numFmtId="0" fontId="21" fillId="0" borderId="0" xfId="0" applyFont="1" applyBorder="1" applyAlignment="1">
      <alignment horizontal="left"/>
    </xf>
    <xf numFmtId="5" fontId="33" fillId="0" borderId="0" xfId="0" applyNumberFormat="1" applyFont="1" applyBorder="1" applyProtection="1"/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3" fillId="0" borderId="0" xfId="0" quotePrefix="1" applyFont="1" applyAlignment="1">
      <alignment horizontal="left"/>
    </xf>
    <xf numFmtId="173" fontId="33" fillId="0" borderId="0" xfId="0" applyNumberFormat="1" applyFont="1" applyProtection="1"/>
    <xf numFmtId="0" fontId="30" fillId="0" borderId="13" xfId="0" applyFont="1" applyBorder="1"/>
    <xf numFmtId="0" fontId="30" fillId="0" borderId="57" xfId="0" applyFont="1" applyBorder="1"/>
    <xf numFmtId="170" fontId="13" fillId="0" borderId="8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5" fontId="16" fillId="0" borderId="57" xfId="0" applyNumberFormat="1" applyFont="1" applyBorder="1" applyProtection="1"/>
    <xf numFmtId="5" fontId="16" fillId="0" borderId="58" xfId="0" applyNumberFormat="1" applyFont="1" applyBorder="1" applyProtection="1"/>
    <xf numFmtId="37" fontId="16" fillId="0" borderId="59" xfId="0" applyNumberFormat="1" applyFont="1" applyBorder="1" applyProtection="1"/>
    <xf numFmtId="43" fontId="11" fillId="0" borderId="0" xfId="1" applyFont="1"/>
    <xf numFmtId="167" fontId="11" fillId="0" borderId="0" xfId="1" applyNumberFormat="1" applyFont="1"/>
    <xf numFmtId="43" fontId="16" fillId="0" borderId="0" xfId="1" applyNumberFormat="1" applyFont="1"/>
    <xf numFmtId="43" fontId="0" fillId="0" borderId="31" xfId="1" applyFont="1" applyBorder="1" applyProtection="1"/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1" xfId="0" applyBorder="1"/>
    <xf numFmtId="5" fontId="0" fillId="0" borderId="61" xfId="0" applyNumberFormat="1" applyBorder="1" applyProtection="1"/>
    <xf numFmtId="5" fontId="0" fillId="0" borderId="62" xfId="0" applyNumberFormat="1" applyBorder="1" applyProtection="1"/>
    <xf numFmtId="0" fontId="0" fillId="0" borderId="63" xfId="0" applyBorder="1"/>
    <xf numFmtId="0" fontId="0" fillId="0" borderId="0" xfId="0" applyBorder="1" applyAlignment="1">
      <alignment horizontal="left"/>
    </xf>
    <xf numFmtId="5" fontId="0" fillId="0" borderId="0" xfId="0" applyNumberFormat="1" applyBorder="1" applyProtection="1"/>
    <xf numFmtId="5" fontId="0" fillId="0" borderId="64" xfId="0" applyNumberFormat="1" applyBorder="1" applyProtection="1"/>
    <xf numFmtId="170" fontId="0" fillId="0" borderId="0" xfId="0" applyNumberFormat="1" applyBorder="1" applyProtection="1"/>
    <xf numFmtId="169" fontId="0" fillId="0" borderId="0" xfId="0" applyNumberFormat="1" applyBorder="1" applyProtection="1"/>
    <xf numFmtId="169" fontId="0" fillId="0" borderId="64" xfId="0" applyNumberFormat="1" applyBorder="1" applyProtection="1"/>
    <xf numFmtId="0" fontId="0" fillId="0" borderId="63" xfId="0" applyBorder="1" applyAlignment="1">
      <alignment horizontal="left"/>
    </xf>
    <xf numFmtId="0" fontId="0" fillId="0" borderId="65" xfId="0" applyBorder="1"/>
    <xf numFmtId="0" fontId="0" fillId="0" borderId="1" xfId="0" quotePrefix="1" applyBorder="1" applyAlignment="1">
      <alignment horizontal="left"/>
    </xf>
    <xf numFmtId="169" fontId="0" fillId="0" borderId="1" xfId="0" applyNumberFormat="1" applyBorder="1" applyProtection="1"/>
    <xf numFmtId="169" fontId="0" fillId="0" borderId="66" xfId="0" applyNumberFormat="1" applyBorder="1" applyProtection="1"/>
    <xf numFmtId="5" fontId="50" fillId="0" borderId="0" xfId="0" applyNumberFormat="1" applyFont="1" applyProtection="1"/>
    <xf numFmtId="0" fontId="0" fillId="0" borderId="67" xfId="0" applyBorder="1"/>
    <xf numFmtId="0" fontId="0" fillId="0" borderId="42" xfId="0" applyBorder="1"/>
    <xf numFmtId="0" fontId="0" fillId="0" borderId="43" xfId="0" applyBorder="1"/>
    <xf numFmtId="0" fontId="0" fillId="0" borderId="68" xfId="0" applyBorder="1"/>
    <xf numFmtId="0" fontId="0" fillId="0" borderId="15" xfId="0" quotePrefix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167" fontId="0" fillId="0" borderId="1" xfId="1" applyNumberFormat="1" applyFont="1" applyBorder="1"/>
    <xf numFmtId="167" fontId="0" fillId="0" borderId="13" xfId="1" applyNumberFormat="1" applyFont="1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22" xfId="1" applyNumberFormat="1" applyFont="1" applyBorder="1"/>
    <xf numFmtId="167" fontId="0" fillId="0" borderId="14" xfId="1" applyNumberFormat="1" applyFont="1" applyBorder="1"/>
    <xf numFmtId="167" fontId="0" fillId="0" borderId="0" xfId="1" applyNumberFormat="1" applyFont="1" applyBorder="1"/>
    <xf numFmtId="167" fontId="0" fillId="0" borderId="42" xfId="1" applyNumberFormat="1" applyFont="1" applyBorder="1"/>
    <xf numFmtId="164" fontId="0" fillId="0" borderId="0" xfId="0" applyNumberFormat="1"/>
    <xf numFmtId="0" fontId="21" fillId="0" borderId="13" xfId="0" quotePrefix="1" applyFont="1" applyBorder="1" applyAlignment="1">
      <alignment horizontal="left"/>
    </xf>
    <xf numFmtId="37" fontId="33" fillId="0" borderId="13" xfId="0" applyNumberFormat="1" applyFont="1" applyBorder="1" applyProtection="1"/>
    <xf numFmtId="37" fontId="33" fillId="0" borderId="57" xfId="0" applyNumberFormat="1" applyFont="1" applyBorder="1" applyProtection="1"/>
    <xf numFmtId="0" fontId="21" fillId="0" borderId="8" xfId="0" applyFont="1" applyBorder="1" applyAlignment="1">
      <alignment horizontal="left"/>
    </xf>
    <xf numFmtId="5" fontId="50" fillId="0" borderId="8" xfId="0" applyNumberFormat="1" applyFont="1" applyBorder="1" applyProtection="1"/>
    <xf numFmtId="164" fontId="0" fillId="0" borderId="39" xfId="2" applyNumberFormat="1" applyFont="1" applyBorder="1"/>
    <xf numFmtId="0" fontId="40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33" fillId="0" borderId="0" xfId="0" quotePrefix="1" applyFont="1" applyAlignment="1">
      <alignment horizontal="center"/>
    </xf>
    <xf numFmtId="170" fontId="0" fillId="0" borderId="1" xfId="0" applyNumberFormat="1" applyBorder="1"/>
    <xf numFmtId="170" fontId="0" fillId="0" borderId="0" xfId="0" applyNumberFormat="1" applyBorder="1"/>
    <xf numFmtId="170" fontId="0" fillId="0" borderId="42" xfId="0" applyNumberFormat="1" applyBorder="1"/>
    <xf numFmtId="170" fontId="0" fillId="0" borderId="8" xfId="1" applyNumberFormat="1" applyFont="1" applyBorder="1"/>
    <xf numFmtId="171" fontId="49" fillId="0" borderId="0" xfId="0" quotePrefix="1" applyNumberFormat="1" applyFont="1" applyAlignment="1" applyProtection="1">
      <alignment horizontal="left"/>
    </xf>
    <xf numFmtId="171" fontId="33" fillId="0" borderId="0" xfId="0" applyNumberFormat="1" applyFont="1" applyProtection="1">
      <protection locked="0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0" fontId="34" fillId="0" borderId="0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center"/>
    </xf>
    <xf numFmtId="0" fontId="0" fillId="0" borderId="16" xfId="0" quotePrefix="1" applyBorder="1" applyAlignment="1">
      <alignment horizontal="left"/>
    </xf>
    <xf numFmtId="0" fontId="0" fillId="0" borderId="4" xfId="0" quotePrefix="1" applyBorder="1" applyAlignment="1">
      <alignment horizontal="center"/>
    </xf>
    <xf numFmtId="0" fontId="9" fillId="0" borderId="8" xfId="0" applyFont="1" applyBorder="1" applyAlignment="1">
      <alignment horizontal="left"/>
    </xf>
    <xf numFmtId="167" fontId="0" fillId="0" borderId="6" xfId="1" applyNumberFormat="1" applyFont="1" applyBorder="1" applyAlignment="1">
      <alignment horizontal="center"/>
    </xf>
    <xf numFmtId="167" fontId="0" fillId="0" borderId="7" xfId="1" applyNumberFormat="1" applyFont="1" applyBorder="1" applyAlignment="1">
      <alignment horizontal="center"/>
    </xf>
    <xf numFmtId="0" fontId="40" fillId="0" borderId="44" xfId="0" quotePrefix="1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1" fillId="0" borderId="0" xfId="0" quotePrefix="1" applyFont="1" applyBorder="1" applyAlignment="1">
      <alignment horizontal="left"/>
    </xf>
    <xf numFmtId="0" fontId="24" fillId="0" borderId="0" xfId="0" applyFont="1" applyAlignment="1">
      <alignment horizontal="left"/>
    </xf>
    <xf numFmtId="165" fontId="37" fillId="0" borderId="15" xfId="0" quotePrefix="1" applyNumberFormat="1" applyFont="1" applyBorder="1" applyAlignment="1" applyProtection="1">
      <alignment horizontal="center"/>
    </xf>
    <xf numFmtId="0" fontId="21" fillId="0" borderId="0" xfId="0" quotePrefix="1" applyFont="1" applyAlignment="1">
      <alignment horizontal="left"/>
    </xf>
    <xf numFmtId="170" fontId="0" fillId="0" borderId="69" xfId="0" applyNumberFormat="1" applyBorder="1" applyProtection="1"/>
    <xf numFmtId="169" fontId="0" fillId="0" borderId="70" xfId="0" applyNumberFormat="1" applyBorder="1" applyProtection="1"/>
    <xf numFmtId="43" fontId="0" fillId="0" borderId="71" xfId="1" applyFont="1" applyBorder="1" applyProtection="1"/>
    <xf numFmtId="5" fontId="0" fillId="0" borderId="66" xfId="0" applyNumberFormat="1" applyBorder="1" applyProtection="1"/>
    <xf numFmtId="170" fontId="1" fillId="0" borderId="34" xfId="0" applyNumberFormat="1" applyFont="1" applyBorder="1" applyProtection="1"/>
    <xf numFmtId="170" fontId="0" fillId="0" borderId="34" xfId="0" applyNumberFormat="1" applyBorder="1" applyProtection="1"/>
    <xf numFmtId="0" fontId="25" fillId="0" borderId="72" xfId="0" quotePrefix="1" applyFont="1" applyBorder="1" applyAlignment="1">
      <alignment horizontal="left"/>
    </xf>
    <xf numFmtId="0" fontId="25" fillId="0" borderId="72" xfId="0" applyFont="1" applyBorder="1"/>
    <xf numFmtId="0" fontId="29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5" fontId="50" fillId="0" borderId="0" xfId="0" applyNumberFormat="1" applyFont="1" applyBorder="1" applyProtection="1"/>
    <xf numFmtId="171" fontId="0" fillId="0" borderId="0" xfId="0" applyNumberFormat="1"/>
    <xf numFmtId="167" fontId="0" fillId="0" borderId="0" xfId="0" applyNumberFormat="1"/>
    <xf numFmtId="0" fontId="4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37" fontId="0" fillId="0" borderId="0" xfId="0" applyNumberFormat="1" applyBorder="1" applyProtection="1"/>
    <xf numFmtId="0" fontId="47" fillId="0" borderId="0" xfId="0" quotePrefix="1" applyFont="1" applyBorder="1" applyAlignment="1">
      <alignment horizontal="center"/>
    </xf>
    <xf numFmtId="0" fontId="25" fillId="0" borderId="45" xfId="0" applyFont="1" applyBorder="1" applyAlignment="1">
      <alignment horizontal="left"/>
    </xf>
    <xf numFmtId="0" fontId="25" fillId="0" borderId="48" xfId="0" applyFont="1" applyBorder="1" applyAlignment="1">
      <alignment horizontal="left"/>
    </xf>
    <xf numFmtId="0" fontId="25" fillId="0" borderId="50" xfId="0" applyFont="1" applyBorder="1" applyAlignment="1">
      <alignment horizontal="left"/>
    </xf>
    <xf numFmtId="167" fontId="0" fillId="0" borderId="0" xfId="0" applyNumberFormat="1" applyBorder="1"/>
    <xf numFmtId="172" fontId="19" fillId="0" borderId="74" xfId="0" applyNumberFormat="1" applyFont="1" applyBorder="1" applyProtection="1"/>
    <xf numFmtId="0" fontId="40" fillId="0" borderId="74" xfId="0" applyFont="1" applyBorder="1" applyAlignment="1">
      <alignment horizontal="left"/>
    </xf>
    <xf numFmtId="0" fontId="0" fillId="0" borderId="75" xfId="0" applyBorder="1"/>
    <xf numFmtId="169" fontId="40" fillId="0" borderId="63" xfId="0" applyNumberFormat="1" applyFont="1" applyBorder="1" applyAlignment="1" applyProtection="1">
      <alignment horizontal="left"/>
    </xf>
    <xf numFmtId="0" fontId="0" fillId="0" borderId="76" xfId="0" applyBorder="1"/>
    <xf numFmtId="172" fontId="0" fillId="0" borderId="77" xfId="0" applyNumberFormat="1" applyBorder="1" applyAlignment="1" applyProtection="1">
      <alignment horizontal="left"/>
    </xf>
    <xf numFmtId="0" fontId="0" fillId="0" borderId="78" xfId="0" applyBorder="1"/>
    <xf numFmtId="172" fontId="0" fillId="0" borderId="77" xfId="0" quotePrefix="1" applyNumberFormat="1" applyBorder="1" applyAlignment="1" applyProtection="1">
      <alignment horizontal="left"/>
    </xf>
    <xf numFmtId="0" fontId="0" fillId="0" borderId="79" xfId="0" applyBorder="1"/>
    <xf numFmtId="0" fontId="0" fillId="2" borderId="80" xfId="0" applyFill="1" applyBorder="1" applyAlignment="1">
      <alignment horizontal="center"/>
    </xf>
    <xf numFmtId="0" fontId="5" fillId="0" borderId="0" xfId="0" applyFont="1"/>
    <xf numFmtId="0" fontId="13" fillId="0" borderId="0" xfId="0" applyFont="1"/>
    <xf numFmtId="0" fontId="51" fillId="0" borderId="0" xfId="0" applyFont="1"/>
    <xf numFmtId="169" fontId="40" fillId="0" borderId="76" xfId="0" applyNumberFormat="1" applyFont="1" applyBorder="1" applyAlignment="1" applyProtection="1">
      <alignment horizontal="left"/>
    </xf>
    <xf numFmtId="2" fontId="0" fillId="0" borderId="13" xfId="0" applyNumberFormat="1" applyBorder="1" applyAlignment="1">
      <alignment horizontal="center"/>
    </xf>
    <xf numFmtId="169" fontId="33" fillId="0" borderId="13" xfId="0" applyNumberFormat="1" applyFont="1" applyBorder="1" applyProtection="1"/>
    <xf numFmtId="170" fontId="33" fillId="0" borderId="13" xfId="0" applyNumberFormat="1" applyFont="1" applyBorder="1" applyProtection="1">
      <protection locked="0"/>
    </xf>
    <xf numFmtId="0" fontId="29" fillId="0" borderId="72" xfId="0" applyFont="1" applyBorder="1" applyAlignment="1">
      <alignment horizontal="left"/>
    </xf>
    <xf numFmtId="0" fontId="24" fillId="0" borderId="13" xfId="0" applyFont="1" applyBorder="1"/>
    <xf numFmtId="170" fontId="52" fillId="0" borderId="13" xfId="0" applyNumberFormat="1" applyFont="1" applyBorder="1" applyProtection="1"/>
    <xf numFmtId="170" fontId="52" fillId="0" borderId="35" xfId="0" applyNumberFormat="1" applyFont="1" applyBorder="1" applyProtection="1"/>
    <xf numFmtId="0" fontId="52" fillId="0" borderId="13" xfId="0" applyFont="1" applyBorder="1"/>
    <xf numFmtId="169" fontId="40" fillId="0" borderId="13" xfId="0" applyNumberFormat="1" applyFont="1" applyBorder="1" applyProtection="1"/>
    <xf numFmtId="0" fontId="0" fillId="0" borderId="81" xfId="0" applyBorder="1"/>
    <xf numFmtId="0" fontId="0" fillId="0" borderId="81" xfId="0" applyBorder="1" applyAlignment="1">
      <alignment horizontal="left"/>
    </xf>
    <xf numFmtId="0" fontId="52" fillId="0" borderId="81" xfId="0" applyFont="1" applyBorder="1"/>
    <xf numFmtId="169" fontId="24" fillId="0" borderId="13" xfId="0" applyNumberFormat="1" applyFont="1" applyBorder="1"/>
    <xf numFmtId="0" fontId="43" fillId="0" borderId="8" xfId="0" applyFont="1" applyBorder="1" applyAlignment="1">
      <alignment horizontal="left"/>
    </xf>
    <xf numFmtId="167" fontId="46" fillId="0" borderId="8" xfId="1" applyNumberFormat="1" applyFont="1" applyBorder="1"/>
    <xf numFmtId="175" fontId="13" fillId="0" borderId="8" xfId="2" applyNumberFormat="1" applyFont="1" applyBorder="1"/>
    <xf numFmtId="7" fontId="0" fillId="0" borderId="8" xfId="2" applyNumberFormat="1" applyFont="1" applyBorder="1" applyAlignment="1">
      <alignment horizontal="center"/>
    </xf>
    <xf numFmtId="175" fontId="0" fillId="0" borderId="0" xfId="2" applyNumberFormat="1" applyFont="1"/>
    <xf numFmtId="175" fontId="0" fillId="0" borderId="0" xfId="1" applyNumberFormat="1" applyFont="1"/>
    <xf numFmtId="175" fontId="0" fillId="0" borderId="0" xfId="0" applyNumberFormat="1"/>
    <xf numFmtId="0" fontId="0" fillId="0" borderId="0" xfId="0" quotePrefix="1"/>
    <xf numFmtId="173" fontId="33" fillId="0" borderId="0" xfId="0" applyNumberFormat="1" applyFont="1" applyAlignment="1" applyProtection="1">
      <alignment horizontal="center"/>
    </xf>
    <xf numFmtId="173" fontId="44" fillId="0" borderId="0" xfId="0" applyNumberFormat="1" applyFont="1" applyAlignment="1" applyProtection="1">
      <alignment horizontal="center"/>
      <protection locked="0"/>
    </xf>
    <xf numFmtId="171" fontId="33" fillId="0" borderId="0" xfId="0" applyNumberFormat="1" applyFont="1" applyAlignment="1" applyProtection="1">
      <alignment horizontal="center"/>
    </xf>
    <xf numFmtId="170" fontId="0" fillId="0" borderId="42" xfId="0" applyNumberFormat="1" applyBorder="1" applyProtection="1"/>
    <xf numFmtId="0" fontId="47" fillId="0" borderId="42" xfId="0" applyFont="1" applyBorder="1" applyAlignment="1">
      <alignment horizontal="center"/>
    </xf>
    <xf numFmtId="37" fontId="0" fillId="0" borderId="82" xfId="0" applyNumberFormat="1" applyBorder="1" applyProtection="1"/>
    <xf numFmtId="0" fontId="25" fillId="0" borderId="42" xfId="0" applyFont="1" applyBorder="1" applyAlignment="1">
      <alignment horizontal="left"/>
    </xf>
    <xf numFmtId="167" fontId="0" fillId="0" borderId="0" xfId="1" applyNumberFormat="1" applyFont="1" applyFill="1" applyBorder="1" applyAlignment="1"/>
    <xf numFmtId="175" fontId="0" fillId="0" borderId="83" xfId="2" applyNumberFormat="1" applyFont="1" applyBorder="1" applyAlignment="1">
      <alignment horizontal="center"/>
    </xf>
    <xf numFmtId="43" fontId="30" fillId="0" borderId="0" xfId="1" applyFont="1"/>
    <xf numFmtId="170" fontId="30" fillId="0" borderId="0" xfId="0" applyNumberFormat="1" applyFont="1" applyAlignment="1">
      <alignment horizontal="center"/>
    </xf>
    <xf numFmtId="0" fontId="33" fillId="0" borderId="7" xfId="0" applyFont="1" applyBorder="1" applyAlignment="1">
      <alignment horizontal="center"/>
    </xf>
    <xf numFmtId="0" fontId="53" fillId="0" borderId="0" xfId="0" quotePrefix="1" applyFont="1" applyBorder="1" applyAlignment="1">
      <alignment horizontal="left"/>
    </xf>
    <xf numFmtId="0" fontId="53" fillId="0" borderId="0" xfId="0" applyFont="1" applyAlignment="1">
      <alignment horizontal="left"/>
    </xf>
    <xf numFmtId="0" fontId="42" fillId="0" borderId="16" xfId="0" applyFont="1" applyBorder="1" applyAlignment="1">
      <alignment horizontal="center"/>
    </xf>
    <xf numFmtId="0" fontId="40" fillId="0" borderId="3" xfId="0" quotePrefix="1" applyFont="1" applyBorder="1" applyAlignment="1">
      <alignment horizontal="left"/>
    </xf>
    <xf numFmtId="7" fontId="13" fillId="0" borderId="21" xfId="1" applyNumberFormat="1" applyFont="1" applyBorder="1"/>
    <xf numFmtId="0" fontId="40" fillId="0" borderId="4" xfId="0" quotePrefix="1" applyFont="1" applyBorder="1" applyAlignment="1">
      <alignment horizontal="left"/>
    </xf>
    <xf numFmtId="37" fontId="41" fillId="0" borderId="0" xfId="0" applyNumberFormat="1" applyFont="1" applyBorder="1"/>
    <xf numFmtId="168" fontId="0" fillId="0" borderId="0" xfId="0" applyNumberFormat="1"/>
    <xf numFmtId="0" fontId="53" fillId="0" borderId="4" xfId="0" quotePrefix="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70" fontId="38" fillId="0" borderId="0" xfId="0" applyNumberFormat="1" applyFont="1" applyBorder="1" applyProtection="1">
      <protection locked="0"/>
    </xf>
    <xf numFmtId="168" fontId="0" fillId="0" borderId="0" xfId="0" applyNumberFormat="1" applyBorder="1"/>
    <xf numFmtId="37" fontId="39" fillId="0" borderId="0" xfId="0" applyNumberFormat="1" applyFont="1" applyBorder="1"/>
    <xf numFmtId="0" fontId="38" fillId="0" borderId="0" xfId="0" applyFont="1" applyBorder="1" applyProtection="1">
      <protection locked="0"/>
    </xf>
    <xf numFmtId="171" fontId="39" fillId="0" borderId="6" xfId="0" applyNumberFormat="1" applyFont="1" applyBorder="1" applyProtection="1"/>
    <xf numFmtId="43" fontId="30" fillId="0" borderId="8" xfId="1" applyFont="1" applyBorder="1"/>
    <xf numFmtId="0" fontId="0" fillId="0" borderId="14" xfId="0" applyBorder="1"/>
    <xf numFmtId="170" fontId="30" fillId="0" borderId="42" xfId="0" applyNumberFormat="1" applyFont="1" applyBorder="1" applyAlignment="1">
      <alignment horizontal="center"/>
    </xf>
    <xf numFmtId="43" fontId="30" fillId="0" borderId="42" xfId="1" applyFont="1" applyBorder="1"/>
    <xf numFmtId="0" fontId="30" fillId="0" borderId="42" xfId="0" applyFont="1" applyBorder="1"/>
    <xf numFmtId="170" fontId="13" fillId="0" borderId="8" xfId="0" applyNumberFormat="1" applyFont="1" applyBorder="1" applyAlignment="1">
      <alignment horizontal="right"/>
    </xf>
    <xf numFmtId="43" fontId="30" fillId="0" borderId="0" xfId="1" applyFont="1" applyBorder="1"/>
    <xf numFmtId="176" fontId="3" fillId="0" borderId="0" xfId="0" applyNumberFormat="1" applyFont="1" applyBorder="1" applyAlignment="1">
      <alignment horizontal="center"/>
    </xf>
    <xf numFmtId="0" fontId="40" fillId="0" borderId="4" xfId="0" applyFont="1" applyBorder="1" applyAlignment="1">
      <alignment horizontal="left"/>
    </xf>
    <xf numFmtId="170" fontId="41" fillId="0" borderId="15" xfId="0" applyNumberFormat="1" applyFont="1" applyBorder="1" applyAlignment="1" applyProtection="1">
      <alignment horizontal="right"/>
    </xf>
    <xf numFmtId="176" fontId="3" fillId="0" borderId="0" xfId="0" applyNumberFormat="1" applyFont="1" applyBorder="1" applyAlignment="1">
      <alignment horizontal="right"/>
    </xf>
    <xf numFmtId="170" fontId="41" fillId="0" borderId="0" xfId="0" applyNumberFormat="1" applyFont="1" applyBorder="1" applyAlignment="1" applyProtection="1">
      <alignment horizontal="right"/>
    </xf>
    <xf numFmtId="170" fontId="41" fillId="0" borderId="13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 horizontal="right"/>
    </xf>
    <xf numFmtId="168" fontId="3" fillId="0" borderId="8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170" fontId="30" fillId="0" borderId="0" xfId="0" applyNumberFormat="1" applyFont="1" applyBorder="1" applyAlignment="1">
      <alignment horizontal="center"/>
    </xf>
    <xf numFmtId="170" fontId="30" fillId="0" borderId="15" xfId="0" applyNumberFormat="1" applyFont="1" applyBorder="1" applyAlignment="1" applyProtection="1">
      <alignment horizontal="center"/>
    </xf>
    <xf numFmtId="170" fontId="30" fillId="0" borderId="0" xfId="0" applyNumberFormat="1" applyFont="1" applyBorder="1" applyAlignment="1" applyProtection="1">
      <alignment horizontal="center"/>
    </xf>
    <xf numFmtId="170" fontId="30" fillId="0" borderId="13" xfId="0" applyNumberFormat="1" applyFont="1" applyBorder="1" applyAlignment="1" applyProtection="1">
      <alignment horizontal="center"/>
    </xf>
    <xf numFmtId="43" fontId="30" fillId="0" borderId="13" xfId="1" applyFont="1" applyBorder="1"/>
    <xf numFmtId="170" fontId="3" fillId="0" borderId="15" xfId="0" applyNumberFormat="1" applyFont="1" applyBorder="1" applyAlignment="1" applyProtection="1">
      <alignment horizontal="right"/>
    </xf>
    <xf numFmtId="170" fontId="3" fillId="0" borderId="0" xfId="0" applyNumberFormat="1" applyFont="1" applyBorder="1" applyAlignment="1" applyProtection="1">
      <alignment horizontal="right"/>
    </xf>
    <xf numFmtId="170" fontId="3" fillId="0" borderId="13" xfId="0" applyNumberFormat="1" applyFont="1" applyBorder="1" applyAlignment="1" applyProtection="1">
      <alignment horizontal="right"/>
    </xf>
    <xf numFmtId="0" fontId="0" fillId="0" borderId="84" xfId="0" applyBorder="1" applyAlignment="1">
      <alignment horizontal="left"/>
    </xf>
    <xf numFmtId="175" fontId="13" fillId="0" borderId="0" xfId="2" applyNumberFormat="1" applyFont="1"/>
    <xf numFmtId="0" fontId="17" fillId="0" borderId="0" xfId="0" applyFont="1" applyAlignment="1">
      <alignment horizontal="right"/>
    </xf>
    <xf numFmtId="167" fontId="35" fillId="0" borderId="0" xfId="0" applyNumberFormat="1" applyFont="1"/>
    <xf numFmtId="0" fontId="23" fillId="0" borderId="8" xfId="0" applyFont="1" applyBorder="1" applyAlignment="1">
      <alignment horizontal="center"/>
    </xf>
    <xf numFmtId="0" fontId="54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175" fontId="22" fillId="0" borderId="23" xfId="0" applyNumberFormat="1" applyFont="1" applyBorder="1" applyProtection="1">
      <protection locked="0"/>
    </xf>
    <xf numFmtId="0" fontId="55" fillId="0" borderId="0" xfId="0" applyFont="1" applyAlignment="1">
      <alignment horizontal="left"/>
    </xf>
    <xf numFmtId="0" fontId="55" fillId="0" borderId="0" xfId="0" applyFont="1"/>
    <xf numFmtId="0" fontId="52" fillId="0" borderId="0" xfId="0" applyFont="1" applyBorder="1"/>
    <xf numFmtId="168" fontId="30" fillId="0" borderId="0" xfId="0" applyNumberFormat="1" applyFont="1"/>
    <xf numFmtId="177" fontId="11" fillId="0" borderId="0" xfId="0" applyNumberFormat="1" applyFont="1"/>
    <xf numFmtId="177" fontId="0" fillId="0" borderId="0" xfId="0" applyNumberFormat="1"/>
    <xf numFmtId="3" fontId="0" fillId="0" borderId="0" xfId="0" applyNumberFormat="1"/>
    <xf numFmtId="0" fontId="0" fillId="0" borderId="1" xfId="0" applyBorder="1" applyAlignment="1">
      <alignment horizontal="left"/>
    </xf>
    <xf numFmtId="0" fontId="21" fillId="0" borderId="23" xfId="0" applyFont="1" applyBorder="1" applyAlignment="1" applyProtection="1">
      <alignment horizontal="center"/>
      <protection locked="0"/>
    </xf>
    <xf numFmtId="0" fontId="20" fillId="0" borderId="0" xfId="0" applyFont="1"/>
    <xf numFmtId="2" fontId="0" fillId="0" borderId="1" xfId="0" applyNumberFormat="1" applyBorder="1" applyAlignment="1">
      <alignment horizontal="center"/>
    </xf>
    <xf numFmtId="169" fontId="40" fillId="0" borderId="1" xfId="0" applyNumberFormat="1" applyFont="1" applyBorder="1" applyProtection="1"/>
    <xf numFmtId="169" fontId="33" fillId="0" borderId="1" xfId="0" applyNumberFormat="1" applyFont="1" applyBorder="1" applyProtection="1"/>
    <xf numFmtId="170" fontId="33" fillId="0" borderId="1" xfId="0" applyNumberFormat="1" applyFont="1" applyBorder="1" applyProtection="1">
      <protection locked="0"/>
    </xf>
    <xf numFmtId="0" fontId="42" fillId="0" borderId="16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0" fontId="0" fillId="0" borderId="0" xfId="0" applyNumberFormat="1"/>
    <xf numFmtId="37" fontId="20" fillId="0" borderId="0" xfId="0" applyNumberFormat="1" applyFont="1" applyAlignment="1" applyProtection="1">
      <alignment horizontal="center"/>
    </xf>
    <xf numFmtId="37" fontId="56" fillId="0" borderId="0" xfId="0" applyNumberFormat="1" applyFont="1" applyAlignment="1" applyProtection="1">
      <alignment horizontal="center"/>
      <protection locked="0"/>
    </xf>
    <xf numFmtId="39" fontId="0" fillId="0" borderId="0" xfId="0" applyNumberFormat="1" applyAlignment="1">
      <alignment horizontal="center"/>
    </xf>
    <xf numFmtId="39" fontId="40" fillId="0" borderId="0" xfId="0" applyNumberFormat="1" applyFont="1" applyAlignment="1" applyProtection="1">
      <alignment horizontal="center"/>
    </xf>
    <xf numFmtId="171" fontId="20" fillId="0" borderId="0" xfId="0" applyNumberFormat="1" applyFont="1" applyAlignment="1" applyProtection="1">
      <alignment horizontal="left"/>
    </xf>
    <xf numFmtId="172" fontId="20" fillId="0" borderId="0" xfId="0" applyNumberFormat="1" applyFont="1" applyAlignment="1" applyProtection="1">
      <alignment horizontal="left"/>
      <protection locked="0"/>
    </xf>
    <xf numFmtId="0" fontId="57" fillId="0" borderId="0" xfId="0" applyFont="1"/>
    <xf numFmtId="10" fontId="6" fillId="0" borderId="83" xfId="3" applyNumberFormat="1" applyFont="1" applyBorder="1"/>
    <xf numFmtId="10" fontId="55" fillId="0" borderId="83" xfId="0" applyNumberFormat="1" applyFont="1" applyBorder="1" applyAlignment="1" applyProtection="1">
      <alignment horizontal="center"/>
    </xf>
    <xf numFmtId="0" fontId="33" fillId="0" borderId="0" xfId="0" applyFont="1" applyBorder="1" applyAlignment="1">
      <alignment horizontal="center"/>
    </xf>
    <xf numFmtId="178" fontId="33" fillId="0" borderId="0" xfId="0" applyNumberFormat="1" applyFont="1" applyAlignment="1" applyProtection="1">
      <alignment horizontal="center"/>
    </xf>
    <xf numFmtId="2" fontId="0" fillId="0" borderId="0" xfId="0" applyNumberFormat="1" applyBorder="1" applyAlignment="1">
      <alignment horizontal="center"/>
    </xf>
    <xf numFmtId="169" fontId="40" fillId="0" borderId="0" xfId="0" applyNumberFormat="1" applyFont="1" applyBorder="1" applyProtection="1"/>
    <xf numFmtId="169" fontId="33" fillId="0" borderId="0" xfId="0" applyNumberFormat="1" applyFont="1" applyBorder="1" applyProtection="1"/>
    <xf numFmtId="43" fontId="16" fillId="0" borderId="0" xfId="1" applyNumberFormat="1" applyFont="1" applyBorder="1"/>
    <xf numFmtId="170" fontId="33" fillId="0" borderId="0" xfId="0" applyNumberFormat="1" applyFont="1" applyBorder="1" applyProtection="1">
      <protection locked="0"/>
    </xf>
    <xf numFmtId="0" fontId="40" fillId="0" borderId="0" xfId="0" applyFont="1" applyBorder="1" applyAlignment="1">
      <alignment horizontal="center"/>
    </xf>
    <xf numFmtId="0" fontId="33" fillId="0" borderId="0" xfId="0" applyFont="1" applyBorder="1"/>
    <xf numFmtId="14" fontId="57" fillId="0" borderId="0" xfId="0" applyNumberFormat="1" applyFont="1"/>
    <xf numFmtId="0" fontId="47" fillId="0" borderId="3" xfId="0" applyFont="1" applyBorder="1" applyAlignment="1">
      <alignment horizontal="center"/>
    </xf>
    <xf numFmtId="0" fontId="25" fillId="0" borderId="15" xfId="0" applyFont="1" applyBorder="1" applyAlignment="1">
      <alignment horizontal="left"/>
    </xf>
    <xf numFmtId="170" fontId="0" fillId="0" borderId="15" xfId="0" applyNumberFormat="1" applyBorder="1" applyProtection="1"/>
    <xf numFmtId="0" fontId="47" fillId="0" borderId="15" xfId="0" applyFont="1" applyBorder="1" applyAlignment="1">
      <alignment horizontal="center"/>
    </xf>
    <xf numFmtId="37" fontId="0" fillId="0" borderId="16" xfId="0" applyNumberFormat="1" applyBorder="1" applyProtection="1"/>
    <xf numFmtId="0" fontId="47" fillId="0" borderId="4" xfId="0" applyFont="1" applyBorder="1" applyAlignment="1">
      <alignment horizontal="center"/>
    </xf>
    <xf numFmtId="37" fontId="0" fillId="0" borderId="6" xfId="0" applyNumberFormat="1" applyBorder="1" applyProtection="1"/>
    <xf numFmtId="168" fontId="0" fillId="0" borderId="8" xfId="0" applyNumberFormat="1" applyBorder="1" applyAlignment="1">
      <alignment horizontal="center"/>
    </xf>
    <xf numFmtId="167" fontId="16" fillId="0" borderId="7" xfId="1" applyNumberFormat="1" applyFont="1" applyBorder="1"/>
    <xf numFmtId="0" fontId="59" fillId="0" borderId="5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43" fillId="0" borderId="0" xfId="0" applyFont="1" applyBorder="1" applyAlignment="1">
      <alignment horizontal="left"/>
    </xf>
    <xf numFmtId="167" fontId="16" fillId="0" borderId="0" xfId="1" applyNumberFormat="1" applyFont="1" applyBorder="1"/>
    <xf numFmtId="0" fontId="60" fillId="0" borderId="15" xfId="0" applyFont="1" applyBorder="1" applyAlignment="1">
      <alignment horizontal="center"/>
    </xf>
    <xf numFmtId="0" fontId="61" fillId="0" borderId="8" xfId="0" applyFont="1" applyBorder="1"/>
    <xf numFmtId="0" fontId="62" fillId="0" borderId="0" xfId="0" applyFont="1"/>
    <xf numFmtId="0" fontId="62" fillId="0" borderId="0" xfId="0" applyFont="1" applyAlignment="1">
      <alignment horizontal="center"/>
    </xf>
    <xf numFmtId="0" fontId="63" fillId="0" borderId="46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35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2" fillId="0" borderId="13" xfId="0" applyFont="1" applyBorder="1"/>
    <xf numFmtId="0" fontId="62" fillId="0" borderId="8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4" fillId="0" borderId="0" xfId="0" applyFont="1" applyAlignment="1">
      <alignment horizontal="right"/>
    </xf>
    <xf numFmtId="0" fontId="62" fillId="0" borderId="31" xfId="0" applyFont="1" applyBorder="1"/>
    <xf numFmtId="0" fontId="65" fillId="0" borderId="31" xfId="0" applyFont="1" applyBorder="1" applyAlignment="1">
      <alignment horizontal="center"/>
    </xf>
    <xf numFmtId="0" fontId="65" fillId="0" borderId="37" xfId="0" applyFont="1" applyBorder="1" applyAlignment="1">
      <alignment horizontal="center"/>
    </xf>
    <xf numFmtId="173" fontId="62" fillId="0" borderId="0" xfId="0" applyNumberFormat="1" applyFont="1" applyAlignment="1">
      <alignment horizontal="center"/>
    </xf>
    <xf numFmtId="0" fontId="61" fillId="0" borderId="13" xfId="0" applyFont="1" applyBorder="1"/>
    <xf numFmtId="169" fontId="60" fillId="0" borderId="0" xfId="0" applyNumberFormat="1" applyFont="1" applyProtection="1"/>
    <xf numFmtId="0" fontId="61" fillId="0" borderId="0" xfId="0" applyFont="1"/>
    <xf numFmtId="0" fontId="62" fillId="0" borderId="46" xfId="0" applyFont="1" applyBorder="1"/>
    <xf numFmtId="174" fontId="13" fillId="0" borderId="15" xfId="0" applyNumberFormat="1" applyFont="1" applyBorder="1"/>
    <xf numFmtId="174" fontId="13" fillId="0" borderId="0" xfId="0" applyNumberFormat="1" applyFont="1" applyBorder="1"/>
    <xf numFmtId="174" fontId="13" fillId="0" borderId="8" xfId="0" applyNumberFormat="1" applyFont="1" applyBorder="1"/>
    <xf numFmtId="174" fontId="30" fillId="0" borderId="15" xfId="0" applyNumberFormat="1" applyFont="1" applyBorder="1"/>
    <xf numFmtId="174" fontId="30" fillId="0" borderId="0" xfId="0" applyNumberFormat="1" applyFont="1" applyBorder="1"/>
    <xf numFmtId="174" fontId="30" fillId="0" borderId="8" xfId="1" applyNumberFormat="1" applyFont="1" applyBorder="1"/>
    <xf numFmtId="0" fontId="67" fillId="0" borderId="15" xfId="0" applyFont="1" applyBorder="1" applyAlignment="1">
      <alignment horizontal="center"/>
    </xf>
    <xf numFmtId="0" fontId="67" fillId="0" borderId="8" xfId="0" applyFont="1" applyBorder="1" applyAlignment="1">
      <alignment horizontal="center"/>
    </xf>
    <xf numFmtId="169" fontId="68" fillId="0" borderId="0" xfId="0" applyNumberFormat="1" applyFont="1" applyProtection="1"/>
    <xf numFmtId="0" fontId="62" fillId="0" borderId="8" xfId="0" applyFont="1" applyBorder="1"/>
    <xf numFmtId="0" fontId="69" fillId="0" borderId="15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69" fillId="0" borderId="8" xfId="0" applyFont="1" applyBorder="1" applyAlignment="1">
      <alignment horizontal="left"/>
    </xf>
    <xf numFmtId="165" fontId="67" fillId="0" borderId="0" xfId="0" quotePrefix="1" applyNumberFormat="1" applyFont="1" applyBorder="1" applyAlignment="1" applyProtection="1">
      <alignment horizontal="center"/>
    </xf>
    <xf numFmtId="0" fontId="67" fillId="0" borderId="0" xfId="0" applyFont="1" applyBorder="1" applyAlignment="1">
      <alignment horizontal="center"/>
    </xf>
    <xf numFmtId="0" fontId="62" fillId="0" borderId="0" xfId="0" applyFont="1" applyBorder="1"/>
    <xf numFmtId="171" fontId="68" fillId="0" borderId="0" xfId="0" applyNumberFormat="1" applyFont="1" applyBorder="1" applyProtection="1"/>
    <xf numFmtId="173" fontId="60" fillId="0" borderId="0" xfId="0" applyNumberFormat="1" applyFont="1" applyAlignment="1" applyProtection="1">
      <alignment horizontal="center"/>
    </xf>
    <xf numFmtId="171" fontId="60" fillId="0" borderId="0" xfId="0" applyNumberFormat="1" applyFont="1" applyProtection="1"/>
    <xf numFmtId="0" fontId="64" fillId="0" borderId="0" xfId="0" applyFont="1"/>
    <xf numFmtId="169" fontId="60" fillId="0" borderId="13" xfId="0" applyNumberFormat="1" applyFont="1" applyBorder="1" applyProtection="1"/>
    <xf numFmtId="173" fontId="60" fillId="0" borderId="1" xfId="0" applyNumberFormat="1" applyFont="1" applyBorder="1" applyAlignment="1" applyProtection="1">
      <alignment horizontal="center"/>
    </xf>
    <xf numFmtId="0" fontId="62" fillId="0" borderId="81" xfId="0" applyFont="1" applyBorder="1"/>
    <xf numFmtId="0" fontId="70" fillId="0" borderId="0" xfId="0" applyFont="1"/>
    <xf numFmtId="0" fontId="67" fillId="0" borderId="54" xfId="0" applyFont="1" applyBorder="1"/>
    <xf numFmtId="0" fontId="67" fillId="0" borderId="56" xfId="0" applyFont="1" applyBorder="1"/>
    <xf numFmtId="0" fontId="62" fillId="5" borderId="44" xfId="0" applyFont="1" applyFill="1" applyBorder="1"/>
    <xf numFmtId="0" fontId="71" fillId="0" borderId="0" xfId="0" applyFont="1" applyBorder="1"/>
    <xf numFmtId="171" fontId="68" fillId="0" borderId="0" xfId="0" applyNumberFormat="1" applyFont="1" applyProtection="1"/>
    <xf numFmtId="0" fontId="65" fillId="0" borderId="0" xfId="0" applyFont="1" applyBorder="1" applyAlignment="1">
      <alignment horizontal="center"/>
    </xf>
    <xf numFmtId="165" fontId="67" fillId="0" borderId="15" xfId="0" applyNumberFormat="1" applyFont="1" applyBorder="1" applyAlignment="1" applyProtection="1">
      <alignment horizontal="center"/>
    </xf>
    <xf numFmtId="0" fontId="68" fillId="0" borderId="0" xfId="0" applyFont="1" applyProtection="1">
      <protection locked="0"/>
    </xf>
    <xf numFmtId="37" fontId="72" fillId="0" borderId="15" xfId="0" applyNumberFormat="1" applyFont="1" applyBorder="1"/>
    <xf numFmtId="169" fontId="72" fillId="0" borderId="0" xfId="0" applyNumberFormat="1" applyFont="1" applyBorder="1" applyProtection="1"/>
    <xf numFmtId="169" fontId="72" fillId="0" borderId="8" xfId="0" applyNumberFormat="1" applyFont="1" applyBorder="1" applyProtection="1"/>
    <xf numFmtId="0" fontId="61" fillId="0" borderId="0" xfId="0" applyFont="1" applyBorder="1"/>
    <xf numFmtId="0" fontId="63" fillId="0" borderId="42" xfId="0" applyFont="1" applyBorder="1" applyAlignment="1">
      <alignment horizontal="center"/>
    </xf>
    <xf numFmtId="179" fontId="0" fillId="0" borderId="0" xfId="0" applyNumberFormat="1"/>
    <xf numFmtId="179" fontId="0" fillId="0" borderId="0" xfId="0" applyNumberFormat="1" applyAlignment="1">
      <alignment horizontal="center"/>
    </xf>
    <xf numFmtId="168" fontId="0" fillId="0" borderId="13" xfId="0" applyNumberFormat="1" applyBorder="1" applyAlignment="1">
      <alignment horizontal="center"/>
    </xf>
    <xf numFmtId="173" fontId="48" fillId="0" borderId="13" xfId="0" applyNumberFormat="1" applyFont="1" applyBorder="1" applyProtection="1"/>
    <xf numFmtId="169" fontId="48" fillId="0" borderId="13" xfId="0" applyNumberFormat="1" applyFont="1" applyBorder="1" applyProtection="1"/>
    <xf numFmtId="169" fontId="66" fillId="0" borderId="13" xfId="0" applyNumberFormat="1" applyFont="1" applyBorder="1" applyProtection="1"/>
    <xf numFmtId="0" fontId="55" fillId="0" borderId="63" xfId="0" applyFont="1" applyBorder="1"/>
    <xf numFmtId="37" fontId="0" fillId="0" borderId="85" xfId="0" applyNumberFormat="1" applyBorder="1"/>
    <xf numFmtId="0" fontId="0" fillId="0" borderId="0" xfId="0" applyFill="1" applyBorder="1"/>
    <xf numFmtId="43" fontId="0" fillId="0" borderId="0" xfId="0" applyNumberFormat="1"/>
    <xf numFmtId="0" fontId="0" fillId="0" borderId="84" xfId="0" applyBorder="1"/>
    <xf numFmtId="170" fontId="52" fillId="0" borderId="84" xfId="0" applyNumberFormat="1" applyFont="1" applyBorder="1" applyProtection="1"/>
    <xf numFmtId="0" fontId="62" fillId="0" borderId="84" xfId="0" applyFont="1" applyBorder="1"/>
    <xf numFmtId="39" fontId="0" fillId="0" borderId="0" xfId="0" applyNumberFormat="1" applyBorder="1" applyAlignment="1">
      <alignment horizontal="center"/>
    </xf>
    <xf numFmtId="0" fontId="33" fillId="0" borderId="4" xfId="0" quotePrefix="1" applyFont="1" applyBorder="1" applyAlignment="1">
      <alignment horizontal="center"/>
    </xf>
    <xf numFmtId="9" fontId="0" fillId="0" borderId="0" xfId="0" applyNumberFormat="1"/>
    <xf numFmtId="0" fontId="52" fillId="0" borderId="0" xfId="0" applyFont="1"/>
    <xf numFmtId="0" fontId="2" fillId="0" borderId="0" xfId="0" applyFont="1" applyAlignment="1">
      <alignment horizontal="center"/>
    </xf>
    <xf numFmtId="0" fontId="20" fillId="0" borderId="0" xfId="0" applyFont="1" applyBorder="1"/>
    <xf numFmtId="0" fontId="42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171" fontId="0" fillId="0" borderId="0" xfId="0" applyNumberFormat="1" applyBorder="1"/>
    <xf numFmtId="0" fontId="2" fillId="0" borderId="0" xfId="0" applyFont="1" applyBorder="1" applyAlignment="1">
      <alignment horizontal="center"/>
    </xf>
    <xf numFmtId="1" fontId="0" fillId="0" borderId="0" xfId="1" applyNumberFormat="1" applyFont="1"/>
    <xf numFmtId="14" fontId="0" fillId="0" borderId="0" xfId="0" applyNumberFormat="1"/>
    <xf numFmtId="43" fontId="16" fillId="0" borderId="1" xfId="1" applyNumberFormat="1" applyFont="1" applyBorder="1"/>
    <xf numFmtId="0" fontId="73" fillId="0" borderId="0" xfId="0" applyFont="1"/>
    <xf numFmtId="0" fontId="33" fillId="0" borderId="4" xfId="0" applyFont="1" applyBorder="1" applyAlignment="1">
      <alignment horizontal="center"/>
    </xf>
    <xf numFmtId="171" fontId="33" fillId="0" borderId="0" xfId="0" applyNumberFormat="1" applyFont="1" applyBorder="1" applyAlignment="1" applyProtection="1">
      <alignment horizontal="center"/>
    </xf>
    <xf numFmtId="173" fontId="33" fillId="0" borderId="0" xfId="0" applyNumberFormat="1" applyFont="1" applyBorder="1" applyAlignment="1" applyProtection="1">
      <alignment horizontal="center"/>
    </xf>
    <xf numFmtId="173" fontId="60" fillId="0" borderId="0" xfId="0" applyNumberFormat="1" applyFont="1" applyBorder="1" applyAlignment="1" applyProtection="1">
      <alignment horizontal="center"/>
    </xf>
    <xf numFmtId="172" fontId="19" fillId="0" borderId="3" xfId="0" applyNumberFormat="1" applyFont="1" applyBorder="1" applyProtection="1"/>
    <xf numFmtId="0" fontId="19" fillId="0" borderId="15" xfId="0" applyFont="1" applyBorder="1" applyAlignment="1">
      <alignment horizontal="left"/>
    </xf>
    <xf numFmtId="0" fontId="19" fillId="0" borderId="15" xfId="0" applyFont="1" applyBorder="1"/>
    <xf numFmtId="0" fontId="62" fillId="0" borderId="15" xfId="0" applyFont="1" applyBorder="1"/>
    <xf numFmtId="0" fontId="40" fillId="0" borderId="86" xfId="0" applyFont="1" applyBorder="1" applyAlignment="1">
      <alignment horizontal="left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169" fontId="40" fillId="0" borderId="4" xfId="0" applyNumberFormat="1" applyFont="1" applyBorder="1" applyAlignment="1" applyProtection="1">
      <alignment horizontal="left"/>
    </xf>
    <xf numFmtId="169" fontId="60" fillId="0" borderId="0" xfId="0" applyNumberFormat="1" applyFont="1" applyBorder="1" applyProtection="1"/>
    <xf numFmtId="37" fontId="33" fillId="0" borderId="6" xfId="0" applyNumberFormat="1" applyFont="1" applyBorder="1" applyProtection="1"/>
    <xf numFmtId="169" fontId="40" fillId="0" borderId="11" xfId="0" applyNumberFormat="1" applyFont="1" applyBorder="1" applyAlignment="1" applyProtection="1">
      <alignment horizontal="left"/>
    </xf>
    <xf numFmtId="37" fontId="33" fillId="0" borderId="14" xfId="0" applyNumberFormat="1" applyFont="1" applyBorder="1" applyProtection="1"/>
    <xf numFmtId="172" fontId="0" fillId="0" borderId="89" xfId="0" applyNumberFormat="1" applyBorder="1" applyAlignment="1" applyProtection="1">
      <alignment horizontal="left"/>
    </xf>
    <xf numFmtId="5" fontId="16" fillId="0" borderId="14" xfId="0" applyNumberFormat="1" applyFont="1" applyBorder="1" applyProtection="1"/>
    <xf numFmtId="0" fontId="0" fillId="0" borderId="90" xfId="0" applyBorder="1"/>
    <xf numFmtId="37" fontId="33" fillId="0" borderId="22" xfId="0" applyNumberFormat="1" applyFont="1" applyBorder="1" applyProtection="1"/>
    <xf numFmtId="5" fontId="16" fillId="0" borderId="91" xfId="0" applyNumberFormat="1" applyFont="1" applyBorder="1" applyProtection="1"/>
    <xf numFmtId="0" fontId="0" fillId="0" borderId="92" xfId="0" applyBorder="1"/>
    <xf numFmtId="37" fontId="16" fillId="0" borderId="93" xfId="0" applyNumberFormat="1" applyFont="1" applyBorder="1" applyProtection="1"/>
    <xf numFmtId="172" fontId="0" fillId="0" borderId="11" xfId="0" quotePrefix="1" applyNumberFormat="1" applyBorder="1" applyAlignment="1" applyProtection="1">
      <alignment horizontal="left"/>
    </xf>
    <xf numFmtId="172" fontId="0" fillId="0" borderId="94" xfId="0" quotePrefix="1" applyNumberFormat="1" applyBorder="1" applyAlignment="1" applyProtection="1">
      <alignment horizontal="left"/>
    </xf>
    <xf numFmtId="5" fontId="16" fillId="0" borderId="95" xfId="0" applyNumberFormat="1" applyFont="1" applyBorder="1" applyProtection="1"/>
    <xf numFmtId="0" fontId="55" fillId="0" borderId="4" xfId="0" applyFont="1" applyBorder="1"/>
    <xf numFmtId="0" fontId="55" fillId="0" borderId="96" xfId="0" applyFont="1" applyBorder="1"/>
    <xf numFmtId="0" fontId="0" fillId="0" borderId="97" xfId="0" applyBorder="1"/>
    <xf numFmtId="0" fontId="62" fillId="0" borderId="97" xfId="0" applyFont="1" applyBorder="1"/>
    <xf numFmtId="37" fontId="0" fillId="0" borderId="98" xfId="0" applyNumberFormat="1" applyBorder="1"/>
    <xf numFmtId="0" fontId="40" fillId="0" borderId="7" xfId="0" applyFont="1" applyBorder="1"/>
    <xf numFmtId="0" fontId="12" fillId="0" borderId="0" xfId="0" applyFont="1" applyBorder="1"/>
    <xf numFmtId="0" fontId="30" fillId="0" borderId="14" xfId="0" applyFont="1" applyBorder="1"/>
    <xf numFmtId="172" fontId="0" fillId="0" borderId="89" xfId="0" quotePrefix="1" applyNumberFormat="1" applyBorder="1" applyAlignment="1" applyProtection="1">
      <alignment horizontal="left"/>
    </xf>
    <xf numFmtId="0" fontId="0" fillId="0" borderId="93" xfId="0" applyBorder="1"/>
    <xf numFmtId="0" fontId="55" fillId="0" borderId="5" xfId="0" applyFont="1" applyBorder="1"/>
    <xf numFmtId="37" fontId="16" fillId="0" borderId="7" xfId="0" applyNumberFormat="1" applyFont="1" applyBorder="1"/>
    <xf numFmtId="0" fontId="2" fillId="0" borderId="0" xfId="0" applyFont="1" applyBorder="1"/>
    <xf numFmtId="39" fontId="33" fillId="0" borderId="0" xfId="0" applyNumberFormat="1" applyFont="1" applyBorder="1" applyProtection="1"/>
    <xf numFmtId="0" fontId="0" fillId="0" borderId="5" xfId="0" applyFill="1" applyBorder="1"/>
    <xf numFmtId="37" fontId="0" fillId="0" borderId="7" xfId="0" applyNumberFormat="1" applyBorder="1"/>
    <xf numFmtId="0" fontId="0" fillId="0" borderId="4" xfId="0" applyFill="1" applyBorder="1"/>
    <xf numFmtId="167" fontId="16" fillId="0" borderId="1" xfId="1" applyNumberFormat="1" applyFont="1" applyBorder="1"/>
    <xf numFmtId="0" fontId="55" fillId="0" borderId="0" xfId="0" applyFont="1" applyBorder="1"/>
    <xf numFmtId="37" fontId="0" fillId="0" borderId="0" xfId="0" applyNumberFormat="1" applyBorder="1"/>
    <xf numFmtId="169" fontId="40" fillId="0" borderId="4" xfId="0" applyNumberFormat="1" applyFont="1" applyFill="1" applyBorder="1" applyAlignment="1" applyProtection="1">
      <alignment horizontal="left"/>
    </xf>
    <xf numFmtId="0" fontId="37" fillId="0" borderId="0" xfId="0" applyFont="1" applyBorder="1" applyAlignment="1">
      <alignment horizontal="right"/>
    </xf>
    <xf numFmtId="167" fontId="16" fillId="0" borderId="64" xfId="1" applyNumberFormat="1" applyFont="1" applyBorder="1"/>
    <xf numFmtId="49" fontId="33" fillId="0" borderId="0" xfId="0" applyNumberFormat="1" applyFont="1" applyAlignment="1">
      <alignment horizontal="center"/>
    </xf>
    <xf numFmtId="0" fontId="20" fillId="0" borderId="4" xfId="0" applyFont="1" applyFill="1" applyBorder="1"/>
    <xf numFmtId="0" fontId="20" fillId="0" borderId="0" xfId="0" applyFont="1" applyFill="1"/>
    <xf numFmtId="170" fontId="52" fillId="0" borderId="46" xfId="0" applyNumberFormat="1" applyFont="1" applyBorder="1" applyProtection="1"/>
    <xf numFmtId="170" fontId="52" fillId="0" borderId="0" xfId="0" applyNumberFormat="1" applyFont="1" applyProtection="1"/>
    <xf numFmtId="170" fontId="52" fillId="0" borderId="0" xfId="0" applyNumberFormat="1" applyFont="1" applyBorder="1" applyProtection="1"/>
    <xf numFmtId="170" fontId="52" fillId="0" borderId="15" xfId="0" applyNumberFormat="1" applyFont="1" applyBorder="1" applyProtection="1"/>
    <xf numFmtId="0" fontId="52" fillId="0" borderId="8" xfId="0" applyFont="1" applyBorder="1"/>
    <xf numFmtId="0" fontId="20" fillId="0" borderId="0" xfId="0" applyFont="1" applyFill="1" applyBorder="1"/>
    <xf numFmtId="171" fontId="42" fillId="0" borderId="0" xfId="0" applyNumberFormat="1" applyFont="1" applyAlignment="1" applyProtection="1">
      <alignment horizontal="left"/>
    </xf>
    <xf numFmtId="37" fontId="16" fillId="0" borderId="99" xfId="0" applyNumberFormat="1" applyFont="1" applyBorder="1" applyProtection="1"/>
    <xf numFmtId="37" fontId="16" fillId="0" borderId="100" xfId="0" applyNumberFormat="1" applyFont="1" applyBorder="1" applyProtection="1"/>
    <xf numFmtId="37" fontId="16" fillId="0" borderId="6" xfId="0" applyNumberFormat="1" applyFont="1" applyBorder="1" applyProtection="1"/>
    <xf numFmtId="2" fontId="0" fillId="0" borderId="13" xfId="0" applyNumberFormat="1" applyBorder="1"/>
    <xf numFmtId="0" fontId="0" fillId="0" borderId="101" xfId="0" applyBorder="1"/>
    <xf numFmtId="169" fontId="43" fillId="0" borderId="13" xfId="0" applyNumberFormat="1" applyFont="1" applyBorder="1" applyProtection="1"/>
    <xf numFmtId="0" fontId="53" fillId="0" borderId="0" xfId="0" applyFont="1" applyBorder="1" applyAlignment="1">
      <alignment horizontal="left"/>
    </xf>
    <xf numFmtId="0" fontId="35" fillId="0" borderId="0" xfId="0" applyFont="1" applyBorder="1"/>
    <xf numFmtId="37" fontId="35" fillId="0" borderId="0" xfId="0" applyNumberFormat="1" applyFont="1" applyBorder="1" applyProtection="1"/>
    <xf numFmtId="3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9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7" fontId="74" fillId="0" borderId="0" xfId="1" applyNumberFormat="1" applyFont="1"/>
    <xf numFmtId="39" fontId="0" fillId="0" borderId="0" xfId="0" applyNumberFormat="1" applyFill="1" applyAlignment="1">
      <alignment horizontal="center"/>
    </xf>
    <xf numFmtId="0" fontId="2" fillId="0" borderId="0" xfId="0" applyFont="1" applyFill="1" applyBorder="1"/>
    <xf numFmtId="49" fontId="40" fillId="0" borderId="44" xfId="0" applyNumberFormat="1" applyFont="1" applyBorder="1" applyAlignment="1">
      <alignment horizontal="center"/>
    </xf>
    <xf numFmtId="49" fontId="33" fillId="0" borderId="0" xfId="0" quotePrefix="1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49" fontId="0" fillId="0" borderId="5" xfId="0" applyNumberFormat="1" applyBorder="1" applyAlignment="1">
      <alignment horizontal="center"/>
    </xf>
    <xf numFmtId="169" fontId="46" fillId="4" borderId="0" xfId="0" applyNumberFormat="1" applyFont="1" applyFill="1" applyProtection="1"/>
    <xf numFmtId="37" fontId="33" fillId="0" borderId="102" xfId="0" applyNumberFormat="1" applyFont="1" applyBorder="1" applyProtection="1"/>
    <xf numFmtId="0" fontId="2" fillId="0" borderId="38" xfId="0" applyFont="1" applyBorder="1" applyAlignment="1">
      <alignment horizontal="left"/>
    </xf>
    <xf numFmtId="7" fontId="0" fillId="0" borderId="0" xfId="2" applyNumberFormat="1" applyFont="1" applyBorder="1" applyAlignment="1">
      <alignment horizontal="center"/>
    </xf>
    <xf numFmtId="0" fontId="2" fillId="0" borderId="0" xfId="0" applyFont="1" applyFill="1"/>
    <xf numFmtId="0" fontId="2" fillId="0" borderId="4" xfId="0" applyFont="1" applyFill="1" applyBorder="1"/>
    <xf numFmtId="0" fontId="2" fillId="0" borderId="0" xfId="0" applyFont="1"/>
    <xf numFmtId="171" fontId="2" fillId="0" borderId="0" xfId="0" applyNumberFormat="1" applyFont="1" applyAlignment="1" applyProtection="1">
      <alignment horizontal="left"/>
    </xf>
    <xf numFmtId="0" fontId="34" fillId="0" borderId="0" xfId="0" applyFont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0"/>
  <sheetViews>
    <sheetView tabSelected="1" workbookViewId="0">
      <selection activeCell="B19" sqref="B19"/>
    </sheetView>
  </sheetViews>
  <sheetFormatPr defaultRowHeight="12.75"/>
  <cols>
    <col min="1" max="1" width="10.140625" bestFit="1" customWidth="1"/>
    <col min="2" max="2" width="14.28515625" customWidth="1"/>
    <col min="3" max="3" width="12.85546875" customWidth="1"/>
    <col min="4" max="4" width="13.7109375" customWidth="1"/>
    <col min="5" max="5" width="13.140625" customWidth="1"/>
    <col min="6" max="6" width="11.5703125" customWidth="1"/>
    <col min="7" max="7" width="11.28515625" bestFit="1" customWidth="1"/>
    <col min="8" max="8" width="11.28515625" customWidth="1"/>
    <col min="9" max="9" width="14.85546875" customWidth="1"/>
    <col min="10" max="10" width="11.42578125" customWidth="1"/>
  </cols>
  <sheetData>
    <row r="1" spans="1:10" ht="15.75">
      <c r="A1" s="130"/>
      <c r="C1" s="24" t="s">
        <v>0</v>
      </c>
      <c r="J1" s="459"/>
    </row>
    <row r="2" spans="1:10">
      <c r="A2" s="490" t="s">
        <v>326</v>
      </c>
      <c r="D2" s="69" t="s">
        <v>1</v>
      </c>
      <c r="J2" t="s">
        <v>326</v>
      </c>
    </row>
    <row r="3" spans="1:10">
      <c r="A3" s="587" t="s">
        <v>326</v>
      </c>
      <c r="B3" t="s">
        <v>326</v>
      </c>
      <c r="J3" t="s">
        <v>326</v>
      </c>
    </row>
    <row r="4" spans="1:10" ht="13.5" thickBot="1">
      <c r="B4" s="325" t="s">
        <v>180</v>
      </c>
      <c r="E4" s="70" t="s">
        <v>5</v>
      </c>
      <c r="F4" s="677" t="str">
        <f>DISTRICT!C1</f>
        <v xml:space="preserve">  ELIZABETHTOWN INDEPENDENT SCHOOLS</v>
      </c>
      <c r="G4" s="677"/>
      <c r="H4" s="677"/>
      <c r="I4" s="677"/>
      <c r="J4" s="25"/>
    </row>
    <row r="5" spans="1:10" ht="13.5" thickBot="1">
      <c r="B5" s="275"/>
      <c r="E5" s="70"/>
      <c r="F5" s="326"/>
      <c r="G5" s="302" t="s">
        <v>326</v>
      </c>
      <c r="H5" s="302"/>
      <c r="I5" s="25"/>
      <c r="J5" s="25"/>
    </row>
    <row r="6" spans="1:10" ht="13.5" thickBot="1">
      <c r="B6" s="327" t="s">
        <v>181</v>
      </c>
      <c r="C6" s="122" t="s">
        <v>182</v>
      </c>
      <c r="D6" s="122"/>
      <c r="E6" s="328" t="s">
        <v>183</v>
      </c>
    </row>
    <row r="7" spans="1:10" ht="13.5" thickBot="1">
      <c r="B7" s="18"/>
      <c r="C7" s="29"/>
      <c r="D7" s="29"/>
      <c r="E7" s="30" t="s">
        <v>184</v>
      </c>
      <c r="F7" s="455" t="s">
        <v>185</v>
      </c>
      <c r="G7" s="456"/>
      <c r="H7" s="456"/>
      <c r="I7" s="463" t="s">
        <v>624</v>
      </c>
    </row>
    <row r="8" spans="1:10" ht="13.5" thickBot="1">
      <c r="B8" s="329" t="s">
        <v>186</v>
      </c>
      <c r="C8" s="132" t="s">
        <v>308</v>
      </c>
      <c r="D8" s="7"/>
      <c r="E8" s="331">
        <v>1935</v>
      </c>
      <c r="F8" s="70" t="s">
        <v>374</v>
      </c>
      <c r="I8" s="71">
        <v>0</v>
      </c>
    </row>
    <row r="9" spans="1:10" ht="13.5" thickBot="1">
      <c r="B9" s="329" t="s">
        <v>187</v>
      </c>
      <c r="C9" s="132" t="s">
        <v>188</v>
      </c>
      <c r="D9" s="7"/>
      <c r="E9" s="331">
        <v>1548</v>
      </c>
      <c r="F9" s="70" t="s">
        <v>375</v>
      </c>
      <c r="I9" s="71">
        <v>0</v>
      </c>
    </row>
    <row r="10" spans="1:10" ht="13.5" thickBot="1">
      <c r="B10" s="329" t="s">
        <v>189</v>
      </c>
      <c r="C10" s="133" t="s">
        <v>190</v>
      </c>
      <c r="D10" s="7"/>
      <c r="E10" s="331">
        <v>1247</v>
      </c>
      <c r="F10" t="s">
        <v>376</v>
      </c>
      <c r="G10" s="72"/>
      <c r="H10" s="72"/>
      <c r="I10" s="71">
        <v>0</v>
      </c>
    </row>
    <row r="11" spans="1:10" ht="13.5" thickBot="1">
      <c r="B11" s="329" t="s">
        <v>191</v>
      </c>
      <c r="C11" s="133" t="s">
        <v>192</v>
      </c>
      <c r="D11" s="7"/>
      <c r="E11" s="331">
        <v>1333</v>
      </c>
      <c r="F11" t="s">
        <v>377</v>
      </c>
      <c r="I11" s="71">
        <v>0</v>
      </c>
    </row>
    <row r="12" spans="1:10" ht="13.5" thickBot="1">
      <c r="B12" s="668" t="s">
        <v>561</v>
      </c>
      <c r="C12" s="330" t="s">
        <v>552</v>
      </c>
      <c r="D12" s="29"/>
      <c r="E12" s="332">
        <v>645</v>
      </c>
      <c r="F12" t="s">
        <v>378</v>
      </c>
      <c r="I12" s="71">
        <v>0</v>
      </c>
    </row>
    <row r="13" spans="1:10" ht="13.5" thickBot="1">
      <c r="F13" t="s">
        <v>378</v>
      </c>
      <c r="I13" s="454">
        <v>0</v>
      </c>
    </row>
    <row r="14" spans="1:10" ht="15.75">
      <c r="A14" s="75" t="s">
        <v>193</v>
      </c>
      <c r="B14" s="76"/>
      <c r="C14" s="77"/>
      <c r="D14" s="76"/>
      <c r="E14" s="76"/>
      <c r="F14" s="76"/>
      <c r="G14" s="78" t="s">
        <v>28</v>
      </c>
      <c r="H14" s="302"/>
    </row>
    <row r="15" spans="1:10" ht="13.5" thickBot="1">
      <c r="A15" s="18"/>
      <c r="B15" s="451" t="str">
        <f>$C$10</f>
        <v>Helmwood</v>
      </c>
      <c r="C15" s="451" t="str">
        <f>$C$11</f>
        <v>Morningside</v>
      </c>
      <c r="D15" s="451" t="s">
        <v>551</v>
      </c>
      <c r="E15" s="452" t="str">
        <f>$C$9</f>
        <v>T. K. Stone M/S</v>
      </c>
      <c r="F15" s="452" t="str">
        <f>$C$8</f>
        <v>E'town H/S</v>
      </c>
      <c r="G15" s="30"/>
      <c r="H15" s="25"/>
    </row>
    <row r="17" spans="1:9" ht="16.5">
      <c r="A17" s="79" t="s">
        <v>194</v>
      </c>
      <c r="B17" s="402">
        <v>0</v>
      </c>
      <c r="C17" s="402">
        <v>0</v>
      </c>
      <c r="D17" s="134">
        <v>175</v>
      </c>
      <c r="E17" s="134"/>
      <c r="F17" s="134"/>
      <c r="G17" s="134">
        <f t="shared" ref="G17:G31" si="0">SUM(B17:F17)</f>
        <v>175</v>
      </c>
      <c r="H17" s="134"/>
      <c r="I17" t="s">
        <v>326</v>
      </c>
    </row>
    <row r="18" spans="1:9" ht="16.5">
      <c r="A18" s="70" t="s">
        <v>195</v>
      </c>
      <c r="B18" s="402">
        <v>92</v>
      </c>
      <c r="C18" s="402">
        <v>100</v>
      </c>
      <c r="D18" s="134"/>
      <c r="E18" s="134"/>
      <c r="F18" s="134"/>
      <c r="G18" s="134">
        <f t="shared" si="0"/>
        <v>192</v>
      </c>
      <c r="H18" s="134"/>
      <c r="I18" t="s">
        <v>326</v>
      </c>
    </row>
    <row r="19" spans="1:9" ht="16.5">
      <c r="A19" s="70" t="s">
        <v>196</v>
      </c>
      <c r="B19" s="402">
        <v>77</v>
      </c>
      <c r="C19" s="402">
        <v>100</v>
      </c>
      <c r="D19" s="450"/>
      <c r="E19" s="134"/>
      <c r="F19" s="134"/>
      <c r="G19" s="134">
        <f t="shared" si="0"/>
        <v>177</v>
      </c>
      <c r="H19" s="134"/>
    </row>
    <row r="20" spans="1:9" ht="16.5">
      <c r="A20" s="70" t="s">
        <v>197</v>
      </c>
      <c r="B20" s="402">
        <v>83</v>
      </c>
      <c r="C20" s="402">
        <v>95</v>
      </c>
      <c r="D20" s="134"/>
      <c r="E20" s="134"/>
      <c r="F20" s="134"/>
      <c r="G20" s="134">
        <f t="shared" si="0"/>
        <v>178</v>
      </c>
      <c r="H20" s="134"/>
      <c r="I20" t="s">
        <v>326</v>
      </c>
    </row>
    <row r="21" spans="1:9" ht="16.5">
      <c r="A21" s="80" t="s">
        <v>198</v>
      </c>
      <c r="B21" s="135">
        <f>SUM(B17:B20)</f>
        <v>252</v>
      </c>
      <c r="C21" s="135">
        <f>SUM(C17:C20)</f>
        <v>295</v>
      </c>
      <c r="D21" s="135">
        <f>SUM(D17:D20)</f>
        <v>175</v>
      </c>
      <c r="E21" s="136"/>
      <c r="F21" s="136"/>
      <c r="G21" s="136">
        <f t="shared" si="0"/>
        <v>722</v>
      </c>
      <c r="H21" s="136"/>
      <c r="I21" t="s">
        <v>326</v>
      </c>
    </row>
    <row r="22" spans="1:9" ht="16.5">
      <c r="A22" s="70" t="s">
        <v>199</v>
      </c>
      <c r="B22" s="402">
        <v>85</v>
      </c>
      <c r="C22" s="402">
        <v>98</v>
      </c>
      <c r="D22" s="134"/>
      <c r="E22" s="134"/>
      <c r="F22" s="134"/>
      <c r="G22" s="134">
        <f t="shared" si="0"/>
        <v>183</v>
      </c>
      <c r="H22" s="134"/>
      <c r="I22" t="s">
        <v>326</v>
      </c>
    </row>
    <row r="23" spans="1:9" ht="16.5">
      <c r="A23" s="70" t="s">
        <v>200</v>
      </c>
      <c r="B23" s="402">
        <v>67</v>
      </c>
      <c r="C23" s="402">
        <v>99</v>
      </c>
      <c r="D23" s="134"/>
      <c r="E23" s="134"/>
      <c r="F23" s="134"/>
      <c r="G23" s="134">
        <f t="shared" si="0"/>
        <v>166</v>
      </c>
      <c r="H23" s="134"/>
      <c r="I23" t="s">
        <v>326</v>
      </c>
    </row>
    <row r="24" spans="1:9" ht="16.5">
      <c r="A24" s="70" t="s">
        <v>201</v>
      </c>
      <c r="B24" s="134"/>
      <c r="C24" s="134" t="s">
        <v>326</v>
      </c>
      <c r="D24" s="134"/>
      <c r="E24" s="402">
        <v>188</v>
      </c>
      <c r="F24" s="402"/>
      <c r="G24" s="134">
        <f t="shared" si="0"/>
        <v>188</v>
      </c>
      <c r="H24" s="134"/>
      <c r="I24" t="s">
        <v>326</v>
      </c>
    </row>
    <row r="25" spans="1:9" ht="16.5">
      <c r="A25" s="70" t="s">
        <v>202</v>
      </c>
      <c r="B25" s="134"/>
      <c r="C25" s="134"/>
      <c r="D25" s="134"/>
      <c r="E25" s="402">
        <v>185</v>
      </c>
      <c r="F25" s="402"/>
      <c r="G25" s="134">
        <f t="shared" si="0"/>
        <v>185</v>
      </c>
      <c r="H25" s="134"/>
      <c r="I25" t="s">
        <v>326</v>
      </c>
    </row>
    <row r="26" spans="1:9" ht="16.5">
      <c r="A26" s="70" t="s">
        <v>203</v>
      </c>
      <c r="B26" s="134"/>
      <c r="C26" s="134"/>
      <c r="D26" s="134"/>
      <c r="E26" s="402">
        <v>192</v>
      </c>
      <c r="F26" s="402"/>
      <c r="G26" s="134">
        <f t="shared" si="0"/>
        <v>192</v>
      </c>
      <c r="H26" s="134"/>
      <c r="I26" t="s">
        <v>326</v>
      </c>
    </row>
    <row r="27" spans="1:9" ht="16.5">
      <c r="A27" s="70" t="s">
        <v>204</v>
      </c>
      <c r="B27" s="134"/>
      <c r="C27" s="134"/>
      <c r="D27" s="134"/>
      <c r="E27" s="402"/>
      <c r="F27" s="402">
        <v>201</v>
      </c>
      <c r="G27" s="134">
        <f t="shared" si="0"/>
        <v>201</v>
      </c>
      <c r="H27" s="134"/>
      <c r="I27" t="s">
        <v>326</v>
      </c>
    </row>
    <row r="28" spans="1:9" ht="16.5">
      <c r="A28" s="70" t="s">
        <v>205</v>
      </c>
      <c r="B28" s="134"/>
      <c r="C28" s="134"/>
      <c r="D28" s="134"/>
      <c r="E28" s="402"/>
      <c r="F28" s="402">
        <v>213</v>
      </c>
      <c r="G28" s="134">
        <f t="shared" si="0"/>
        <v>213</v>
      </c>
      <c r="H28" s="134"/>
      <c r="I28" t="s">
        <v>326</v>
      </c>
    </row>
    <row r="29" spans="1:9" ht="16.5">
      <c r="A29" s="70" t="s">
        <v>206</v>
      </c>
      <c r="B29" s="134"/>
      <c r="C29" s="134"/>
      <c r="D29" s="134"/>
      <c r="E29" s="402"/>
      <c r="F29" s="402">
        <v>181</v>
      </c>
      <c r="G29" s="134">
        <f t="shared" si="0"/>
        <v>181</v>
      </c>
      <c r="H29" s="134"/>
      <c r="I29" t="s">
        <v>326</v>
      </c>
    </row>
    <row r="30" spans="1:9" ht="16.5">
      <c r="A30" s="70" t="s">
        <v>207</v>
      </c>
      <c r="B30" s="134"/>
      <c r="C30" s="134"/>
      <c r="D30" s="134"/>
      <c r="E30" s="402"/>
      <c r="F30" s="402">
        <v>156</v>
      </c>
      <c r="G30" s="134">
        <f t="shared" si="0"/>
        <v>156</v>
      </c>
      <c r="H30" s="134"/>
      <c r="I30" t="s">
        <v>326</v>
      </c>
    </row>
    <row r="31" spans="1:9" ht="17.25" thickBot="1">
      <c r="A31" s="70" t="s">
        <v>208</v>
      </c>
      <c r="B31" s="134">
        <v>0</v>
      </c>
      <c r="C31" s="134">
        <v>0</v>
      </c>
      <c r="D31" s="134"/>
      <c r="E31" s="134">
        <v>0</v>
      </c>
      <c r="F31" s="134">
        <v>1</v>
      </c>
      <c r="G31" s="141">
        <f t="shared" si="0"/>
        <v>1</v>
      </c>
      <c r="H31" s="656"/>
    </row>
    <row r="32" spans="1:9" ht="17.25" thickTop="1">
      <c r="A32" s="81" t="s">
        <v>209</v>
      </c>
      <c r="B32" s="137"/>
      <c r="C32" s="137" t="s">
        <v>326</v>
      </c>
      <c r="D32" s="137"/>
      <c r="E32" s="137">
        <v>0</v>
      </c>
      <c r="F32" s="137">
        <v>0</v>
      </c>
      <c r="G32" s="138">
        <f>SUM(B32:E32)</f>
        <v>0</v>
      </c>
      <c r="H32" s="656"/>
    </row>
    <row r="33" spans="1:10" ht="17.25" thickBot="1">
      <c r="A33" s="82" t="s">
        <v>210</v>
      </c>
      <c r="B33" s="139">
        <f>SUM(B21:B31)</f>
        <v>404</v>
      </c>
      <c r="C33" s="139">
        <f>SUM(C21:C31)</f>
        <v>492</v>
      </c>
      <c r="D33" s="139">
        <f>SUM(D17)</f>
        <v>175</v>
      </c>
      <c r="E33" s="139">
        <f>SUM(E21:E31)</f>
        <v>565</v>
      </c>
      <c r="F33" s="139">
        <f>SUM(F21:F32)</f>
        <v>752</v>
      </c>
      <c r="G33" s="140">
        <f>SUM(G21:G31)</f>
        <v>2388</v>
      </c>
      <c r="H33" s="657"/>
      <c r="I33" t="s">
        <v>326</v>
      </c>
    </row>
    <row r="34" spans="1:10">
      <c r="A34" t="s">
        <v>366</v>
      </c>
      <c r="B34" s="453">
        <f>ROUND(B33-(B17/2),0)</f>
        <v>404</v>
      </c>
      <c r="C34" s="453">
        <f>ROUND(C33-(C17/2),0)</f>
        <v>492</v>
      </c>
      <c r="D34" s="453">
        <f>ROUND(D33-(D17/2),0)</f>
        <v>88</v>
      </c>
      <c r="E34" s="453">
        <f>ROUND(E33-(E17/2),0)</f>
        <v>565</v>
      </c>
      <c r="F34" s="453">
        <f>ROUND(F33-(F17/2),0)</f>
        <v>752</v>
      </c>
      <c r="G34" s="453">
        <f>SUM(B34:F34)</f>
        <v>2301</v>
      </c>
      <c r="H34" s="453"/>
    </row>
    <row r="36" spans="1:10" ht="13.5" thickBot="1">
      <c r="B36" s="338" t="s">
        <v>211</v>
      </c>
      <c r="G36" s="74" t="str">
        <f>I7</f>
        <v>2013-2014</v>
      </c>
      <c r="H36" s="74"/>
    </row>
    <row r="37" spans="1:10" ht="13.5" thickBot="1">
      <c r="A37" s="8"/>
      <c r="B37" s="345" t="s">
        <v>212</v>
      </c>
      <c r="C37" s="346"/>
      <c r="D37" s="377" t="str">
        <f>$C$8</f>
        <v>E'town H/S</v>
      </c>
      <c r="E37" s="347" t="str">
        <f>$C$9</f>
        <v>T. K. Stone M/S</v>
      </c>
      <c r="F37" s="347" t="str">
        <f>$C$10</f>
        <v>Helmwood</v>
      </c>
      <c r="G37" s="347" t="str">
        <f>$C$11</f>
        <v>Morningside</v>
      </c>
      <c r="H37" s="347" t="s">
        <v>551</v>
      </c>
      <c r="I37" s="348" t="s">
        <v>28</v>
      </c>
    </row>
    <row r="38" spans="1:10" ht="13.5" thickBot="1">
      <c r="A38" s="22" t="s">
        <v>445</v>
      </c>
      <c r="D38" s="142">
        <f>F33-(F17*0.5)</f>
        <v>752</v>
      </c>
      <c r="E38" s="142">
        <f>E33-(E17*0.5)</f>
        <v>565</v>
      </c>
      <c r="F38" s="142">
        <f>ROUND(B33-(B17*0.5),0)</f>
        <v>404</v>
      </c>
      <c r="G38" s="142">
        <f>ROUND(C33-(C17*0.5),0)</f>
        <v>492</v>
      </c>
      <c r="H38" s="142">
        <f>ROUND(D33,0)</f>
        <v>175</v>
      </c>
      <c r="I38" s="84">
        <f>SUM(D38:H38)</f>
        <v>2388</v>
      </c>
    </row>
    <row r="39" spans="1:10" ht="13.5" thickBot="1">
      <c r="A39" s="22" t="s">
        <v>390</v>
      </c>
      <c r="C39" s="479">
        <f>B96</f>
        <v>0.95799999999999996</v>
      </c>
      <c r="D39" s="143">
        <f>ROUND(D38*$C$39,1)</f>
        <v>720.4</v>
      </c>
      <c r="E39" s="143">
        <f>ROUND(E38*$C$39,1)</f>
        <v>541.29999999999995</v>
      </c>
      <c r="F39" s="143">
        <f>ROUND(F38*$C$39,1)</f>
        <v>387</v>
      </c>
      <c r="G39" s="143">
        <f>ROUND(G38*$C$39,1)</f>
        <v>471.3</v>
      </c>
      <c r="H39" s="143">
        <f>ROUND(H38*$C$39,1)</f>
        <v>167.7</v>
      </c>
      <c r="I39" s="106">
        <f>SUM(D39:H39)</f>
        <v>2287.6999999999998</v>
      </c>
      <c r="J39" t="s">
        <v>326</v>
      </c>
    </row>
    <row r="40" spans="1:10">
      <c r="A40" s="85" t="s">
        <v>214</v>
      </c>
      <c r="B40" s="86" t="s">
        <v>215</v>
      </c>
      <c r="C40" s="87"/>
      <c r="D40" s="88">
        <f>EHS!J88</f>
        <v>2024358.138</v>
      </c>
      <c r="E40" s="88">
        <f>'TK Stone MS'!J81</f>
        <v>1520933</v>
      </c>
      <c r="F40" s="88">
        <f>Helmwood!$J$80</f>
        <v>1210473</v>
      </c>
      <c r="G40" s="88">
        <f>Morningside!J90</f>
        <v>1372257</v>
      </c>
      <c r="H40" s="88">
        <f>'Panther Acad'!J83</f>
        <v>522415.5</v>
      </c>
      <c r="I40" s="89">
        <f>SUM(D40:H40)</f>
        <v>6650436.6380000003</v>
      </c>
    </row>
    <row r="41" spans="1:10">
      <c r="A41" s="90"/>
      <c r="B41" s="70" t="s">
        <v>462</v>
      </c>
      <c r="D41" s="91">
        <f t="shared" ref="D41:I41" si="1">ROUND(D40/D52,0)</f>
        <v>52040</v>
      </c>
      <c r="E41" s="91">
        <f t="shared" si="1"/>
        <v>53554</v>
      </c>
      <c r="F41" s="91">
        <f t="shared" si="1"/>
        <v>55022</v>
      </c>
      <c r="G41" s="91">
        <f t="shared" si="1"/>
        <v>52779</v>
      </c>
      <c r="H41" s="91">
        <f t="shared" si="1"/>
        <v>54991</v>
      </c>
      <c r="I41" s="277">
        <f t="shared" si="1"/>
        <v>53289</v>
      </c>
    </row>
    <row r="42" spans="1:10">
      <c r="A42" s="90"/>
      <c r="B42" s="70" t="s">
        <v>216</v>
      </c>
      <c r="D42" s="91">
        <f>EHS!F167+EHS!F170+EHS!F172</f>
        <v>0</v>
      </c>
      <c r="E42" s="91">
        <f>'TK Stone MS'!F155+'TK Stone MS'!F158+'TK Stone MS'!F160</f>
        <v>0</v>
      </c>
      <c r="F42" s="91">
        <f>Helmwood!F156+Helmwood!F159+Helmwood!F161</f>
        <v>0</v>
      </c>
      <c r="G42" s="91">
        <f>Morningside!F172+Morningside!F175+Morningside!F177</f>
        <v>0</v>
      </c>
      <c r="H42" s="91">
        <f>Morningside!G172+Morningside!G175+Morningside!G177</f>
        <v>0</v>
      </c>
      <c r="I42" s="144">
        <f>SUM(D42:G42)</f>
        <v>0</v>
      </c>
    </row>
    <row r="43" spans="1:10" ht="15">
      <c r="A43" s="90"/>
      <c r="B43" s="93" t="s">
        <v>217</v>
      </c>
      <c r="C43" s="94"/>
      <c r="D43" s="95">
        <f>EHS!D16</f>
        <v>30.4</v>
      </c>
      <c r="E43" s="95">
        <f>'TK Stone MS'!D14</f>
        <v>23</v>
      </c>
      <c r="F43" s="95">
        <f>Helmwood!C15</f>
        <v>15.8</v>
      </c>
      <c r="G43" s="95">
        <f>Morningside!C15</f>
        <v>19.2</v>
      </c>
      <c r="H43" s="95">
        <f>'Panther Acad'!C15</f>
        <v>3.6</v>
      </c>
      <c r="I43" s="343">
        <f>SUM(D43:H43)</f>
        <v>92</v>
      </c>
    </row>
    <row r="44" spans="1:10" ht="15">
      <c r="A44" s="90"/>
      <c r="B44" s="93" t="s">
        <v>449</v>
      </c>
      <c r="C44" s="94"/>
      <c r="D44" s="95">
        <f>EHS!D18</f>
        <v>32.699999999999996</v>
      </c>
      <c r="E44" s="95">
        <f>'TK Stone MS'!D16</f>
        <v>24.5</v>
      </c>
      <c r="F44" s="95">
        <f>Helmwood!C16</f>
        <v>19.2</v>
      </c>
      <c r="G44" s="95">
        <f>Morningside!C16</f>
        <v>23.4</v>
      </c>
      <c r="H44" s="95">
        <f>'Panther Acad'!C16</f>
        <v>8.3000000000000007</v>
      </c>
      <c r="I44" s="343">
        <f>SUM(D44:H44)</f>
        <v>108.09999999999998</v>
      </c>
    </row>
    <row r="45" spans="1:10" ht="15">
      <c r="A45" s="90"/>
      <c r="B45" s="93" t="s">
        <v>450</v>
      </c>
      <c r="C45" s="94"/>
      <c r="D45" s="95">
        <f>EHS!D22</f>
        <v>32.9</v>
      </c>
      <c r="E45" s="95">
        <f>'TK Stone MS'!D20</f>
        <v>24.4</v>
      </c>
      <c r="F45" s="96">
        <f>Helmwood!C19</f>
        <v>19</v>
      </c>
      <c r="G45" s="95">
        <f>Morningside!C19</f>
        <v>23</v>
      </c>
      <c r="H45" s="95">
        <f>'Panther Acad'!C19</f>
        <v>8</v>
      </c>
      <c r="I45" s="343">
        <f>SUM(D45:H45)</f>
        <v>107.3</v>
      </c>
    </row>
    <row r="46" spans="1:10">
      <c r="A46" s="90"/>
      <c r="B46" s="70" t="s">
        <v>218</v>
      </c>
      <c r="D46" s="97">
        <f t="shared" ref="D46:I46" si="2">D38/D45</f>
        <v>22.857142857142858</v>
      </c>
      <c r="E46" s="97">
        <f t="shared" si="2"/>
        <v>23.155737704918035</v>
      </c>
      <c r="F46" s="97">
        <f t="shared" si="2"/>
        <v>21.263157894736842</v>
      </c>
      <c r="G46" s="97">
        <f t="shared" si="2"/>
        <v>21.391304347826086</v>
      </c>
      <c r="H46" s="97">
        <f t="shared" si="2"/>
        <v>21.875</v>
      </c>
      <c r="I46" s="280">
        <f t="shared" si="2"/>
        <v>22.255358807082946</v>
      </c>
    </row>
    <row r="47" spans="1:10" ht="14.25">
      <c r="A47" s="90"/>
      <c r="B47" s="70" t="s">
        <v>219</v>
      </c>
      <c r="D47" s="97">
        <f>EHS!C82</f>
        <v>1</v>
      </c>
      <c r="E47" s="97">
        <f>'TK Stone MS'!C75</f>
        <v>1</v>
      </c>
      <c r="F47" s="97">
        <f>Helmwood!C74</f>
        <v>1</v>
      </c>
      <c r="G47" s="97">
        <f>Morningside!C84</f>
        <v>1</v>
      </c>
      <c r="H47" s="669">
        <f>'Panther Acad'!B40</f>
        <v>1</v>
      </c>
      <c r="I47" s="344">
        <f>SUM(D47:H47)</f>
        <v>5</v>
      </c>
    </row>
    <row r="48" spans="1:10">
      <c r="A48" s="90"/>
      <c r="B48" s="70" t="s">
        <v>499</v>
      </c>
      <c r="D48" s="97">
        <f>EHS!C83</f>
        <v>2</v>
      </c>
      <c r="E48" s="97">
        <f>'TK Stone MS'!C76</f>
        <v>1</v>
      </c>
      <c r="F48" s="97">
        <f>Helmwood!C75</f>
        <v>0</v>
      </c>
      <c r="G48" s="97">
        <f>Morningside!C85</f>
        <v>0</v>
      </c>
      <c r="H48" s="97">
        <f>Morningside!D85</f>
        <v>0</v>
      </c>
      <c r="I48" s="344">
        <f>SUM(D48:H48)</f>
        <v>3</v>
      </c>
    </row>
    <row r="49" spans="1:10">
      <c r="A49" s="90"/>
      <c r="B49" s="70" t="s">
        <v>220</v>
      </c>
      <c r="D49" s="97">
        <f>EHS!C84</f>
        <v>2</v>
      </c>
      <c r="E49" s="97">
        <f>'TK Stone MS'!C77</f>
        <v>1</v>
      </c>
      <c r="F49" s="97">
        <f>Helmwood!C76</f>
        <v>1</v>
      </c>
      <c r="G49" s="97">
        <f>Morningside!C86</f>
        <v>1</v>
      </c>
      <c r="H49" s="97">
        <f>Morningside!D86</f>
        <v>0</v>
      </c>
      <c r="I49" s="344">
        <f>SUM(D49:H49)</f>
        <v>5</v>
      </c>
    </row>
    <row r="50" spans="1:10" s="25" customFormat="1" ht="14.25">
      <c r="A50" s="90"/>
      <c r="B50" s="275" t="s">
        <v>221</v>
      </c>
      <c r="D50" s="279">
        <f>EHS!C85</f>
        <v>1</v>
      </c>
      <c r="E50" s="279">
        <f>'TK Stone MS'!C78</f>
        <v>1</v>
      </c>
      <c r="F50" s="97">
        <f>Helmwood!C77</f>
        <v>1</v>
      </c>
      <c r="G50" s="97">
        <f>Morningside!C87</f>
        <v>1</v>
      </c>
      <c r="H50" s="669">
        <f>'Panther Acad'!B48</f>
        <v>0.5</v>
      </c>
      <c r="I50" s="344">
        <f>SUM(D50:H50)</f>
        <v>4.5</v>
      </c>
      <c r="J50"/>
    </row>
    <row r="51" spans="1:10" s="25" customFormat="1">
      <c r="A51" s="90"/>
      <c r="B51" s="275" t="s">
        <v>222</v>
      </c>
      <c r="D51" s="279">
        <f>EHS!C86</f>
        <v>0</v>
      </c>
      <c r="E51" s="279">
        <f>'TK Stone MS'!C79</f>
        <v>0</v>
      </c>
      <c r="F51" s="97">
        <f>Helmwood!C78</f>
        <v>0</v>
      </c>
      <c r="G51" s="97">
        <f>Morningside!C88</f>
        <v>0</v>
      </c>
      <c r="H51" s="97">
        <f>Morningside!D88</f>
        <v>0</v>
      </c>
      <c r="I51" s="344">
        <f t="shared" ref="I51" si="3">SUM(D51:G51)</f>
        <v>0</v>
      </c>
      <c r="J51"/>
    </row>
    <row r="52" spans="1:10" ht="13.5" thickBot="1">
      <c r="A52" s="90"/>
      <c r="B52" s="100" t="s">
        <v>223</v>
      </c>
      <c r="C52" s="101"/>
      <c r="D52" s="102">
        <f>SUM(D47:D50)+D45</f>
        <v>38.9</v>
      </c>
      <c r="E52" s="102">
        <f>SUM(E47:E50)+E45</f>
        <v>28.4</v>
      </c>
      <c r="F52" s="102">
        <f>SUM(F47:F50)+F45</f>
        <v>22</v>
      </c>
      <c r="G52" s="102">
        <f>SUM(G47:G50)+G45</f>
        <v>26</v>
      </c>
      <c r="H52" s="102">
        <f>SUM(H47:H50)+H45</f>
        <v>9.5</v>
      </c>
      <c r="I52" s="339">
        <f>SUM(D52:H52)</f>
        <v>124.8</v>
      </c>
    </row>
    <row r="53" spans="1:10">
      <c r="A53" s="83"/>
      <c r="B53" s="103" t="s">
        <v>224</v>
      </c>
      <c r="C53" s="104"/>
      <c r="D53" s="105">
        <f t="shared" ref="D53:I53" si="4">D38/D52</f>
        <v>19.331619537275063</v>
      </c>
      <c r="E53" s="105">
        <f t="shared" si="4"/>
        <v>19.8943661971831</v>
      </c>
      <c r="F53" s="105">
        <f t="shared" si="4"/>
        <v>18.363636363636363</v>
      </c>
      <c r="G53" s="105">
        <f t="shared" si="4"/>
        <v>18.923076923076923</v>
      </c>
      <c r="H53" s="105">
        <f t="shared" si="4"/>
        <v>18.421052631578949</v>
      </c>
      <c r="I53" s="340">
        <f t="shared" si="4"/>
        <v>19.134615384615387</v>
      </c>
    </row>
    <row r="54" spans="1:10">
      <c r="A54" s="269" t="s">
        <v>225</v>
      </c>
      <c r="B54" s="270" t="s">
        <v>226</v>
      </c>
      <c r="C54" s="271"/>
      <c r="D54" s="272">
        <f>EHS!K128</f>
        <v>120329</v>
      </c>
      <c r="E54" s="272">
        <f>'TK Stone MS'!K119</f>
        <v>69675</v>
      </c>
      <c r="F54" s="272">
        <f>Helmwood!K119</f>
        <v>121024</v>
      </c>
      <c r="G54" s="272">
        <f>Morningside!K134</f>
        <v>123598</v>
      </c>
      <c r="H54" s="272">
        <f>'Panther Acad'!K123</f>
        <v>135669</v>
      </c>
      <c r="I54" s="273">
        <f>SUM(D54:H54)</f>
        <v>570295</v>
      </c>
    </row>
    <row r="55" spans="1:10">
      <c r="A55" s="274"/>
      <c r="B55" s="275" t="s">
        <v>227</v>
      </c>
      <c r="C55" s="25"/>
      <c r="D55" s="276">
        <f t="shared" ref="D55:I55" si="5">D54/D60</f>
        <v>20054.833333333332</v>
      </c>
      <c r="E55" s="276">
        <f t="shared" si="5"/>
        <v>16589.285714285714</v>
      </c>
      <c r="F55" s="276">
        <f t="shared" si="5"/>
        <v>15128</v>
      </c>
      <c r="G55" s="276">
        <f t="shared" si="5"/>
        <v>14045.227272727272</v>
      </c>
      <c r="H55" s="276">
        <f t="shared" si="5"/>
        <v>15074.333333333334</v>
      </c>
      <c r="I55" s="276">
        <f t="shared" si="5"/>
        <v>15841.527777777777</v>
      </c>
    </row>
    <row r="56" spans="1:10">
      <c r="A56" s="274"/>
      <c r="B56" s="275" t="s">
        <v>228</v>
      </c>
      <c r="C56" s="25"/>
      <c r="D56" s="276">
        <f>EHS!F166+EHS!F168+EHS!F169+EHS!F171+EHS!F173</f>
        <v>0</v>
      </c>
      <c r="E56" s="276">
        <f>'TK Stone MS'!F154+'TK Stone MS'!F156+'TK Stone MS'!F157+'TK Stone MS'!F159+'TK Stone MS'!F161</f>
        <v>0</v>
      </c>
      <c r="F56" s="276">
        <f>Helmwood!F155+Helmwood!F157+Helmwood!F158+Helmwood!F160+Helmwood!F162</f>
        <v>0</v>
      </c>
      <c r="G56" s="276">
        <f>Morningside!F171+Morningside!F173+Morningside!F176+Morningside!F174+Morningside!F178</f>
        <v>0</v>
      </c>
      <c r="H56" s="276">
        <f>Morningside!G171+Morningside!G173+Morningside!G176+Morningside!G174+Morningside!G178</f>
        <v>0</v>
      </c>
      <c r="I56" s="277">
        <f>SUM(D56:H56)</f>
        <v>0</v>
      </c>
    </row>
    <row r="57" spans="1:10">
      <c r="A57" s="274"/>
      <c r="B57" s="275" t="s">
        <v>229</v>
      </c>
      <c r="C57" s="25"/>
      <c r="D57" s="278">
        <f>EHS!D121</f>
        <v>3</v>
      </c>
      <c r="E57" s="278">
        <f>'TK Stone MS'!D113</f>
        <v>2</v>
      </c>
      <c r="F57" s="279">
        <f>Helmwood!D108</f>
        <v>2</v>
      </c>
      <c r="G57" s="279">
        <f>Morningside!D124</f>
        <v>2</v>
      </c>
      <c r="H57" s="279">
        <f>'Panther Acad'!D111</f>
        <v>1</v>
      </c>
      <c r="I57" s="280">
        <f>SUM(D57:H57)</f>
        <v>10</v>
      </c>
    </row>
    <row r="58" spans="1:10">
      <c r="A58" s="274"/>
      <c r="B58" s="275" t="s">
        <v>230</v>
      </c>
      <c r="C58" s="25"/>
      <c r="D58" s="278">
        <f>EHS!D127</f>
        <v>3</v>
      </c>
      <c r="E58" s="278">
        <f>'TK Stone MS'!D118:D118</f>
        <v>2.2000000000000002</v>
      </c>
      <c r="F58" s="279">
        <f>Helmwood!D118</f>
        <v>6</v>
      </c>
      <c r="G58" s="279">
        <f>Morningside!D133</f>
        <v>6.8000000000000007</v>
      </c>
      <c r="H58" s="279">
        <f>'Panther Acad'!D122</f>
        <v>8</v>
      </c>
      <c r="I58" s="280">
        <f>SUM(D58:H58)</f>
        <v>26</v>
      </c>
    </row>
    <row r="59" spans="1:10">
      <c r="A59" s="274"/>
      <c r="B59" s="462" t="s">
        <v>231</v>
      </c>
      <c r="C59" s="7"/>
      <c r="D59" s="25"/>
      <c r="E59" s="25"/>
      <c r="F59" s="25"/>
      <c r="G59" s="25"/>
      <c r="H59" s="25"/>
      <c r="I59" s="280">
        <f>SUM(D59:H59)</f>
        <v>0</v>
      </c>
    </row>
    <row r="60" spans="1:10">
      <c r="A60" s="281" t="s">
        <v>232</v>
      </c>
      <c r="B60" s="25"/>
      <c r="C60" s="25"/>
      <c r="D60" s="268">
        <f t="shared" ref="D60:I60" si="6">SUM(D57:D59)</f>
        <v>6</v>
      </c>
      <c r="E60" s="268">
        <f t="shared" si="6"/>
        <v>4.2</v>
      </c>
      <c r="F60" s="268">
        <f t="shared" si="6"/>
        <v>8</v>
      </c>
      <c r="G60" s="268">
        <f t="shared" si="6"/>
        <v>8.8000000000000007</v>
      </c>
      <c r="H60" s="268">
        <f t="shared" si="6"/>
        <v>9</v>
      </c>
      <c r="I60" s="341">
        <f t="shared" si="6"/>
        <v>36</v>
      </c>
    </row>
    <row r="61" spans="1:10">
      <c r="A61" s="282"/>
      <c r="B61" s="283" t="s">
        <v>233</v>
      </c>
      <c r="C61" s="7"/>
      <c r="D61" s="284">
        <f t="shared" ref="D61:I61" si="7">D38/D60</f>
        <v>125.33333333333333</v>
      </c>
      <c r="E61" s="284">
        <f t="shared" si="7"/>
        <v>134.52380952380952</v>
      </c>
      <c r="F61" s="284">
        <f t="shared" si="7"/>
        <v>50.5</v>
      </c>
      <c r="G61" s="284">
        <f t="shared" si="7"/>
        <v>55.909090909090907</v>
      </c>
      <c r="H61" s="284">
        <f t="shared" si="7"/>
        <v>19.444444444444443</v>
      </c>
      <c r="I61" s="285">
        <f t="shared" si="7"/>
        <v>66.333333333333329</v>
      </c>
    </row>
    <row r="62" spans="1:10">
      <c r="A62" s="274"/>
      <c r="B62" s="275" t="s">
        <v>234</v>
      </c>
      <c r="C62" s="25"/>
      <c r="D62" s="278">
        <f>EHS!D137</f>
        <v>5</v>
      </c>
      <c r="E62" s="278">
        <f>'TK Stone MS'!D125</f>
        <v>3</v>
      </c>
      <c r="F62" s="279">
        <f>Helmwood!D125</f>
        <v>2.5</v>
      </c>
      <c r="G62" s="279">
        <f>Morningside!D140</f>
        <v>2.5</v>
      </c>
      <c r="H62" s="279">
        <f>'Panther Acad'!D128</f>
        <v>1</v>
      </c>
      <c r="I62" s="280">
        <f>SUM(D62:H62)</f>
        <v>14</v>
      </c>
    </row>
    <row r="63" spans="1:10">
      <c r="A63" s="274"/>
      <c r="B63" s="275" t="s">
        <v>235</v>
      </c>
      <c r="C63" s="25"/>
      <c r="D63" s="276">
        <v>0</v>
      </c>
      <c r="E63" s="276">
        <v>0</v>
      </c>
      <c r="F63" s="276">
        <v>0</v>
      </c>
      <c r="G63" s="276">
        <v>0</v>
      </c>
      <c r="H63" s="276">
        <v>0</v>
      </c>
      <c r="I63" s="277">
        <v>0</v>
      </c>
    </row>
    <row r="64" spans="1:10">
      <c r="A64" s="274"/>
      <c r="B64" s="103" t="s">
        <v>236</v>
      </c>
      <c r="C64" s="104"/>
      <c r="D64" s="107">
        <f>EHS!K137</f>
        <v>119912</v>
      </c>
      <c r="E64" s="107">
        <f>'TK Stone MS'!K125</f>
        <v>69306</v>
      </c>
      <c r="F64" s="107">
        <f>Helmwood!K125</f>
        <v>62504</v>
      </c>
      <c r="G64" s="107">
        <f>Morningside!K140</f>
        <v>59468</v>
      </c>
      <c r="H64" s="107">
        <f>'Panther Acad'!K128</f>
        <v>18274</v>
      </c>
      <c r="I64" s="342">
        <f>SUM(D64:H64)</f>
        <v>329464</v>
      </c>
    </row>
    <row r="65" spans="1:13">
      <c r="A65" s="282"/>
      <c r="B65" s="283" t="s">
        <v>237</v>
      </c>
      <c r="C65" s="7"/>
      <c r="D65" s="284">
        <f t="shared" ref="D65:I65" si="8">D38/D62</f>
        <v>150.4</v>
      </c>
      <c r="E65" s="284">
        <f t="shared" si="8"/>
        <v>188.33333333333334</v>
      </c>
      <c r="F65" s="284">
        <f t="shared" si="8"/>
        <v>161.6</v>
      </c>
      <c r="G65" s="284">
        <f t="shared" si="8"/>
        <v>196.8</v>
      </c>
      <c r="H65" s="284">
        <f t="shared" si="8"/>
        <v>175</v>
      </c>
      <c r="I65" s="284">
        <f t="shared" si="8"/>
        <v>170.57142857142858</v>
      </c>
    </row>
    <row r="66" spans="1:13">
      <c r="A66" s="108" t="s">
        <v>238</v>
      </c>
      <c r="B66" s="109" t="s">
        <v>239</v>
      </c>
      <c r="C66" s="110"/>
      <c r="D66" s="111">
        <f>+D56+D42</f>
        <v>0</v>
      </c>
      <c r="E66" s="111">
        <f>+E56+E42</f>
        <v>0</v>
      </c>
      <c r="F66" s="111">
        <f>+F56+F42</f>
        <v>0</v>
      </c>
      <c r="G66" s="111">
        <f>+G56+G42</f>
        <v>0</v>
      </c>
      <c r="H66" s="111">
        <f>+H56+H42</f>
        <v>0</v>
      </c>
      <c r="I66" s="112">
        <f>SUM(D66:G66)</f>
        <v>0</v>
      </c>
    </row>
    <row r="67" spans="1:13">
      <c r="A67" s="85" t="s">
        <v>240</v>
      </c>
      <c r="B67" s="86" t="s">
        <v>241</v>
      </c>
      <c r="C67" s="87"/>
      <c r="D67" s="87"/>
      <c r="E67" s="87"/>
      <c r="F67" s="87"/>
      <c r="G67" s="87"/>
      <c r="H67" s="87"/>
      <c r="I67" s="113"/>
    </row>
    <row r="68" spans="1:13" ht="13.5" thickBot="1">
      <c r="A68" s="90"/>
      <c r="B68" s="22" t="s">
        <v>242</v>
      </c>
      <c r="D68" s="145">
        <f>ROUND(D39*$D$70,0)</f>
        <v>75642</v>
      </c>
      <c r="E68" s="145">
        <f>ROUND(E39*$D$70,0)</f>
        <v>56837</v>
      </c>
      <c r="F68" s="145">
        <f>ROUND(F39*$D$70,0)</f>
        <v>40635</v>
      </c>
      <c r="G68" s="145">
        <f>ROUND(G39*$D$70,0)</f>
        <v>49487</v>
      </c>
      <c r="H68" s="145">
        <f>ROUND(H39*$D$70,0)</f>
        <v>17609</v>
      </c>
      <c r="I68" s="144">
        <f>SUM(D68:H68)</f>
        <v>240210</v>
      </c>
      <c r="M68" t="s">
        <v>326</v>
      </c>
    </row>
    <row r="69" spans="1:13" ht="15.75" thickBot="1">
      <c r="A69" s="90"/>
      <c r="B69" s="22" t="s">
        <v>243</v>
      </c>
      <c r="C69" s="403">
        <v>3000</v>
      </c>
      <c r="D69" s="114"/>
      <c r="E69" s="114"/>
      <c r="F69" s="114"/>
      <c r="G69" s="114"/>
      <c r="H69" s="114"/>
      <c r="I69" s="115"/>
    </row>
    <row r="70" spans="1:13">
      <c r="A70" s="83"/>
      <c r="B70" s="116" t="s">
        <v>244</v>
      </c>
      <c r="C70" s="104"/>
      <c r="D70" s="117">
        <f>C69*0.035</f>
        <v>105.00000000000001</v>
      </c>
      <c r="E70" s="117">
        <f>$D$70</f>
        <v>105.00000000000001</v>
      </c>
      <c r="F70" s="117">
        <f>$D$70</f>
        <v>105.00000000000001</v>
      </c>
      <c r="G70" s="117">
        <f>$D$70</f>
        <v>105.00000000000001</v>
      </c>
      <c r="H70" s="117">
        <f>$D$70</f>
        <v>105.00000000000001</v>
      </c>
      <c r="I70" s="118">
        <f>$D$70</f>
        <v>105.00000000000001</v>
      </c>
    </row>
    <row r="71" spans="1:13">
      <c r="A71" s="108" t="s">
        <v>245</v>
      </c>
      <c r="B71" s="109" t="s">
        <v>246</v>
      </c>
      <c r="C71" s="110"/>
      <c r="D71" s="313">
        <v>0</v>
      </c>
      <c r="E71" s="313">
        <f>+$I$110</f>
        <v>0</v>
      </c>
      <c r="F71" s="313">
        <f>$I$106</f>
        <v>0</v>
      </c>
      <c r="G71" s="313">
        <f>$I$108</f>
        <v>0</v>
      </c>
      <c r="H71" s="313">
        <f>$I$108</f>
        <v>0</v>
      </c>
      <c r="I71" s="119">
        <f>SUM(D71:G71)</f>
        <v>0</v>
      </c>
    </row>
    <row r="72" spans="1:13">
      <c r="B72" t="s">
        <v>13</v>
      </c>
      <c r="D72" s="307">
        <f t="shared" ref="D72:I72" si="9">D71+D68+D66+D64+D54+D40</f>
        <v>2340241.1380000003</v>
      </c>
      <c r="E72" s="307">
        <f t="shared" si="9"/>
        <v>1716751</v>
      </c>
      <c r="F72" s="307">
        <f t="shared" si="9"/>
        <v>1434636</v>
      </c>
      <c r="G72" s="307">
        <f t="shared" si="9"/>
        <v>1604810</v>
      </c>
      <c r="H72" s="307">
        <f t="shared" si="9"/>
        <v>693967.5</v>
      </c>
      <c r="I72" s="307">
        <f t="shared" si="9"/>
        <v>7790405.6380000003</v>
      </c>
    </row>
    <row r="73" spans="1:13" ht="18">
      <c r="C73" s="120" t="s">
        <v>247</v>
      </c>
      <c r="I73" s="120" t="str">
        <f>+G36</f>
        <v>2013-2014</v>
      </c>
    </row>
    <row r="74" spans="1:13" ht="13.5" thickBot="1"/>
    <row r="75" spans="1:13">
      <c r="B75" s="121" t="s">
        <v>248</v>
      </c>
      <c r="C75" s="122"/>
      <c r="D75" s="122"/>
      <c r="E75" s="122"/>
      <c r="F75" s="122"/>
      <c r="G75" s="122"/>
      <c r="H75" s="122"/>
      <c r="I75" s="123" t="s">
        <v>28</v>
      </c>
    </row>
    <row r="76" spans="1:13" ht="13.5" thickBot="1">
      <c r="B76" s="124" t="s">
        <v>249</v>
      </c>
      <c r="C76" s="29"/>
      <c r="D76" s="334" t="str">
        <f>$C$8</f>
        <v>E'town H/S</v>
      </c>
      <c r="E76" s="334" t="str">
        <f>$C$9</f>
        <v>T. K. Stone M/S</v>
      </c>
      <c r="F76" s="334" t="str">
        <f>$C$10</f>
        <v>Helmwood</v>
      </c>
      <c r="G76" s="334" t="str">
        <f>$C$11</f>
        <v>Morningside</v>
      </c>
      <c r="H76" s="334" t="s">
        <v>551</v>
      </c>
      <c r="I76" s="30"/>
    </row>
    <row r="77" spans="1:13" ht="18.75">
      <c r="B77" s="125"/>
    </row>
    <row r="78" spans="1:13" ht="15.75">
      <c r="B78" s="73" t="s">
        <v>4</v>
      </c>
      <c r="D78" s="286">
        <f>+D40</f>
        <v>2024358.138</v>
      </c>
      <c r="E78" s="286">
        <f>+E40</f>
        <v>1520933</v>
      </c>
      <c r="F78" s="286">
        <f>+F40</f>
        <v>1210473</v>
      </c>
      <c r="G78" s="286">
        <f>+G40</f>
        <v>1372257</v>
      </c>
      <c r="H78" s="286">
        <f>+H40</f>
        <v>522415.5</v>
      </c>
      <c r="I78" s="126">
        <f>SUM(D78:H78)</f>
        <v>6650436.6380000003</v>
      </c>
    </row>
    <row r="79" spans="1:13" ht="15.75">
      <c r="B79" s="73" t="s">
        <v>15</v>
      </c>
      <c r="D79" s="127">
        <f>D54</f>
        <v>120329</v>
      </c>
      <c r="E79" s="127">
        <f>E54</f>
        <v>69675</v>
      </c>
      <c r="F79" s="127">
        <f>F54</f>
        <v>121024</v>
      </c>
      <c r="G79" s="127">
        <f>G54</f>
        <v>123598</v>
      </c>
      <c r="H79" s="127">
        <f>H54</f>
        <v>135669</v>
      </c>
      <c r="I79" s="126">
        <f t="shared" ref="I79:I84" si="10">SUM(D79:H79)</f>
        <v>570295</v>
      </c>
    </row>
    <row r="80" spans="1:13" ht="15.75">
      <c r="B80" s="73" t="s">
        <v>250</v>
      </c>
      <c r="D80" s="127">
        <f>+D64</f>
        <v>119912</v>
      </c>
      <c r="E80" s="127">
        <f>+E64</f>
        <v>69306</v>
      </c>
      <c r="F80" s="127">
        <f>+F64</f>
        <v>62504</v>
      </c>
      <c r="G80" s="127">
        <f>+G64</f>
        <v>59468</v>
      </c>
      <c r="H80" s="127">
        <f>+H64</f>
        <v>18274</v>
      </c>
      <c r="I80" s="126">
        <f t="shared" si="10"/>
        <v>329464</v>
      </c>
    </row>
    <row r="81" spans="2:9" ht="15.75">
      <c r="B81" s="73" t="s">
        <v>12</v>
      </c>
      <c r="D81" s="127">
        <f>+D66</f>
        <v>0</v>
      </c>
      <c r="E81" s="127">
        <f>+E66</f>
        <v>0</v>
      </c>
      <c r="F81" s="127">
        <f>+F66</f>
        <v>0</v>
      </c>
      <c r="G81" s="127">
        <f>+G66</f>
        <v>0</v>
      </c>
      <c r="H81" s="127">
        <f>+H66</f>
        <v>0</v>
      </c>
      <c r="I81" s="126">
        <f t="shared" ref="I81:I83" si="11">SUM(D81:G81)</f>
        <v>0</v>
      </c>
    </row>
    <row r="82" spans="2:9" ht="15.75">
      <c r="B82" s="73" t="s">
        <v>251</v>
      </c>
      <c r="D82" s="127">
        <f>+D68</f>
        <v>75642</v>
      </c>
      <c r="E82" s="127">
        <f>+E68</f>
        <v>56837</v>
      </c>
      <c r="F82" s="127">
        <f>+F68</f>
        <v>40635</v>
      </c>
      <c r="G82" s="127">
        <f>+G68</f>
        <v>49487</v>
      </c>
      <c r="H82" s="127">
        <f>+H68</f>
        <v>17609</v>
      </c>
      <c r="I82" s="126">
        <f t="shared" si="10"/>
        <v>240210</v>
      </c>
    </row>
    <row r="83" spans="2:9" ht="16.5" thickBot="1">
      <c r="B83" s="308" t="s">
        <v>252</v>
      </c>
      <c r="C83" s="219"/>
      <c r="D83" s="309">
        <f>+$I$112</f>
        <v>0</v>
      </c>
      <c r="E83" s="309">
        <f>$I$110</f>
        <v>0</v>
      </c>
      <c r="F83" s="309">
        <f>$I$106</f>
        <v>0</v>
      </c>
      <c r="G83" s="309">
        <f>$I$108</f>
        <v>0</v>
      </c>
      <c r="H83" s="309">
        <f>$I$108</f>
        <v>0</v>
      </c>
      <c r="I83" s="310">
        <f t="shared" si="11"/>
        <v>0</v>
      </c>
    </row>
    <row r="84" spans="2:9" ht="17.25" thickTop="1" thickBot="1">
      <c r="B84" s="311" t="s">
        <v>13</v>
      </c>
      <c r="C84" s="311"/>
      <c r="D84" s="312">
        <f>SUM(D78:D83)</f>
        <v>2340241.1380000003</v>
      </c>
      <c r="E84" s="312">
        <f>SUM(E78:E83)</f>
        <v>1716751</v>
      </c>
      <c r="F84" s="312">
        <f>SUM(F78:F83)</f>
        <v>1434636</v>
      </c>
      <c r="G84" s="312">
        <f>SUM(G78:G83)</f>
        <v>1604810</v>
      </c>
      <c r="H84" s="312">
        <f>SUM(H78:H83)</f>
        <v>693967.5</v>
      </c>
      <c r="I84" s="670">
        <f t="shared" si="10"/>
        <v>7790405.6380000003</v>
      </c>
    </row>
    <row r="85" spans="2:9" ht="15.75">
      <c r="B85" s="251"/>
      <c r="C85" s="251"/>
      <c r="D85" s="349"/>
      <c r="E85" s="349"/>
      <c r="F85" s="349"/>
      <c r="G85" s="349"/>
      <c r="H85" s="349"/>
      <c r="I85" s="126"/>
    </row>
    <row r="86" spans="2:9" ht="15.75">
      <c r="B86" s="128" t="s">
        <v>253</v>
      </c>
      <c r="C86" s="128"/>
      <c r="D86" s="129">
        <f t="shared" ref="D86:I86" si="12">D84/D38</f>
        <v>3112.0227898936173</v>
      </c>
      <c r="E86" s="129">
        <f t="shared" si="12"/>
        <v>3038.4973451327432</v>
      </c>
      <c r="F86" s="129">
        <f t="shared" si="12"/>
        <v>3551.0792079207922</v>
      </c>
      <c r="G86" s="129">
        <f t="shared" si="12"/>
        <v>3261.8089430894311</v>
      </c>
      <c r="H86" s="129">
        <f t="shared" si="12"/>
        <v>3965.5285714285715</v>
      </c>
      <c r="I86" s="129">
        <f t="shared" si="12"/>
        <v>3262.3139187604693</v>
      </c>
    </row>
    <row r="87" spans="2:9" ht="15">
      <c r="B87" s="251"/>
      <c r="C87" s="251"/>
      <c r="D87" s="349"/>
      <c r="E87" s="349"/>
      <c r="F87" s="349"/>
      <c r="G87" s="349"/>
      <c r="H87" s="349"/>
      <c r="I87" s="349"/>
    </row>
    <row r="88" spans="2:9">
      <c r="B88" s="70" t="s">
        <v>254</v>
      </c>
    </row>
    <row r="89" spans="2:9">
      <c r="B89" s="70" t="s">
        <v>255</v>
      </c>
    </row>
    <row r="91" spans="2:9">
      <c r="B91" s="91">
        <f>ROUND(I41*0.95,0)</f>
        <v>50625</v>
      </c>
      <c r="C91" s="70" t="s">
        <v>463</v>
      </c>
    </row>
    <row r="92" spans="2:9">
      <c r="B92" s="91">
        <v>0</v>
      </c>
      <c r="C92" s="22" t="s">
        <v>256</v>
      </c>
    </row>
    <row r="93" spans="2:9">
      <c r="B93" s="91">
        <f>ROUND(I55*0.95,0)</f>
        <v>15049</v>
      </c>
      <c r="C93" s="22" t="s">
        <v>257</v>
      </c>
    </row>
    <row r="94" spans="2:9">
      <c r="B94" s="91"/>
      <c r="C94" s="22"/>
    </row>
    <row r="95" spans="2:9" ht="13.5" thickBot="1">
      <c r="B95" s="91"/>
      <c r="C95" s="22"/>
    </row>
    <row r="96" spans="2:9" ht="13.5" thickBot="1">
      <c r="B96" s="480">
        <v>0.95799999999999996</v>
      </c>
      <c r="C96" s="70" t="s">
        <v>494</v>
      </c>
    </row>
    <row r="98" spans="1:10" ht="15.75">
      <c r="B98" s="251"/>
      <c r="C98" s="335" t="s">
        <v>17</v>
      </c>
      <c r="D98" s="252"/>
      <c r="E98" s="252"/>
      <c r="F98" s="252"/>
      <c r="G98" s="252"/>
      <c r="H98" s="252"/>
      <c r="I98" s="252"/>
      <c r="J98" s="252"/>
    </row>
    <row r="99" spans="1:10" ht="16.5" thickBot="1">
      <c r="B99" s="251"/>
      <c r="C99" s="251"/>
      <c r="D99" s="252"/>
      <c r="E99" s="252"/>
      <c r="F99" s="252"/>
      <c r="G99" s="252"/>
      <c r="H99" s="252"/>
      <c r="I99" s="252"/>
      <c r="J99" s="252"/>
    </row>
    <row r="100" spans="1:10">
      <c r="A100" s="16" t="s">
        <v>6</v>
      </c>
      <c r="B100" s="122"/>
      <c r="C100" s="297" t="s">
        <v>151</v>
      </c>
      <c r="D100" s="291" t="s">
        <v>139</v>
      </c>
      <c r="E100" s="298" t="s">
        <v>258</v>
      </c>
      <c r="F100" s="297" t="s">
        <v>152</v>
      </c>
      <c r="G100" s="297" t="s">
        <v>153</v>
      </c>
      <c r="H100" s="297"/>
      <c r="I100" s="294" t="s">
        <v>28</v>
      </c>
    </row>
    <row r="101" spans="1:10">
      <c r="A101" s="17"/>
      <c r="B101" s="25"/>
      <c r="C101" s="470" t="s">
        <v>399</v>
      </c>
      <c r="D101" s="302" t="s">
        <v>150</v>
      </c>
      <c r="E101" s="301" t="s">
        <v>259</v>
      </c>
      <c r="F101" s="301" t="s">
        <v>260</v>
      </c>
      <c r="G101" s="301" t="s">
        <v>260</v>
      </c>
      <c r="H101" s="301"/>
      <c r="I101" s="296" t="s">
        <v>259</v>
      </c>
    </row>
    <row r="102" spans="1:10" ht="13.5" thickBot="1">
      <c r="A102" s="18"/>
      <c r="B102" s="29"/>
      <c r="C102" s="292" t="s">
        <v>398</v>
      </c>
      <c r="D102" s="292"/>
      <c r="E102" s="293"/>
      <c r="F102" s="390">
        <v>0</v>
      </c>
      <c r="G102" s="390">
        <v>0</v>
      </c>
      <c r="H102" s="390"/>
      <c r="I102" s="295"/>
    </row>
    <row r="103" spans="1:10">
      <c r="A103" s="17"/>
      <c r="B103" s="25"/>
      <c r="C103" s="302"/>
      <c r="D103" s="302"/>
      <c r="E103" s="301"/>
      <c r="F103" s="672"/>
      <c r="G103" s="672"/>
      <c r="H103" s="672"/>
      <c r="I103" s="296"/>
    </row>
    <row r="104" spans="1:10">
      <c r="A104" s="68" t="s">
        <v>564</v>
      </c>
      <c r="B104" s="7"/>
      <c r="C104" s="7">
        <v>85</v>
      </c>
      <c r="D104" s="318">
        <f>H39*0.5</f>
        <v>83.85</v>
      </c>
      <c r="E104" s="7">
        <v>0</v>
      </c>
      <c r="F104" s="299">
        <f>ROUND(C104*$F$102,0)</f>
        <v>0</v>
      </c>
      <c r="G104" s="299">
        <f>ROUND(D104*$G$102,0)</f>
        <v>0</v>
      </c>
      <c r="H104" s="299"/>
      <c r="I104" s="303">
        <f>SUM(E104:G104)</f>
        <v>0</v>
      </c>
    </row>
    <row r="105" spans="1:10">
      <c r="A105" s="17"/>
      <c r="B105" s="25"/>
      <c r="C105" s="25"/>
      <c r="D105" s="25"/>
      <c r="E105" s="25"/>
      <c r="F105" s="25"/>
      <c r="G105" s="25"/>
      <c r="H105" s="25"/>
      <c r="I105" s="296"/>
    </row>
    <row r="106" spans="1:10">
      <c r="A106" s="68" t="s">
        <v>295</v>
      </c>
      <c r="B106" s="7"/>
      <c r="C106" s="7">
        <v>277</v>
      </c>
      <c r="D106" s="318">
        <f>F39</f>
        <v>387</v>
      </c>
      <c r="E106" s="7">
        <v>0</v>
      </c>
      <c r="F106" s="299">
        <f>ROUND(C106*$F$102,0)</f>
        <v>0</v>
      </c>
      <c r="G106" s="299">
        <f>ROUND(D106*$G$102,0)</f>
        <v>0</v>
      </c>
      <c r="H106" s="299"/>
      <c r="I106" s="303">
        <f>SUM(E106:G106)</f>
        <v>0</v>
      </c>
    </row>
    <row r="107" spans="1:10">
      <c r="A107" s="17"/>
      <c r="B107" s="25"/>
      <c r="C107" s="25"/>
      <c r="D107" s="319"/>
      <c r="E107" s="305"/>
      <c r="F107" s="25"/>
      <c r="G107" s="25"/>
      <c r="H107" s="25"/>
      <c r="I107" s="26"/>
    </row>
    <row r="108" spans="1:10">
      <c r="A108" s="68" t="s">
        <v>261</v>
      </c>
      <c r="B108" s="7"/>
      <c r="C108" s="7">
        <v>269</v>
      </c>
      <c r="D108" s="318">
        <f>G39</f>
        <v>471.3</v>
      </c>
      <c r="E108" s="7">
        <v>0</v>
      </c>
      <c r="F108" s="299">
        <f>ROUND(C108*$F$102,0)</f>
        <v>0</v>
      </c>
      <c r="G108" s="299">
        <f>ROUND(D108*$G$102,0)</f>
        <v>0</v>
      </c>
      <c r="H108" s="299"/>
      <c r="I108" s="303">
        <f>SUM(E108:G108)</f>
        <v>0</v>
      </c>
    </row>
    <row r="109" spans="1:10">
      <c r="A109" s="17"/>
      <c r="B109" s="25"/>
      <c r="C109" s="25"/>
      <c r="D109" s="319"/>
      <c r="E109" s="25"/>
      <c r="F109" s="25"/>
      <c r="G109" s="25"/>
      <c r="H109" s="25"/>
      <c r="I109" s="26"/>
    </row>
    <row r="110" spans="1:10">
      <c r="A110" s="68" t="s">
        <v>296</v>
      </c>
      <c r="B110" s="7"/>
      <c r="C110" s="7">
        <v>236</v>
      </c>
      <c r="D110" s="318">
        <f>E39</f>
        <v>541.29999999999995</v>
      </c>
      <c r="E110" s="7">
        <v>0</v>
      </c>
      <c r="F110" s="299">
        <f>ROUND(C110*$F$102,0)</f>
        <v>0</v>
      </c>
      <c r="G110" s="299">
        <f>ROUND(D110*$G$102,0)</f>
        <v>0</v>
      </c>
      <c r="H110" s="299"/>
      <c r="I110" s="303">
        <f>SUM(E110:G110)</f>
        <v>0</v>
      </c>
    </row>
    <row r="111" spans="1:10">
      <c r="A111" s="17"/>
      <c r="B111" s="25"/>
      <c r="C111" s="25"/>
      <c r="D111" s="319"/>
      <c r="E111" s="25"/>
      <c r="F111" s="25"/>
      <c r="G111" s="25"/>
      <c r="H111" s="25"/>
      <c r="I111" s="26"/>
    </row>
    <row r="112" spans="1:10" ht="13.5" thickBot="1">
      <c r="A112" s="290" t="s">
        <v>297</v>
      </c>
      <c r="B112" s="25"/>
      <c r="C112" s="25">
        <v>288</v>
      </c>
      <c r="D112" s="319">
        <f>D39</f>
        <v>720.4</v>
      </c>
      <c r="E112" s="219">
        <v>0</v>
      </c>
      <c r="F112" s="300">
        <f>ROUND(C112*$F$102,0)</f>
        <v>0</v>
      </c>
      <c r="G112" s="300">
        <f>ROUND(D112*$G$102,0)</f>
        <v>0</v>
      </c>
      <c r="H112" s="300"/>
      <c r="I112" s="304">
        <f>SUM(E112:G112)</f>
        <v>0</v>
      </c>
    </row>
    <row r="113" spans="1:9" ht="13.5" thickTop="1">
      <c r="A113" s="287"/>
      <c r="B113" s="288"/>
      <c r="C113" s="288" t="s">
        <v>326</v>
      </c>
      <c r="D113" s="320"/>
      <c r="E113" s="306"/>
      <c r="F113" s="288"/>
      <c r="G113" s="288"/>
      <c r="H113" s="288"/>
      <c r="I113" s="289"/>
    </row>
    <row r="114" spans="1:9" ht="13.5" thickBot="1">
      <c r="A114" s="18"/>
      <c r="B114" s="29"/>
      <c r="C114" s="29">
        <f>SUM(C104:C112)</f>
        <v>1155</v>
      </c>
      <c r="D114" s="321">
        <f>SUM(D104:D112)</f>
        <v>2203.85</v>
      </c>
      <c r="E114" s="321">
        <f t="shared" ref="E114:I114" si="13">SUM(E104:E112)</f>
        <v>0</v>
      </c>
      <c r="F114" s="321">
        <f t="shared" si="13"/>
        <v>0</v>
      </c>
      <c r="G114" s="321">
        <f t="shared" si="13"/>
        <v>0</v>
      </c>
      <c r="H114" s="321" t="s">
        <v>326</v>
      </c>
      <c r="I114" s="321">
        <f t="shared" si="13"/>
        <v>0</v>
      </c>
    </row>
    <row r="115" spans="1:9">
      <c r="A115" s="25"/>
    </row>
    <row r="116" spans="1:9">
      <c r="A116" s="22" t="s">
        <v>262</v>
      </c>
      <c r="C116" s="391">
        <v>0</v>
      </c>
      <c r="D116" s="391">
        <v>0</v>
      </c>
      <c r="E116" s="392">
        <v>0</v>
      </c>
      <c r="F116" s="393">
        <v>0</v>
      </c>
      <c r="G116" s="393">
        <v>0</v>
      </c>
      <c r="H116" s="393"/>
      <c r="I116" s="393" t="s">
        <v>326</v>
      </c>
    </row>
    <row r="117" spans="1:9">
      <c r="F117" t="s">
        <v>326</v>
      </c>
    </row>
    <row r="118" spans="1:9">
      <c r="A118" t="s">
        <v>326</v>
      </c>
      <c r="B118" t="s">
        <v>616</v>
      </c>
      <c r="C118" s="22" t="s">
        <v>263</v>
      </c>
    </row>
    <row r="119" spans="1:9">
      <c r="B119" s="471">
        <v>0</v>
      </c>
    </row>
    <row r="120" spans="1:9">
      <c r="B120" s="250">
        <v>0</v>
      </c>
      <c r="C120" s="250">
        <v>1</v>
      </c>
      <c r="D120" s="250">
        <v>2</v>
      </c>
      <c r="E120" s="250">
        <v>3</v>
      </c>
      <c r="F120" s="250">
        <v>4</v>
      </c>
      <c r="G120" s="250">
        <v>5</v>
      </c>
      <c r="H120" s="250"/>
    </row>
    <row r="121" spans="1:9">
      <c r="B121" s="250">
        <v>0</v>
      </c>
      <c r="C121" s="586">
        <v>42366</v>
      </c>
      <c r="D121" s="586">
        <v>38733</v>
      </c>
      <c r="E121" s="586">
        <v>36055</v>
      </c>
      <c r="F121" s="586">
        <v>26042</v>
      </c>
      <c r="G121" s="586">
        <v>0</v>
      </c>
      <c r="H121" s="586"/>
    </row>
    <row r="122" spans="1:9">
      <c r="B122" s="250">
        <v>1</v>
      </c>
      <c r="C122" s="586">
        <v>42968</v>
      </c>
      <c r="D122" s="586">
        <v>39330</v>
      </c>
      <c r="E122" s="586">
        <v>36650</v>
      </c>
      <c r="F122" s="586">
        <f>F121</f>
        <v>26042</v>
      </c>
      <c r="G122" s="586">
        <f>G121</f>
        <v>0</v>
      </c>
      <c r="H122" s="586"/>
    </row>
    <row r="123" spans="1:9">
      <c r="B123" s="250">
        <v>2</v>
      </c>
      <c r="C123" s="586">
        <v>43563</v>
      </c>
      <c r="D123" s="586">
        <v>39936</v>
      </c>
      <c r="E123" s="586">
        <v>37257</v>
      </c>
      <c r="F123" s="586">
        <f t="shared" ref="F123:F151" si="14">F122</f>
        <v>26042</v>
      </c>
      <c r="G123" s="586">
        <f t="shared" ref="G123:G151" si="15">G122</f>
        <v>0</v>
      </c>
      <c r="H123" s="586"/>
    </row>
    <row r="124" spans="1:9">
      <c r="B124" s="250">
        <v>3</v>
      </c>
      <c r="C124" s="586">
        <v>44168</v>
      </c>
      <c r="D124" s="586">
        <v>40530</v>
      </c>
      <c r="E124" s="586">
        <v>37860</v>
      </c>
      <c r="F124" s="586">
        <f t="shared" si="14"/>
        <v>26042</v>
      </c>
      <c r="G124" s="586">
        <f t="shared" si="15"/>
        <v>0</v>
      </c>
      <c r="H124" s="586"/>
    </row>
    <row r="125" spans="1:9">
      <c r="B125" s="250">
        <v>4</v>
      </c>
      <c r="C125" s="586">
        <v>46318</v>
      </c>
      <c r="D125" s="586">
        <v>42496</v>
      </c>
      <c r="E125" s="586">
        <v>39103</v>
      </c>
      <c r="F125" s="586">
        <f t="shared" si="14"/>
        <v>26042</v>
      </c>
      <c r="G125" s="586">
        <f t="shared" si="15"/>
        <v>0</v>
      </c>
      <c r="H125" s="586"/>
    </row>
    <row r="126" spans="1:9">
      <c r="B126" s="250">
        <v>5</v>
      </c>
      <c r="C126" s="586">
        <v>46912</v>
      </c>
      <c r="D126" s="586">
        <v>43090</v>
      </c>
      <c r="E126" s="586">
        <v>39699</v>
      </c>
      <c r="F126" s="586">
        <f t="shared" si="14"/>
        <v>26042</v>
      </c>
      <c r="G126" s="586">
        <f t="shared" si="15"/>
        <v>0</v>
      </c>
      <c r="H126" s="586"/>
    </row>
    <row r="127" spans="1:9">
      <c r="B127" s="250">
        <v>6</v>
      </c>
      <c r="C127" s="586">
        <v>47518</v>
      </c>
      <c r="D127" s="586">
        <v>43696</v>
      </c>
      <c r="E127" s="586">
        <v>40304</v>
      </c>
      <c r="F127" s="586">
        <f t="shared" si="14"/>
        <v>26042</v>
      </c>
      <c r="G127" s="586">
        <f t="shared" si="15"/>
        <v>0</v>
      </c>
      <c r="H127" s="586"/>
    </row>
    <row r="128" spans="1:9">
      <c r="B128" s="250">
        <v>7</v>
      </c>
      <c r="C128" s="586">
        <v>48122</v>
      </c>
      <c r="D128" s="586">
        <v>44302</v>
      </c>
      <c r="E128" s="586">
        <v>40908</v>
      </c>
      <c r="F128" s="586">
        <f t="shared" si="14"/>
        <v>26042</v>
      </c>
      <c r="G128" s="586">
        <f t="shared" si="15"/>
        <v>0</v>
      </c>
      <c r="H128" s="586"/>
    </row>
    <row r="129" spans="2:8">
      <c r="B129" s="250">
        <v>8</v>
      </c>
      <c r="C129" s="586">
        <v>48718</v>
      </c>
      <c r="D129" s="586">
        <v>44897</v>
      </c>
      <c r="E129" s="586">
        <v>41507</v>
      </c>
      <c r="F129" s="586">
        <f t="shared" si="14"/>
        <v>26042</v>
      </c>
      <c r="G129" s="586">
        <f t="shared" si="15"/>
        <v>0</v>
      </c>
      <c r="H129" s="586"/>
    </row>
    <row r="130" spans="2:8">
      <c r="B130" s="250">
        <v>9</v>
      </c>
      <c r="C130" s="586">
        <v>49323</v>
      </c>
      <c r="D130" s="586">
        <v>46171</v>
      </c>
      <c r="E130" s="586">
        <v>42107</v>
      </c>
      <c r="F130" s="586">
        <f t="shared" si="14"/>
        <v>26042</v>
      </c>
      <c r="G130" s="586">
        <f t="shared" si="15"/>
        <v>0</v>
      </c>
      <c r="H130" s="586"/>
    </row>
    <row r="131" spans="2:8">
      <c r="B131" s="250">
        <v>10</v>
      </c>
      <c r="C131" s="586">
        <v>52033</v>
      </c>
      <c r="D131" s="586">
        <v>48085</v>
      </c>
      <c r="E131" s="586">
        <v>43475</v>
      </c>
      <c r="F131" s="586">
        <f t="shared" si="14"/>
        <v>26042</v>
      </c>
      <c r="G131" s="586">
        <f t="shared" si="15"/>
        <v>0</v>
      </c>
      <c r="H131" s="586"/>
    </row>
    <row r="132" spans="2:8">
      <c r="B132" s="250">
        <v>11</v>
      </c>
      <c r="C132" s="586">
        <v>52635</v>
      </c>
      <c r="D132" s="586">
        <v>48679</v>
      </c>
      <c r="E132" s="586">
        <v>44078</v>
      </c>
      <c r="F132" s="586">
        <f t="shared" si="14"/>
        <v>26042</v>
      </c>
      <c r="G132" s="586">
        <f t="shared" si="15"/>
        <v>0</v>
      </c>
      <c r="H132" s="586"/>
    </row>
    <row r="133" spans="2:8">
      <c r="B133" s="250">
        <v>12</v>
      </c>
      <c r="C133" s="586">
        <v>53232</v>
      </c>
      <c r="D133" s="586">
        <v>49287</v>
      </c>
      <c r="E133" s="586">
        <v>44678</v>
      </c>
      <c r="F133" s="586">
        <f t="shared" si="14"/>
        <v>26042</v>
      </c>
      <c r="G133" s="586">
        <f t="shared" si="15"/>
        <v>0</v>
      </c>
      <c r="H133" s="586"/>
    </row>
    <row r="134" spans="2:8">
      <c r="B134" s="250">
        <v>13</v>
      </c>
      <c r="C134" s="586">
        <v>53835</v>
      </c>
      <c r="D134" s="586">
        <v>49885</v>
      </c>
      <c r="E134" s="586">
        <v>45280</v>
      </c>
      <c r="F134" s="586">
        <f t="shared" si="14"/>
        <v>26042</v>
      </c>
      <c r="G134" s="586">
        <f t="shared" si="15"/>
        <v>0</v>
      </c>
      <c r="H134" s="586"/>
    </row>
    <row r="135" spans="2:8">
      <c r="B135" s="250">
        <v>14</v>
      </c>
      <c r="C135" s="586">
        <v>54441</v>
      </c>
      <c r="D135" s="586">
        <v>50477</v>
      </c>
      <c r="E135" s="586">
        <v>45876</v>
      </c>
      <c r="F135" s="586">
        <f t="shared" si="14"/>
        <v>26042</v>
      </c>
      <c r="G135" s="586">
        <f t="shared" si="15"/>
        <v>0</v>
      </c>
      <c r="H135" s="586"/>
    </row>
    <row r="136" spans="2:8">
      <c r="B136" s="250">
        <v>15</v>
      </c>
      <c r="C136" s="586">
        <v>55748</v>
      </c>
      <c r="D136" s="586">
        <v>51819</v>
      </c>
      <c r="E136" s="586">
        <v>47649</v>
      </c>
      <c r="F136" s="586">
        <f t="shared" si="14"/>
        <v>26042</v>
      </c>
      <c r="G136" s="586">
        <f t="shared" si="15"/>
        <v>0</v>
      </c>
      <c r="H136" s="586"/>
    </row>
    <row r="137" spans="2:8">
      <c r="B137" s="250">
        <v>16</v>
      </c>
      <c r="C137" s="586">
        <v>56350</v>
      </c>
      <c r="D137" s="586">
        <v>52418</v>
      </c>
      <c r="E137" s="586">
        <v>48248</v>
      </c>
      <c r="F137" s="586">
        <f t="shared" si="14"/>
        <v>26042</v>
      </c>
      <c r="G137" s="586">
        <f t="shared" si="15"/>
        <v>0</v>
      </c>
      <c r="H137" s="586"/>
    </row>
    <row r="138" spans="2:8">
      <c r="B138" s="250">
        <v>17</v>
      </c>
      <c r="C138" s="586">
        <v>56951</v>
      </c>
      <c r="D138" s="586">
        <v>53019</v>
      </c>
      <c r="E138" s="586">
        <v>48851</v>
      </c>
      <c r="F138" s="586">
        <f t="shared" si="14"/>
        <v>26042</v>
      </c>
      <c r="G138" s="586">
        <f t="shared" si="15"/>
        <v>0</v>
      </c>
      <c r="H138" s="586"/>
    </row>
    <row r="139" spans="2:8">
      <c r="B139" s="250">
        <v>18</v>
      </c>
      <c r="C139" s="586">
        <v>57554</v>
      </c>
      <c r="D139" s="586">
        <v>53623</v>
      </c>
      <c r="E139" s="586">
        <v>49448</v>
      </c>
      <c r="F139" s="586">
        <f t="shared" si="14"/>
        <v>26042</v>
      </c>
      <c r="G139" s="586">
        <f t="shared" si="15"/>
        <v>0</v>
      </c>
      <c r="H139" s="586"/>
    </row>
    <row r="140" spans="2:8">
      <c r="B140" s="250">
        <v>19</v>
      </c>
      <c r="C140" s="586">
        <v>58147</v>
      </c>
      <c r="D140" s="586">
        <v>54218</v>
      </c>
      <c r="E140" s="586">
        <v>50052</v>
      </c>
      <c r="F140" s="586">
        <f t="shared" si="14"/>
        <v>26042</v>
      </c>
      <c r="G140" s="586">
        <f t="shared" si="15"/>
        <v>0</v>
      </c>
      <c r="H140" s="586"/>
    </row>
    <row r="141" spans="2:8">
      <c r="B141" s="250">
        <v>20</v>
      </c>
      <c r="C141" s="586">
        <v>59405</v>
      </c>
      <c r="D141" s="586">
        <v>55317</v>
      </c>
      <c r="E141" s="586">
        <v>51743</v>
      </c>
      <c r="F141" s="586">
        <f t="shared" si="14"/>
        <v>26042</v>
      </c>
      <c r="G141" s="586">
        <f t="shared" si="15"/>
        <v>0</v>
      </c>
      <c r="H141" s="586"/>
    </row>
    <row r="142" spans="2:8">
      <c r="B142" s="250">
        <v>21</v>
      </c>
      <c r="C142" s="586">
        <v>59743</v>
      </c>
      <c r="D142" s="586">
        <v>55921</v>
      </c>
      <c r="E142" s="586">
        <v>52215</v>
      </c>
      <c r="F142" s="586">
        <f t="shared" si="14"/>
        <v>26042</v>
      </c>
      <c r="G142" s="586">
        <f t="shared" si="15"/>
        <v>0</v>
      </c>
      <c r="H142" s="586"/>
    </row>
    <row r="143" spans="2:8">
      <c r="B143" s="250">
        <v>22</v>
      </c>
      <c r="C143" s="586">
        <v>59947</v>
      </c>
      <c r="D143" s="586">
        <v>56000</v>
      </c>
      <c r="E143" s="586">
        <v>52298</v>
      </c>
      <c r="F143" s="586">
        <f t="shared" si="14"/>
        <v>26042</v>
      </c>
      <c r="G143" s="586">
        <f t="shared" si="15"/>
        <v>0</v>
      </c>
      <c r="H143" s="586"/>
    </row>
    <row r="144" spans="2:8">
      <c r="B144" s="250">
        <v>23</v>
      </c>
      <c r="C144" s="586">
        <v>60550</v>
      </c>
      <c r="D144" s="586">
        <v>56598</v>
      </c>
      <c r="E144" s="586">
        <v>52894</v>
      </c>
      <c r="F144" s="586">
        <f t="shared" si="14"/>
        <v>26042</v>
      </c>
      <c r="G144" s="586">
        <f t="shared" si="15"/>
        <v>0</v>
      </c>
      <c r="H144" s="586"/>
    </row>
    <row r="145" spans="1:18">
      <c r="B145" s="250">
        <v>24</v>
      </c>
      <c r="C145" s="586">
        <v>61666</v>
      </c>
      <c r="D145" s="586">
        <v>57056</v>
      </c>
      <c r="E145" s="586">
        <v>53993</v>
      </c>
      <c r="F145" s="586">
        <f t="shared" si="14"/>
        <v>26042</v>
      </c>
      <c r="G145" s="586">
        <f t="shared" si="15"/>
        <v>0</v>
      </c>
      <c r="H145" s="586"/>
    </row>
    <row r="146" spans="1:18">
      <c r="B146" s="250">
        <v>25</v>
      </c>
      <c r="C146" s="586">
        <v>62266</v>
      </c>
      <c r="D146" s="586">
        <v>57656</v>
      </c>
      <c r="E146" s="586">
        <v>54593</v>
      </c>
      <c r="F146" s="586">
        <f t="shared" si="14"/>
        <v>26042</v>
      </c>
      <c r="G146" s="586">
        <f t="shared" si="15"/>
        <v>0</v>
      </c>
      <c r="H146" s="586"/>
    </row>
    <row r="147" spans="1:18">
      <c r="B147" s="250">
        <v>26</v>
      </c>
      <c r="C147" s="586">
        <f>C146</f>
        <v>62266</v>
      </c>
      <c r="D147" s="586">
        <f t="shared" ref="D147:E151" si="16">D146</f>
        <v>57656</v>
      </c>
      <c r="E147" s="586">
        <f t="shared" si="16"/>
        <v>54593</v>
      </c>
      <c r="F147" s="586">
        <f t="shared" si="14"/>
        <v>26042</v>
      </c>
      <c r="G147" s="586">
        <f t="shared" si="15"/>
        <v>0</v>
      </c>
      <c r="H147" s="586"/>
    </row>
    <row r="148" spans="1:18">
      <c r="B148" s="250">
        <v>27</v>
      </c>
      <c r="C148" s="586">
        <f>C147</f>
        <v>62266</v>
      </c>
      <c r="D148" s="586">
        <f t="shared" si="16"/>
        <v>57656</v>
      </c>
      <c r="E148" s="586">
        <f t="shared" si="16"/>
        <v>54593</v>
      </c>
      <c r="F148" s="586">
        <f t="shared" si="14"/>
        <v>26042</v>
      </c>
      <c r="G148" s="586">
        <f t="shared" si="15"/>
        <v>0</v>
      </c>
      <c r="H148" s="586"/>
    </row>
    <row r="149" spans="1:18">
      <c r="B149" s="250">
        <v>28</v>
      </c>
      <c r="C149" s="586">
        <f>C148</f>
        <v>62266</v>
      </c>
      <c r="D149" s="586">
        <f t="shared" si="16"/>
        <v>57656</v>
      </c>
      <c r="E149" s="586">
        <f t="shared" si="16"/>
        <v>54593</v>
      </c>
      <c r="F149" s="586">
        <f t="shared" si="14"/>
        <v>26042</v>
      </c>
      <c r="G149" s="586">
        <f t="shared" si="15"/>
        <v>0</v>
      </c>
      <c r="H149" s="586"/>
    </row>
    <row r="150" spans="1:18">
      <c r="B150" s="250">
        <v>29</v>
      </c>
      <c r="C150" s="586">
        <f>C149</f>
        <v>62266</v>
      </c>
      <c r="D150" s="586">
        <f t="shared" si="16"/>
        <v>57656</v>
      </c>
      <c r="E150" s="586">
        <f t="shared" si="16"/>
        <v>54593</v>
      </c>
      <c r="F150" s="586">
        <f t="shared" si="14"/>
        <v>26042</v>
      </c>
      <c r="G150" s="586">
        <f t="shared" si="15"/>
        <v>0</v>
      </c>
      <c r="H150" s="586"/>
    </row>
    <row r="151" spans="1:18">
      <c r="B151" s="250">
        <v>30</v>
      </c>
      <c r="C151" s="586">
        <f>C150</f>
        <v>62266</v>
      </c>
      <c r="D151" s="586">
        <f t="shared" si="16"/>
        <v>57656</v>
      </c>
      <c r="E151" s="586">
        <f t="shared" si="16"/>
        <v>54593</v>
      </c>
      <c r="F151" s="586">
        <f t="shared" si="14"/>
        <v>26042</v>
      </c>
      <c r="G151" s="586">
        <f t="shared" si="15"/>
        <v>0</v>
      </c>
      <c r="H151" s="586"/>
    </row>
    <row r="153" spans="1:18">
      <c r="A153" s="578" t="s">
        <v>326</v>
      </c>
      <c r="B153" t="s">
        <v>616</v>
      </c>
      <c r="C153" t="s">
        <v>264</v>
      </c>
    </row>
    <row r="154" spans="1:18">
      <c r="B154" s="250">
        <v>2</v>
      </c>
    </row>
    <row r="155" spans="1:18">
      <c r="A155" s="14" t="s">
        <v>265</v>
      </c>
      <c r="B155" s="14" t="s">
        <v>266</v>
      </c>
      <c r="C155" s="14" t="s">
        <v>267</v>
      </c>
      <c r="D155" s="14" t="s">
        <v>326</v>
      </c>
      <c r="E155" s="14" t="s">
        <v>326</v>
      </c>
      <c r="F155" s="14" t="s">
        <v>250</v>
      </c>
      <c r="G155" s="14" t="s">
        <v>269</v>
      </c>
      <c r="H155" s="14" t="s">
        <v>270</v>
      </c>
      <c r="I155" s="14" t="s">
        <v>271</v>
      </c>
      <c r="J155" s="14" t="s">
        <v>268</v>
      </c>
      <c r="K155" s="14" t="s">
        <v>268</v>
      </c>
      <c r="L155" s="14" t="s">
        <v>270</v>
      </c>
      <c r="M155" s="14" t="s">
        <v>10</v>
      </c>
      <c r="N155" s="14" t="s">
        <v>272</v>
      </c>
      <c r="O155" s="14" t="s">
        <v>273</v>
      </c>
      <c r="P155" s="14" t="s">
        <v>364</v>
      </c>
      <c r="Q155" s="14" t="s">
        <v>274</v>
      </c>
      <c r="R155" s="14" t="s">
        <v>275</v>
      </c>
    </row>
    <row r="156" spans="1:18">
      <c r="A156" s="14"/>
      <c r="B156" s="14" t="s">
        <v>276</v>
      </c>
      <c r="C156" s="14" t="s">
        <v>403</v>
      </c>
      <c r="D156" s="14" t="s">
        <v>415</v>
      </c>
      <c r="E156" s="14" t="s">
        <v>457</v>
      </c>
      <c r="F156" s="14" t="s">
        <v>269</v>
      </c>
      <c r="G156" s="14" t="s">
        <v>277</v>
      </c>
      <c r="H156" s="14" t="s">
        <v>278</v>
      </c>
      <c r="I156" s="14" t="s">
        <v>279</v>
      </c>
      <c r="J156" s="14" t="s">
        <v>280</v>
      </c>
      <c r="K156" s="14" t="s">
        <v>281</v>
      </c>
      <c r="L156" s="14" t="s">
        <v>282</v>
      </c>
      <c r="M156" s="14" t="s">
        <v>283</v>
      </c>
      <c r="N156" s="14" t="s">
        <v>282</v>
      </c>
      <c r="O156" s="14" t="s">
        <v>282</v>
      </c>
      <c r="P156" s="14" t="s">
        <v>282</v>
      </c>
      <c r="Q156" s="14" t="s">
        <v>282</v>
      </c>
      <c r="R156" s="14" t="s">
        <v>283</v>
      </c>
    </row>
    <row r="157" spans="1:18">
      <c r="A157" s="14">
        <v>0</v>
      </c>
      <c r="B157" s="14">
        <v>1</v>
      </c>
      <c r="C157" s="14">
        <v>2</v>
      </c>
      <c r="D157" s="14">
        <v>1</v>
      </c>
      <c r="E157" s="14">
        <v>28</v>
      </c>
      <c r="F157" s="14">
        <v>5</v>
      </c>
      <c r="G157" s="14">
        <v>6</v>
      </c>
      <c r="H157" s="14">
        <v>7</v>
      </c>
      <c r="I157" s="14">
        <v>8</v>
      </c>
      <c r="J157" s="14">
        <v>9</v>
      </c>
      <c r="K157" s="14">
        <v>10</v>
      </c>
      <c r="L157" s="14">
        <v>11</v>
      </c>
      <c r="M157" s="14">
        <v>12</v>
      </c>
      <c r="N157" s="14">
        <v>13</v>
      </c>
      <c r="O157" s="14">
        <v>14</v>
      </c>
      <c r="P157" s="14">
        <v>15</v>
      </c>
      <c r="Q157" s="14">
        <v>16</v>
      </c>
      <c r="R157" s="14">
        <v>17</v>
      </c>
    </row>
    <row r="158" spans="1:18">
      <c r="A158" s="14">
        <v>0</v>
      </c>
      <c r="B158" s="265">
        <v>11.78</v>
      </c>
      <c r="C158" s="265">
        <v>10.58</v>
      </c>
      <c r="D158" s="265">
        <f>B158</f>
        <v>11.78</v>
      </c>
      <c r="E158" s="265">
        <v>15.05</v>
      </c>
      <c r="F158" s="265">
        <v>10.24</v>
      </c>
      <c r="G158" s="266">
        <v>0</v>
      </c>
      <c r="H158" s="265">
        <v>0</v>
      </c>
      <c r="I158" s="265">
        <v>9.51</v>
      </c>
      <c r="J158" s="265" t="s">
        <v>405</v>
      </c>
      <c r="K158" s="265" t="s">
        <v>326</v>
      </c>
      <c r="L158" s="265" t="s">
        <v>326</v>
      </c>
      <c r="M158" s="265">
        <v>0</v>
      </c>
      <c r="N158" s="265" t="s">
        <v>326</v>
      </c>
      <c r="O158" s="265" t="s">
        <v>326</v>
      </c>
      <c r="P158" s="265" t="s">
        <v>326</v>
      </c>
      <c r="Q158" s="265" t="s">
        <v>326</v>
      </c>
      <c r="R158" s="265" t="s">
        <v>326</v>
      </c>
    </row>
    <row r="159" spans="1:18">
      <c r="A159" s="14">
        <v>1</v>
      </c>
      <c r="B159" s="265">
        <v>12.06</v>
      </c>
      <c r="C159" s="265">
        <v>10.81</v>
      </c>
      <c r="D159" s="265">
        <f t="shared" ref="D159:D178" si="17">B159</f>
        <v>12.06</v>
      </c>
      <c r="E159" s="265">
        <v>15.31</v>
      </c>
      <c r="F159" s="265">
        <v>10.41</v>
      </c>
      <c r="G159" s="266">
        <f>G158</f>
        <v>0</v>
      </c>
      <c r="H159" s="265">
        <f t="shared" ref="H159:H178" si="18">H158</f>
        <v>0</v>
      </c>
      <c r="I159" s="265">
        <v>9.8000000000000007</v>
      </c>
      <c r="J159" s="265" t="s">
        <v>326</v>
      </c>
      <c r="K159" s="265" t="s">
        <v>326</v>
      </c>
      <c r="L159" s="265" t="s">
        <v>326</v>
      </c>
      <c r="M159" s="265">
        <f t="shared" ref="M159:R159" si="19">M158</f>
        <v>0</v>
      </c>
      <c r="N159" s="265" t="str">
        <f t="shared" si="19"/>
        <v xml:space="preserve"> </v>
      </c>
      <c r="O159" s="265" t="str">
        <f t="shared" si="19"/>
        <v xml:space="preserve"> </v>
      </c>
      <c r="P159" s="265" t="str">
        <f t="shared" si="19"/>
        <v xml:space="preserve"> </v>
      </c>
      <c r="Q159" s="265" t="str">
        <f t="shared" si="19"/>
        <v xml:space="preserve"> </v>
      </c>
      <c r="R159" s="265" t="str">
        <f t="shared" si="19"/>
        <v xml:space="preserve"> </v>
      </c>
    </row>
    <row r="160" spans="1:18">
      <c r="A160" s="14">
        <v>2</v>
      </c>
      <c r="B160" s="265">
        <v>12.06</v>
      </c>
      <c r="C160" s="265">
        <v>10.81</v>
      </c>
      <c r="D160" s="265">
        <f t="shared" si="17"/>
        <v>12.06</v>
      </c>
      <c r="E160" s="265">
        <v>15.31</v>
      </c>
      <c r="F160" s="265">
        <v>10.41</v>
      </c>
      <c r="G160" s="266">
        <f t="shared" ref="G160:G178" si="20">G159</f>
        <v>0</v>
      </c>
      <c r="H160" s="265">
        <f t="shared" si="18"/>
        <v>0</v>
      </c>
      <c r="I160" s="265">
        <v>9.8000000000000007</v>
      </c>
      <c r="J160" s="265" t="s">
        <v>326</v>
      </c>
      <c r="K160" s="265" t="s">
        <v>326</v>
      </c>
      <c r="L160" s="265" t="s">
        <v>326</v>
      </c>
      <c r="M160" s="265">
        <f t="shared" ref="M160:M178" si="21">M159</f>
        <v>0</v>
      </c>
      <c r="N160" s="265" t="str">
        <f t="shared" ref="N160:N178" si="22">N159</f>
        <v xml:space="preserve"> </v>
      </c>
      <c r="O160" s="265" t="str">
        <f t="shared" ref="O160:O178" si="23">O159</f>
        <v xml:space="preserve"> </v>
      </c>
      <c r="P160" s="265" t="str">
        <f t="shared" ref="P160:P178" si="24">P159</f>
        <v xml:space="preserve"> </v>
      </c>
      <c r="Q160" s="265" t="str">
        <f t="shared" ref="Q160:Q178" si="25">Q159</f>
        <v xml:space="preserve"> </v>
      </c>
      <c r="R160" s="265" t="str">
        <f t="shared" ref="R160:R178" si="26">R159</f>
        <v xml:space="preserve"> </v>
      </c>
    </row>
    <row r="161" spans="1:18">
      <c r="A161" s="14">
        <v>3</v>
      </c>
      <c r="B161" s="265">
        <v>12.33</v>
      </c>
      <c r="C161" s="265">
        <v>11.11</v>
      </c>
      <c r="D161" s="265">
        <f t="shared" si="17"/>
        <v>12.33</v>
      </c>
      <c r="E161" s="265">
        <v>15.55</v>
      </c>
      <c r="F161" s="265">
        <v>10.61</v>
      </c>
      <c r="G161" s="266">
        <f t="shared" si="20"/>
        <v>0</v>
      </c>
      <c r="H161" s="265">
        <f t="shared" si="18"/>
        <v>0</v>
      </c>
      <c r="I161" s="265">
        <v>10.039999999999999</v>
      </c>
      <c r="J161" s="265" t="s">
        <v>326</v>
      </c>
      <c r="K161" s="265" t="s">
        <v>326</v>
      </c>
      <c r="L161" s="265" t="s">
        <v>326</v>
      </c>
      <c r="M161" s="265">
        <f t="shared" si="21"/>
        <v>0</v>
      </c>
      <c r="N161" s="265" t="str">
        <f t="shared" si="22"/>
        <v xml:space="preserve"> </v>
      </c>
      <c r="O161" s="265" t="str">
        <f t="shared" si="23"/>
        <v xml:space="preserve"> </v>
      </c>
      <c r="P161" s="265" t="str">
        <f t="shared" si="24"/>
        <v xml:space="preserve"> </v>
      </c>
      <c r="Q161" s="265" t="str">
        <f t="shared" si="25"/>
        <v xml:space="preserve"> </v>
      </c>
      <c r="R161" s="265" t="str">
        <f t="shared" si="26"/>
        <v xml:space="preserve"> </v>
      </c>
    </row>
    <row r="162" spans="1:18">
      <c r="A162" s="14">
        <v>4</v>
      </c>
      <c r="B162" s="265">
        <v>12.33</v>
      </c>
      <c r="C162" s="265">
        <v>11</v>
      </c>
      <c r="D162" s="265">
        <f t="shared" si="17"/>
        <v>12.33</v>
      </c>
      <c r="E162" s="265">
        <v>15.55</v>
      </c>
      <c r="F162" s="265">
        <v>10.61</v>
      </c>
      <c r="G162" s="266">
        <f t="shared" si="20"/>
        <v>0</v>
      </c>
      <c r="H162" s="265">
        <f t="shared" si="18"/>
        <v>0</v>
      </c>
      <c r="I162" s="265">
        <v>10.039999999999999</v>
      </c>
      <c r="J162" s="265" t="str">
        <f>J161</f>
        <v xml:space="preserve"> </v>
      </c>
      <c r="K162" s="265" t="s">
        <v>326</v>
      </c>
      <c r="L162" s="265" t="str">
        <f t="shared" ref="L162:L178" si="27">L161</f>
        <v xml:space="preserve"> </v>
      </c>
      <c r="M162" s="265">
        <f t="shared" si="21"/>
        <v>0</v>
      </c>
      <c r="N162" s="265" t="str">
        <f t="shared" si="22"/>
        <v xml:space="preserve"> </v>
      </c>
      <c r="O162" s="265" t="str">
        <f t="shared" si="23"/>
        <v xml:space="preserve"> </v>
      </c>
      <c r="P162" s="265" t="str">
        <f t="shared" si="24"/>
        <v xml:space="preserve"> </v>
      </c>
      <c r="Q162" s="265" t="str">
        <f t="shared" si="25"/>
        <v xml:space="preserve"> </v>
      </c>
      <c r="R162" s="265" t="str">
        <f t="shared" si="26"/>
        <v xml:space="preserve"> </v>
      </c>
    </row>
    <row r="163" spans="1:18">
      <c r="A163" s="14">
        <v>5</v>
      </c>
      <c r="B163" s="265">
        <v>12.6</v>
      </c>
      <c r="C163" s="265">
        <v>11.2</v>
      </c>
      <c r="D163" s="265">
        <f t="shared" si="17"/>
        <v>12.6</v>
      </c>
      <c r="E163" s="265">
        <v>15.84</v>
      </c>
      <c r="F163" s="265">
        <v>10.85</v>
      </c>
      <c r="G163" s="266">
        <f t="shared" si="20"/>
        <v>0</v>
      </c>
      <c r="H163" s="265">
        <f t="shared" si="18"/>
        <v>0</v>
      </c>
      <c r="I163" s="265">
        <v>10.32</v>
      </c>
      <c r="J163" s="265" t="s">
        <v>326</v>
      </c>
      <c r="K163" s="265" t="s">
        <v>326</v>
      </c>
      <c r="L163" s="265" t="str">
        <f t="shared" si="27"/>
        <v xml:space="preserve"> </v>
      </c>
      <c r="M163" s="265">
        <f t="shared" si="21"/>
        <v>0</v>
      </c>
      <c r="N163" s="265" t="str">
        <f t="shared" si="22"/>
        <v xml:space="preserve"> </v>
      </c>
      <c r="O163" s="265" t="str">
        <f t="shared" si="23"/>
        <v xml:space="preserve"> </v>
      </c>
      <c r="P163" s="265" t="str">
        <f t="shared" si="24"/>
        <v xml:space="preserve"> </v>
      </c>
      <c r="Q163" s="265" t="str">
        <f t="shared" si="25"/>
        <v xml:space="preserve"> </v>
      </c>
      <c r="R163" s="265" t="str">
        <f t="shared" si="26"/>
        <v xml:space="preserve"> </v>
      </c>
    </row>
    <row r="164" spans="1:18">
      <c r="A164" s="14">
        <v>6</v>
      </c>
      <c r="B164" s="265">
        <v>12.6</v>
      </c>
      <c r="C164" s="265">
        <v>11.2</v>
      </c>
      <c r="D164" s="265">
        <f t="shared" si="17"/>
        <v>12.6</v>
      </c>
      <c r="E164" s="265">
        <v>15.84</v>
      </c>
      <c r="F164" s="265">
        <v>10.85</v>
      </c>
      <c r="G164" s="266">
        <f t="shared" si="20"/>
        <v>0</v>
      </c>
      <c r="H164" s="265">
        <f t="shared" si="18"/>
        <v>0</v>
      </c>
      <c r="I164" s="265">
        <v>10.32</v>
      </c>
      <c r="J164" s="265" t="s">
        <v>326</v>
      </c>
      <c r="K164" s="265" t="s">
        <v>326</v>
      </c>
      <c r="L164" s="265" t="str">
        <f t="shared" si="27"/>
        <v xml:space="preserve"> </v>
      </c>
      <c r="M164" s="265">
        <f t="shared" si="21"/>
        <v>0</v>
      </c>
      <c r="N164" s="265" t="str">
        <f t="shared" si="22"/>
        <v xml:space="preserve"> </v>
      </c>
      <c r="O164" s="265" t="str">
        <f t="shared" si="23"/>
        <v xml:space="preserve"> </v>
      </c>
      <c r="P164" s="265" t="str">
        <f t="shared" si="24"/>
        <v xml:space="preserve"> </v>
      </c>
      <c r="Q164" s="265" t="str">
        <f t="shared" si="25"/>
        <v xml:space="preserve"> </v>
      </c>
      <c r="R164" s="265" t="str">
        <f t="shared" si="26"/>
        <v xml:space="preserve"> </v>
      </c>
    </row>
    <row r="165" spans="1:18">
      <c r="A165" s="14">
        <v>7</v>
      </c>
      <c r="B165" s="265">
        <v>12.89</v>
      </c>
      <c r="C165" s="265">
        <v>11.4</v>
      </c>
      <c r="D165" s="265">
        <f t="shared" si="17"/>
        <v>12.89</v>
      </c>
      <c r="E165" s="265">
        <v>16.09</v>
      </c>
      <c r="F165" s="265">
        <v>11.02</v>
      </c>
      <c r="G165" s="266">
        <f t="shared" si="20"/>
        <v>0</v>
      </c>
      <c r="H165" s="265">
        <f t="shared" si="18"/>
        <v>0</v>
      </c>
      <c r="I165" s="265">
        <v>10.56</v>
      </c>
      <c r="J165" s="265" t="s">
        <v>326</v>
      </c>
      <c r="K165" s="265" t="s">
        <v>326</v>
      </c>
      <c r="L165" s="265" t="str">
        <f t="shared" si="27"/>
        <v xml:space="preserve"> </v>
      </c>
      <c r="M165" s="265">
        <f t="shared" si="21"/>
        <v>0</v>
      </c>
      <c r="N165" s="265" t="str">
        <f t="shared" si="22"/>
        <v xml:space="preserve"> </v>
      </c>
      <c r="O165" s="265" t="str">
        <f t="shared" si="23"/>
        <v xml:space="preserve"> </v>
      </c>
      <c r="P165" s="265" t="str">
        <f t="shared" si="24"/>
        <v xml:space="preserve"> </v>
      </c>
      <c r="Q165" s="265" t="str">
        <f t="shared" si="25"/>
        <v xml:space="preserve"> </v>
      </c>
      <c r="R165" s="265" t="str">
        <f t="shared" si="26"/>
        <v xml:space="preserve"> </v>
      </c>
    </row>
    <row r="166" spans="1:18">
      <c r="A166" s="14">
        <v>8</v>
      </c>
      <c r="B166" s="265">
        <v>12.89</v>
      </c>
      <c r="C166" s="265">
        <v>11.4</v>
      </c>
      <c r="D166" s="265">
        <f t="shared" si="17"/>
        <v>12.89</v>
      </c>
      <c r="E166" s="265">
        <v>16.09</v>
      </c>
      <c r="F166" s="265">
        <v>11.02</v>
      </c>
      <c r="G166" s="266">
        <f t="shared" si="20"/>
        <v>0</v>
      </c>
      <c r="H166" s="265">
        <f t="shared" si="18"/>
        <v>0</v>
      </c>
      <c r="I166" s="265">
        <v>10.56</v>
      </c>
      <c r="J166" s="265" t="s">
        <v>326</v>
      </c>
      <c r="K166" s="265" t="s">
        <v>326</v>
      </c>
      <c r="L166" s="265" t="str">
        <f t="shared" si="27"/>
        <v xml:space="preserve"> </v>
      </c>
      <c r="M166" s="265">
        <f t="shared" si="21"/>
        <v>0</v>
      </c>
      <c r="N166" s="265" t="str">
        <f t="shared" si="22"/>
        <v xml:space="preserve"> </v>
      </c>
      <c r="O166" s="265" t="str">
        <f t="shared" si="23"/>
        <v xml:space="preserve"> </v>
      </c>
      <c r="P166" s="265" t="str">
        <f t="shared" si="24"/>
        <v xml:space="preserve"> </v>
      </c>
      <c r="Q166" s="265" t="str">
        <f t="shared" si="25"/>
        <v xml:space="preserve"> </v>
      </c>
      <c r="R166" s="265" t="str">
        <f t="shared" si="26"/>
        <v xml:space="preserve"> </v>
      </c>
    </row>
    <row r="167" spans="1:18">
      <c r="A167" s="14">
        <v>9</v>
      </c>
      <c r="B167" s="265">
        <v>13.16</v>
      </c>
      <c r="C167" s="265">
        <v>11.58</v>
      </c>
      <c r="D167" s="265">
        <f t="shared" si="17"/>
        <v>13.16</v>
      </c>
      <c r="E167" s="265">
        <v>16.350000000000001</v>
      </c>
      <c r="F167" s="265">
        <v>11.22</v>
      </c>
      <c r="G167" s="266">
        <f t="shared" si="20"/>
        <v>0</v>
      </c>
      <c r="H167" s="265">
        <f t="shared" si="18"/>
        <v>0</v>
      </c>
      <c r="I167" s="265">
        <v>10.84</v>
      </c>
      <c r="J167" s="265" t="s">
        <v>326</v>
      </c>
      <c r="K167" s="265" t="s">
        <v>326</v>
      </c>
      <c r="L167" s="265" t="str">
        <f t="shared" si="27"/>
        <v xml:space="preserve"> </v>
      </c>
      <c r="M167" s="265">
        <f t="shared" si="21"/>
        <v>0</v>
      </c>
      <c r="N167" s="265" t="str">
        <f t="shared" si="22"/>
        <v xml:space="preserve"> </v>
      </c>
      <c r="O167" s="265" t="str">
        <f t="shared" si="23"/>
        <v xml:space="preserve"> </v>
      </c>
      <c r="P167" s="265" t="str">
        <f t="shared" si="24"/>
        <v xml:space="preserve"> </v>
      </c>
      <c r="Q167" s="265" t="str">
        <f t="shared" si="25"/>
        <v xml:space="preserve"> </v>
      </c>
      <c r="R167" s="265" t="str">
        <f t="shared" si="26"/>
        <v xml:space="preserve"> </v>
      </c>
    </row>
    <row r="168" spans="1:18">
      <c r="A168" s="14">
        <v>10</v>
      </c>
      <c r="B168" s="265">
        <v>13.16</v>
      </c>
      <c r="C168" s="265">
        <v>11.58</v>
      </c>
      <c r="D168" s="265">
        <f t="shared" si="17"/>
        <v>13.16</v>
      </c>
      <c r="E168" s="265">
        <v>16.350000000000001</v>
      </c>
      <c r="F168" s="265">
        <v>11.22</v>
      </c>
      <c r="G168" s="266">
        <f t="shared" si="20"/>
        <v>0</v>
      </c>
      <c r="H168" s="265">
        <f t="shared" si="18"/>
        <v>0</v>
      </c>
      <c r="I168" s="265">
        <v>10.84</v>
      </c>
      <c r="J168" s="265" t="s">
        <v>326</v>
      </c>
      <c r="K168" s="265" t="s">
        <v>326</v>
      </c>
      <c r="L168" s="265" t="str">
        <f t="shared" si="27"/>
        <v xml:space="preserve"> </v>
      </c>
      <c r="M168" s="265">
        <f t="shared" si="21"/>
        <v>0</v>
      </c>
      <c r="N168" s="265" t="str">
        <f t="shared" si="22"/>
        <v xml:space="preserve"> </v>
      </c>
      <c r="O168" s="265" t="str">
        <f t="shared" si="23"/>
        <v xml:space="preserve"> </v>
      </c>
      <c r="P168" s="265" t="str">
        <f t="shared" si="24"/>
        <v xml:space="preserve"> </v>
      </c>
      <c r="Q168" s="265" t="str">
        <f t="shared" si="25"/>
        <v xml:space="preserve"> </v>
      </c>
      <c r="R168" s="265" t="str">
        <f t="shared" si="26"/>
        <v xml:space="preserve"> </v>
      </c>
    </row>
    <row r="169" spans="1:18">
      <c r="A169" s="14">
        <v>11</v>
      </c>
      <c r="B169" s="265">
        <v>13.44</v>
      </c>
      <c r="C169" s="265">
        <v>11.8</v>
      </c>
      <c r="D169" s="265">
        <f t="shared" si="17"/>
        <v>13.44</v>
      </c>
      <c r="E169" s="265">
        <v>16.61</v>
      </c>
      <c r="F169" s="265">
        <v>11.44</v>
      </c>
      <c r="G169" s="266">
        <f t="shared" si="20"/>
        <v>0</v>
      </c>
      <c r="H169" s="265">
        <f t="shared" si="18"/>
        <v>0</v>
      </c>
      <c r="I169" s="265">
        <v>11.1</v>
      </c>
      <c r="J169" s="265" t="s">
        <v>326</v>
      </c>
      <c r="K169" s="265" t="s">
        <v>326</v>
      </c>
      <c r="L169" s="265" t="str">
        <f t="shared" si="27"/>
        <v xml:space="preserve"> </v>
      </c>
      <c r="M169" s="265">
        <f t="shared" si="21"/>
        <v>0</v>
      </c>
      <c r="N169" s="265" t="str">
        <f t="shared" si="22"/>
        <v xml:space="preserve"> </v>
      </c>
      <c r="O169" s="265" t="str">
        <f t="shared" si="23"/>
        <v xml:space="preserve"> </v>
      </c>
      <c r="P169" s="265" t="str">
        <f t="shared" si="24"/>
        <v xml:space="preserve"> </v>
      </c>
      <c r="Q169" s="265" t="str">
        <f t="shared" si="25"/>
        <v xml:space="preserve"> </v>
      </c>
      <c r="R169" s="265" t="str">
        <f t="shared" si="26"/>
        <v xml:space="preserve"> </v>
      </c>
    </row>
    <row r="170" spans="1:18">
      <c r="A170" s="14">
        <v>12</v>
      </c>
      <c r="B170" s="265">
        <v>13.44</v>
      </c>
      <c r="C170" s="265">
        <v>11.8</v>
      </c>
      <c r="D170" s="265">
        <f t="shared" si="17"/>
        <v>13.44</v>
      </c>
      <c r="E170" s="265">
        <v>16.61</v>
      </c>
      <c r="F170" s="265">
        <v>11.44</v>
      </c>
      <c r="G170" s="266">
        <f t="shared" si="20"/>
        <v>0</v>
      </c>
      <c r="H170" s="265">
        <f t="shared" si="18"/>
        <v>0</v>
      </c>
      <c r="I170" s="265">
        <v>11.1</v>
      </c>
      <c r="J170" s="265" t="str">
        <f>J169</f>
        <v xml:space="preserve"> </v>
      </c>
      <c r="K170" s="265" t="s">
        <v>326</v>
      </c>
      <c r="L170" s="265" t="str">
        <f t="shared" si="27"/>
        <v xml:space="preserve"> </v>
      </c>
      <c r="M170" s="265">
        <f t="shared" si="21"/>
        <v>0</v>
      </c>
      <c r="N170" s="265" t="str">
        <f t="shared" si="22"/>
        <v xml:space="preserve"> </v>
      </c>
      <c r="O170" s="265" t="str">
        <f t="shared" si="23"/>
        <v xml:space="preserve"> </v>
      </c>
      <c r="P170" s="265" t="str">
        <f t="shared" si="24"/>
        <v xml:space="preserve"> </v>
      </c>
      <c r="Q170" s="265" t="str">
        <f t="shared" si="25"/>
        <v xml:space="preserve"> </v>
      </c>
      <c r="R170" s="265" t="str">
        <f t="shared" si="26"/>
        <v xml:space="preserve"> </v>
      </c>
    </row>
    <row r="171" spans="1:18">
      <c r="A171" s="14">
        <v>13</v>
      </c>
      <c r="B171" s="265">
        <v>13.7</v>
      </c>
      <c r="C171" s="265">
        <v>11.98</v>
      </c>
      <c r="D171" s="265">
        <f t="shared" si="17"/>
        <v>13.7</v>
      </c>
      <c r="E171" s="265">
        <v>16.73</v>
      </c>
      <c r="F171" s="265">
        <v>11.64</v>
      </c>
      <c r="G171" s="266">
        <f t="shared" si="20"/>
        <v>0</v>
      </c>
      <c r="H171" s="265">
        <f t="shared" si="18"/>
        <v>0</v>
      </c>
      <c r="I171" s="265">
        <v>11.38</v>
      </c>
      <c r="J171" s="265" t="s">
        <v>326</v>
      </c>
      <c r="K171" s="265" t="s">
        <v>326</v>
      </c>
      <c r="L171" s="265" t="str">
        <f t="shared" si="27"/>
        <v xml:space="preserve"> </v>
      </c>
      <c r="M171" s="265">
        <f t="shared" si="21"/>
        <v>0</v>
      </c>
      <c r="N171" s="265" t="str">
        <f t="shared" si="22"/>
        <v xml:space="preserve"> </v>
      </c>
      <c r="O171" s="265" t="str">
        <f t="shared" si="23"/>
        <v xml:space="preserve"> </v>
      </c>
      <c r="P171" s="265" t="str">
        <f t="shared" si="24"/>
        <v xml:space="preserve"> </v>
      </c>
      <c r="Q171" s="265" t="str">
        <f t="shared" si="25"/>
        <v xml:space="preserve"> </v>
      </c>
      <c r="R171" s="265" t="str">
        <f t="shared" si="26"/>
        <v xml:space="preserve"> </v>
      </c>
    </row>
    <row r="172" spans="1:18">
      <c r="A172" s="14">
        <v>14</v>
      </c>
      <c r="B172" s="265">
        <v>13.7</v>
      </c>
      <c r="C172" s="265">
        <v>11.98</v>
      </c>
      <c r="D172" s="265">
        <f t="shared" si="17"/>
        <v>13.7</v>
      </c>
      <c r="E172" s="265">
        <v>16.73</v>
      </c>
      <c r="F172" s="265">
        <v>11.64</v>
      </c>
      <c r="G172" s="266">
        <f t="shared" si="20"/>
        <v>0</v>
      </c>
      <c r="H172" s="265">
        <f t="shared" si="18"/>
        <v>0</v>
      </c>
      <c r="I172" s="265">
        <v>11.38</v>
      </c>
      <c r="J172" s="265" t="s">
        <v>326</v>
      </c>
      <c r="K172" s="265" t="s">
        <v>326</v>
      </c>
      <c r="L172" s="265" t="str">
        <f t="shared" si="27"/>
        <v xml:space="preserve"> </v>
      </c>
      <c r="M172" s="265">
        <f t="shared" si="21"/>
        <v>0</v>
      </c>
      <c r="N172" s="265" t="str">
        <f t="shared" si="22"/>
        <v xml:space="preserve"> </v>
      </c>
      <c r="O172" s="265" t="str">
        <f t="shared" si="23"/>
        <v xml:space="preserve"> </v>
      </c>
      <c r="P172" s="265" t="str">
        <f t="shared" si="24"/>
        <v xml:space="preserve"> </v>
      </c>
      <c r="Q172" s="265" t="str">
        <f t="shared" si="25"/>
        <v xml:space="preserve"> </v>
      </c>
      <c r="R172" s="265" t="str">
        <f t="shared" si="26"/>
        <v xml:space="preserve"> </v>
      </c>
    </row>
    <row r="173" spans="1:18">
      <c r="A173" s="14">
        <v>15</v>
      </c>
      <c r="B173" s="265">
        <v>14</v>
      </c>
      <c r="C173" s="265">
        <v>12.17</v>
      </c>
      <c r="D173" s="265">
        <f t="shared" si="17"/>
        <v>14</v>
      </c>
      <c r="E173" s="265">
        <v>17.149999999999999</v>
      </c>
      <c r="F173" s="265">
        <v>11.86</v>
      </c>
      <c r="G173" s="266">
        <f t="shared" si="20"/>
        <v>0</v>
      </c>
      <c r="H173" s="265">
        <f t="shared" si="18"/>
        <v>0</v>
      </c>
      <c r="I173" s="265">
        <v>11.63</v>
      </c>
      <c r="J173" s="265" t="s">
        <v>326</v>
      </c>
      <c r="K173" s="265" t="s">
        <v>326</v>
      </c>
      <c r="L173" s="265" t="str">
        <f t="shared" si="27"/>
        <v xml:space="preserve"> </v>
      </c>
      <c r="M173" s="265">
        <f t="shared" si="21"/>
        <v>0</v>
      </c>
      <c r="N173" s="265" t="str">
        <f t="shared" si="22"/>
        <v xml:space="preserve"> </v>
      </c>
      <c r="O173" s="265" t="str">
        <f t="shared" si="23"/>
        <v xml:space="preserve"> </v>
      </c>
      <c r="P173" s="265" t="str">
        <f t="shared" si="24"/>
        <v xml:space="preserve"> </v>
      </c>
      <c r="Q173" s="265" t="str">
        <f t="shared" si="25"/>
        <v xml:space="preserve"> </v>
      </c>
      <c r="R173" s="265" t="str">
        <f t="shared" si="26"/>
        <v xml:space="preserve"> </v>
      </c>
    </row>
    <row r="174" spans="1:18">
      <c r="A174" s="14">
        <v>16</v>
      </c>
      <c r="B174" s="265">
        <v>14</v>
      </c>
      <c r="C174" s="265">
        <v>12.17</v>
      </c>
      <c r="D174" s="265">
        <f t="shared" si="17"/>
        <v>14</v>
      </c>
      <c r="E174" s="265">
        <v>17.149999999999999</v>
      </c>
      <c r="F174" s="265">
        <v>11.86</v>
      </c>
      <c r="G174" s="266">
        <f t="shared" si="20"/>
        <v>0</v>
      </c>
      <c r="H174" s="265">
        <f t="shared" si="18"/>
        <v>0</v>
      </c>
      <c r="I174" s="265">
        <v>11.63</v>
      </c>
      <c r="J174" s="265" t="s">
        <v>326</v>
      </c>
      <c r="K174" s="265" t="s">
        <v>326</v>
      </c>
      <c r="L174" s="265" t="str">
        <f t="shared" si="27"/>
        <v xml:space="preserve"> </v>
      </c>
      <c r="M174" s="265">
        <f t="shared" si="21"/>
        <v>0</v>
      </c>
      <c r="N174" s="265" t="str">
        <f t="shared" si="22"/>
        <v xml:space="preserve"> </v>
      </c>
      <c r="O174" s="265" t="str">
        <f t="shared" si="23"/>
        <v xml:space="preserve"> </v>
      </c>
      <c r="P174" s="265" t="str">
        <f t="shared" si="24"/>
        <v xml:space="preserve"> </v>
      </c>
      <c r="Q174" s="265" t="str">
        <f t="shared" si="25"/>
        <v xml:space="preserve"> </v>
      </c>
      <c r="R174" s="265" t="str">
        <f t="shared" si="26"/>
        <v xml:space="preserve"> </v>
      </c>
    </row>
    <row r="175" spans="1:18">
      <c r="A175" s="14">
        <v>17</v>
      </c>
      <c r="B175" s="265">
        <v>14.26</v>
      </c>
      <c r="C175" s="265">
        <v>12.38</v>
      </c>
      <c r="D175" s="265">
        <f t="shared" si="17"/>
        <v>14.26</v>
      </c>
      <c r="E175" s="265">
        <v>17.39</v>
      </c>
      <c r="F175" s="265">
        <v>12.05</v>
      </c>
      <c r="G175" s="266">
        <f t="shared" si="20"/>
        <v>0</v>
      </c>
      <c r="H175" s="265">
        <f t="shared" si="18"/>
        <v>0</v>
      </c>
      <c r="I175" s="265">
        <v>11.89</v>
      </c>
      <c r="J175" s="265" t="s">
        <v>326</v>
      </c>
      <c r="K175" s="265" t="s">
        <v>326</v>
      </c>
      <c r="L175" s="265" t="str">
        <f t="shared" si="27"/>
        <v xml:space="preserve"> </v>
      </c>
      <c r="M175" s="265">
        <f t="shared" si="21"/>
        <v>0</v>
      </c>
      <c r="N175" s="265" t="str">
        <f t="shared" si="22"/>
        <v xml:space="preserve"> </v>
      </c>
      <c r="O175" s="265" t="str">
        <f t="shared" si="23"/>
        <v xml:space="preserve"> </v>
      </c>
      <c r="P175" s="265" t="str">
        <f t="shared" si="24"/>
        <v xml:space="preserve"> </v>
      </c>
      <c r="Q175" s="265" t="str">
        <f t="shared" si="25"/>
        <v xml:space="preserve"> </v>
      </c>
      <c r="R175" s="265" t="str">
        <f t="shared" si="26"/>
        <v xml:space="preserve"> </v>
      </c>
    </row>
    <row r="176" spans="1:18">
      <c r="A176" s="14">
        <v>18</v>
      </c>
      <c r="B176" s="265">
        <v>14.26</v>
      </c>
      <c r="C176" s="265">
        <v>12.38</v>
      </c>
      <c r="D176" s="265">
        <f t="shared" si="17"/>
        <v>14.26</v>
      </c>
      <c r="E176" s="265">
        <v>17.39</v>
      </c>
      <c r="F176" s="265">
        <v>12.05</v>
      </c>
      <c r="G176" s="266">
        <f t="shared" si="20"/>
        <v>0</v>
      </c>
      <c r="H176" s="265">
        <f t="shared" si="18"/>
        <v>0</v>
      </c>
      <c r="I176" s="265">
        <v>11.89</v>
      </c>
      <c r="J176" s="265" t="s">
        <v>326</v>
      </c>
      <c r="K176" s="265" t="s">
        <v>326</v>
      </c>
      <c r="L176" s="265" t="str">
        <f t="shared" si="27"/>
        <v xml:space="preserve"> </v>
      </c>
      <c r="M176" s="265">
        <f t="shared" si="21"/>
        <v>0</v>
      </c>
      <c r="N176" s="265" t="str">
        <f t="shared" si="22"/>
        <v xml:space="preserve"> </v>
      </c>
      <c r="O176" s="265" t="str">
        <f t="shared" si="23"/>
        <v xml:space="preserve"> </v>
      </c>
      <c r="P176" s="265" t="str">
        <f t="shared" si="24"/>
        <v xml:space="preserve"> </v>
      </c>
      <c r="Q176" s="265" t="str">
        <f t="shared" si="25"/>
        <v xml:space="preserve"> </v>
      </c>
      <c r="R176" s="265" t="str">
        <f t="shared" si="26"/>
        <v xml:space="preserve"> </v>
      </c>
    </row>
    <row r="177" spans="1:25">
      <c r="A177" s="14">
        <v>19</v>
      </c>
      <c r="B177" s="265">
        <v>14.55</v>
      </c>
      <c r="C177" s="265">
        <v>12.58</v>
      </c>
      <c r="D177" s="265">
        <f t="shared" si="17"/>
        <v>14.55</v>
      </c>
      <c r="E177" s="265">
        <v>17.66</v>
      </c>
      <c r="F177" s="265">
        <v>12.26</v>
      </c>
      <c r="G177" s="266">
        <f t="shared" si="20"/>
        <v>0</v>
      </c>
      <c r="H177" s="265">
        <f t="shared" si="18"/>
        <v>0</v>
      </c>
      <c r="I177" s="265">
        <v>12.15</v>
      </c>
      <c r="J177" s="265" t="s">
        <v>326</v>
      </c>
      <c r="K177" s="265" t="s">
        <v>326</v>
      </c>
      <c r="L177" s="265" t="str">
        <f t="shared" si="27"/>
        <v xml:space="preserve"> </v>
      </c>
      <c r="M177" s="265">
        <f t="shared" si="21"/>
        <v>0</v>
      </c>
      <c r="N177" s="265" t="str">
        <f t="shared" si="22"/>
        <v xml:space="preserve"> </v>
      </c>
      <c r="O177" s="265" t="str">
        <f t="shared" si="23"/>
        <v xml:space="preserve"> </v>
      </c>
      <c r="P177" s="265" t="str">
        <f t="shared" si="24"/>
        <v xml:space="preserve"> </v>
      </c>
      <c r="Q177" s="265" t="str">
        <f t="shared" si="25"/>
        <v xml:space="preserve"> </v>
      </c>
      <c r="R177" s="265" t="str">
        <f t="shared" si="26"/>
        <v xml:space="preserve"> </v>
      </c>
    </row>
    <row r="178" spans="1:25">
      <c r="A178" s="14">
        <v>20</v>
      </c>
      <c r="B178" s="265">
        <v>14.55</v>
      </c>
      <c r="C178" s="265">
        <v>12.58</v>
      </c>
      <c r="D178" s="265">
        <f t="shared" si="17"/>
        <v>14.55</v>
      </c>
      <c r="E178" s="265">
        <v>17.66</v>
      </c>
      <c r="F178" s="265">
        <v>12.26</v>
      </c>
      <c r="G178" s="266">
        <f t="shared" si="20"/>
        <v>0</v>
      </c>
      <c r="H178" s="265">
        <f t="shared" si="18"/>
        <v>0</v>
      </c>
      <c r="I178" s="265">
        <v>12.15</v>
      </c>
      <c r="J178" s="265" t="s">
        <v>326</v>
      </c>
      <c r="K178" s="265" t="s">
        <v>326</v>
      </c>
      <c r="L178" s="265" t="str">
        <f t="shared" si="27"/>
        <v xml:space="preserve"> </v>
      </c>
      <c r="M178" s="265">
        <f t="shared" si="21"/>
        <v>0</v>
      </c>
      <c r="N178" s="265" t="str">
        <f t="shared" si="22"/>
        <v xml:space="preserve"> </v>
      </c>
      <c r="O178" s="265" t="str">
        <f t="shared" si="23"/>
        <v xml:space="preserve"> </v>
      </c>
      <c r="P178" s="265" t="str">
        <f t="shared" si="24"/>
        <v xml:space="preserve"> </v>
      </c>
      <c r="Q178" s="265" t="str">
        <f t="shared" si="25"/>
        <v xml:space="preserve"> </v>
      </c>
      <c r="R178" s="265" t="str">
        <f t="shared" si="26"/>
        <v xml:space="preserve"> </v>
      </c>
    </row>
    <row r="180" spans="1:25">
      <c r="Y180" t="s">
        <v>326</v>
      </c>
    </row>
    <row r="188" spans="1:25" s="478" customFormat="1">
      <c r="A188" s="478" t="s">
        <v>517</v>
      </c>
      <c r="D188" s="478" t="s">
        <v>428</v>
      </c>
    </row>
    <row r="190" spans="1:25">
      <c r="B190" t="s">
        <v>309</v>
      </c>
      <c r="C190" t="s">
        <v>400</v>
      </c>
      <c r="E190" t="s">
        <v>310</v>
      </c>
      <c r="F190" t="s">
        <v>311</v>
      </c>
      <c r="I190" s="324" t="s">
        <v>310</v>
      </c>
    </row>
    <row r="191" spans="1:25">
      <c r="C191" s="324" t="s">
        <v>497</v>
      </c>
      <c r="D191" s="324" t="str">
        <f>I7</f>
        <v>2013-2014</v>
      </c>
      <c r="E191" s="324"/>
      <c r="F191" s="324" t="s">
        <v>474</v>
      </c>
      <c r="G191" s="324" t="str">
        <f>D191</f>
        <v>2013-2014</v>
      </c>
      <c r="H191" s="324"/>
    </row>
    <row r="192" spans="1:25">
      <c r="B192" t="s">
        <v>190</v>
      </c>
      <c r="C192">
        <v>444</v>
      </c>
      <c r="D192" s="142">
        <f>F38</f>
        <v>404</v>
      </c>
      <c r="E192" s="142">
        <f>D192-C192</f>
        <v>-40</v>
      </c>
      <c r="F192" s="563">
        <v>24</v>
      </c>
      <c r="G192" s="563">
        <f>F45</f>
        <v>19</v>
      </c>
      <c r="H192" s="563"/>
      <c r="I192" s="564">
        <f>G192-F192</f>
        <v>-5</v>
      </c>
    </row>
    <row r="193" spans="1:9">
      <c r="B193" t="s">
        <v>192</v>
      </c>
      <c r="C193">
        <v>463</v>
      </c>
      <c r="D193" s="142">
        <f>G38</f>
        <v>492</v>
      </c>
      <c r="E193" s="142">
        <f>D193-C193</f>
        <v>29</v>
      </c>
      <c r="F193" s="563">
        <v>25</v>
      </c>
      <c r="G193" s="563">
        <f>G45</f>
        <v>23</v>
      </c>
      <c r="H193" s="563"/>
      <c r="I193" s="564">
        <f>G193-F193</f>
        <v>-2</v>
      </c>
    </row>
    <row r="194" spans="1:9">
      <c r="B194" t="s">
        <v>401</v>
      </c>
      <c r="C194">
        <v>528</v>
      </c>
      <c r="D194" s="142">
        <f>E38</f>
        <v>565</v>
      </c>
      <c r="E194" s="142">
        <f>D194-C194</f>
        <v>37</v>
      </c>
      <c r="F194" s="563">
        <v>24</v>
      </c>
      <c r="G194" s="563">
        <f>E45</f>
        <v>24.4</v>
      </c>
      <c r="H194" s="563"/>
      <c r="I194" s="564">
        <f>G194-F194</f>
        <v>0.39999999999999858</v>
      </c>
    </row>
    <row r="195" spans="1:9">
      <c r="B195" t="s">
        <v>380</v>
      </c>
      <c r="C195">
        <v>731</v>
      </c>
      <c r="D195" s="142">
        <f>D38</f>
        <v>752</v>
      </c>
      <c r="E195" s="142">
        <f>D195-C195</f>
        <v>21</v>
      </c>
      <c r="F195" s="563">
        <v>33.200000000000003</v>
      </c>
      <c r="G195" s="563">
        <f>D45</f>
        <v>32.9</v>
      </c>
      <c r="H195" s="563"/>
      <c r="I195" s="564">
        <f>G195-F195</f>
        <v>-0.30000000000000426</v>
      </c>
    </row>
    <row r="196" spans="1:9">
      <c r="B196" t="s">
        <v>312</v>
      </c>
      <c r="C196" s="461">
        <f>SUM(C192:C195)</f>
        <v>2166</v>
      </c>
      <c r="D196" s="461">
        <f>SUM(D192:D195)</f>
        <v>2213</v>
      </c>
      <c r="E196" s="142">
        <f>D196-C196</f>
        <v>47</v>
      </c>
      <c r="F196" s="563">
        <f>SUM(F192:F195)</f>
        <v>106.2</v>
      </c>
      <c r="G196" s="563">
        <f>SUM(G192:G195)</f>
        <v>99.300000000000011</v>
      </c>
      <c r="H196" s="563"/>
      <c r="I196" s="564">
        <f>G196-F196</f>
        <v>-6.8999999999999915</v>
      </c>
    </row>
    <row r="197" spans="1:9" s="589" customFormat="1">
      <c r="A197" s="589" t="s">
        <v>473</v>
      </c>
    </row>
    <row r="198" spans="1:9">
      <c r="A198" s="589" t="s">
        <v>518</v>
      </c>
    </row>
    <row r="199" spans="1:9">
      <c r="C199" s="461"/>
      <c r="D199" s="461"/>
      <c r="E199" s="142"/>
      <c r="F199" s="563"/>
      <c r="G199" s="563"/>
      <c r="H199" s="563"/>
      <c r="I199" s="564"/>
    </row>
    <row r="200" spans="1:9">
      <c r="C200" s="461"/>
      <c r="D200" s="461"/>
      <c r="E200" s="142"/>
      <c r="F200" s="563"/>
      <c r="G200" s="563"/>
      <c r="H200" s="563"/>
      <c r="I200" s="564"/>
    </row>
    <row r="202" spans="1:9" s="478" customFormat="1">
      <c r="D202" s="478" t="s">
        <v>429</v>
      </c>
    </row>
    <row r="204" spans="1:9">
      <c r="C204" s="324" t="s">
        <v>308</v>
      </c>
      <c r="D204" s="324" t="s">
        <v>313</v>
      </c>
      <c r="E204" s="324" t="s">
        <v>190</v>
      </c>
      <c r="F204" s="324" t="s">
        <v>192</v>
      </c>
      <c r="G204" s="324" t="s">
        <v>312</v>
      </c>
      <c r="H204" s="324"/>
    </row>
    <row r="205" spans="1:9">
      <c r="B205" t="s">
        <v>213</v>
      </c>
      <c r="C205" s="563">
        <f t="shared" ref="C205:F206" si="28">D38</f>
        <v>752</v>
      </c>
      <c r="D205" s="563">
        <f t="shared" si="28"/>
        <v>565</v>
      </c>
      <c r="E205" s="563">
        <f t="shared" si="28"/>
        <v>404</v>
      </c>
      <c r="F205" s="563">
        <f t="shared" si="28"/>
        <v>492</v>
      </c>
      <c r="G205" s="563">
        <f>I38</f>
        <v>2388</v>
      </c>
      <c r="H205" s="563"/>
    </row>
    <row r="206" spans="1:9">
      <c r="B206" t="s">
        <v>402</v>
      </c>
      <c r="C206" s="563">
        <f t="shared" si="28"/>
        <v>720.4</v>
      </c>
      <c r="D206" s="563">
        <f t="shared" si="28"/>
        <v>541.29999999999995</v>
      </c>
      <c r="E206" s="563">
        <f t="shared" si="28"/>
        <v>387</v>
      </c>
      <c r="F206" s="563">
        <f t="shared" si="28"/>
        <v>471.3</v>
      </c>
      <c r="G206" s="563">
        <f>I39</f>
        <v>2287.6999999999998</v>
      </c>
      <c r="H206" s="563"/>
    </row>
    <row r="207" spans="1:9">
      <c r="B207" t="s">
        <v>217</v>
      </c>
      <c r="C207" s="563">
        <f>D43</f>
        <v>30.4</v>
      </c>
      <c r="D207" s="563">
        <f>E43</f>
        <v>23</v>
      </c>
      <c r="E207" s="563">
        <f>F43</f>
        <v>15.8</v>
      </c>
      <c r="F207" s="563">
        <f>G43</f>
        <v>19.2</v>
      </c>
      <c r="G207" s="563">
        <f>I43</f>
        <v>92</v>
      </c>
      <c r="H207" s="563"/>
    </row>
    <row r="208" spans="1:9">
      <c r="B208" t="s">
        <v>314</v>
      </c>
      <c r="C208" s="471">
        <f>(C209-C207)/C207</f>
        <v>8.2236842105263164E-2</v>
      </c>
      <c r="D208" s="471">
        <f>(D209-D207)/D207</f>
        <v>6.0869565217391244E-2</v>
      </c>
      <c r="E208" s="471">
        <f>(E209-E207)/E207</f>
        <v>0.20253164556962019</v>
      </c>
      <c r="F208" s="471">
        <f>(F209-F207)/F207</f>
        <v>0.19791666666666671</v>
      </c>
      <c r="G208" s="471">
        <f>(G209-G207)/G207</f>
        <v>0.16630434782608691</v>
      </c>
      <c r="H208" s="471"/>
    </row>
    <row r="209" spans="2:8">
      <c r="B209" t="s">
        <v>315</v>
      </c>
      <c r="C209" s="563">
        <f>D45</f>
        <v>32.9</v>
      </c>
      <c r="D209" s="563">
        <f>E45</f>
        <v>24.4</v>
      </c>
      <c r="E209" s="563">
        <f>F45</f>
        <v>19</v>
      </c>
      <c r="F209" s="563">
        <f>G45</f>
        <v>23</v>
      </c>
      <c r="G209" s="563">
        <f>I45</f>
        <v>107.3</v>
      </c>
      <c r="H209" s="563"/>
    </row>
    <row r="210" spans="2:8">
      <c r="B210" t="s">
        <v>316</v>
      </c>
      <c r="C210" s="563">
        <f>ROUND(C205/C209,1)</f>
        <v>22.9</v>
      </c>
      <c r="D210" s="563">
        <f>ROUND(D205/D209,1)</f>
        <v>23.2</v>
      </c>
      <c r="E210" s="563">
        <f>ROUND(E205/E209,1)</f>
        <v>21.3</v>
      </c>
      <c r="F210" s="563">
        <f>ROUND(F205/F209,1)</f>
        <v>21.4</v>
      </c>
      <c r="G210" s="563">
        <f>ROUND(G205/G209,1)</f>
        <v>22.3</v>
      </c>
      <c r="H210" s="563"/>
    </row>
  </sheetData>
  <mergeCells count="1">
    <mergeCell ref="F4:I4"/>
  </mergeCells>
  <phoneticPr fontId="0" type="noConversion"/>
  <pageMargins left="0.75" right="0.75" top="0.5" bottom="0.75" header="0.5" footer="0.4"/>
  <pageSetup orientation="landscape" horizontalDpi="300" verticalDpi="300" r:id="rId1"/>
  <headerFooter alignWithMargins="0">
    <oddFooter>&amp;RDATA - PAGE &amp;P</oddFooter>
  </headerFooter>
  <rowBreaks count="3" manualBreakCount="3">
    <brk id="72" max="7" man="1"/>
    <brk id="113" max="65535" man="1"/>
    <brk id="148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topLeftCell="A37" zoomScale="75" workbookViewId="0">
      <selection activeCell="G12" sqref="G12"/>
    </sheetView>
  </sheetViews>
  <sheetFormatPr defaultRowHeight="12.75"/>
  <cols>
    <col min="1" max="1" width="22.28515625" customWidth="1"/>
    <col min="2" max="2" width="14.140625" customWidth="1"/>
    <col min="3" max="3" width="13.7109375" customWidth="1"/>
    <col min="4" max="4" width="14.28515625" customWidth="1"/>
    <col min="5" max="5" width="11.5703125" customWidth="1"/>
    <col min="6" max="6" width="12.85546875" customWidth="1"/>
    <col min="7" max="7" width="15.140625" customWidth="1"/>
    <col min="8" max="8" width="14.7109375" customWidth="1"/>
    <col min="9" max="9" width="10.7109375" customWidth="1"/>
  </cols>
  <sheetData>
    <row r="1" spans="1:8" ht="15.75">
      <c r="C1" s="24" t="s">
        <v>284</v>
      </c>
      <c r="H1" s="460"/>
    </row>
    <row r="2" spans="1:8" ht="18">
      <c r="C2" s="372" t="s">
        <v>285</v>
      </c>
    </row>
    <row r="3" spans="1:8" ht="14.25">
      <c r="C3" s="52"/>
      <c r="D3" s="53"/>
      <c r="E3" s="52"/>
      <c r="F3" s="53"/>
      <c r="G3" s="52"/>
    </row>
    <row r="5" spans="1:8" ht="16.5">
      <c r="D5" s="21" t="s">
        <v>154</v>
      </c>
    </row>
    <row r="6" spans="1:8" ht="16.5">
      <c r="D6" s="21" t="s">
        <v>155</v>
      </c>
    </row>
    <row r="7" spans="1:8" ht="16.5">
      <c r="D7" s="21" t="s">
        <v>156</v>
      </c>
    </row>
    <row r="8" spans="1:8" ht="16.5">
      <c r="D8" s="21"/>
    </row>
    <row r="9" spans="1:8">
      <c r="E9" t="s">
        <v>5</v>
      </c>
      <c r="F9" s="7" t="str">
        <f>+$C$1</f>
        <v xml:space="preserve">  ELIZABETHTOWN INDEPENDENT SCHOOLS</v>
      </c>
      <c r="G9" s="7"/>
      <c r="H9" s="7"/>
    </row>
    <row r="11" spans="1:8" ht="15.75" thickBot="1">
      <c r="A11" s="22" t="s">
        <v>157</v>
      </c>
      <c r="G11" s="389">
        <v>18859213</v>
      </c>
    </row>
    <row r="12" spans="1:8" ht="15">
      <c r="G12" s="448"/>
    </row>
    <row r="13" spans="1:8" ht="15.75" thickBot="1">
      <c r="A13" t="s">
        <v>158</v>
      </c>
      <c r="G13" s="389">
        <f>G11-G17</f>
        <v>11068807.362</v>
      </c>
    </row>
    <row r="14" spans="1:8" ht="15">
      <c r="A14" t="s">
        <v>159</v>
      </c>
      <c r="G14" s="448"/>
    </row>
    <row r="15" spans="1:8" ht="15">
      <c r="A15" t="s">
        <v>160</v>
      </c>
      <c r="G15" s="448"/>
    </row>
    <row r="16" spans="1:8" ht="15">
      <c r="G16" s="448"/>
    </row>
    <row r="17" spans="1:8" ht="15.75" thickBot="1">
      <c r="A17" t="s">
        <v>161</v>
      </c>
      <c r="G17" s="389">
        <f>G52</f>
        <v>7790405.6380000003</v>
      </c>
    </row>
    <row r="18" spans="1:8" ht="15">
      <c r="H18" s="23"/>
    </row>
    <row r="19" spans="1:8" ht="15">
      <c r="A19" s="57"/>
      <c r="B19" s="57"/>
      <c r="C19" s="55"/>
      <c r="D19" s="58" t="s">
        <v>162</v>
      </c>
      <c r="E19" s="55"/>
      <c r="F19" s="57"/>
      <c r="G19" s="57"/>
    </row>
    <row r="20" spans="1:8" ht="15">
      <c r="A20" s="57"/>
      <c r="B20" s="57"/>
      <c r="C20" s="449" t="str">
        <f>Data!$I$7</f>
        <v>2013-2014</v>
      </c>
      <c r="D20" s="56" t="s">
        <v>286</v>
      </c>
      <c r="E20" s="55"/>
      <c r="F20" s="57"/>
      <c r="G20" s="57"/>
    </row>
    <row r="21" spans="1:8">
      <c r="D21" s="22"/>
    </row>
    <row r="23" spans="1:8" ht="13.5" thickBot="1">
      <c r="F23" s="25"/>
      <c r="G23" s="25"/>
      <c r="H23" s="25"/>
    </row>
    <row r="24" spans="1:8" s="15" customFormat="1" thickBot="1">
      <c r="A24" s="59"/>
      <c r="B24" s="60" t="s">
        <v>163</v>
      </c>
      <c r="C24" s="60" t="s">
        <v>164</v>
      </c>
      <c r="D24" s="60" t="s">
        <v>165</v>
      </c>
      <c r="E24" s="60"/>
      <c r="F24" s="60" t="s">
        <v>166</v>
      </c>
      <c r="G24" s="60"/>
      <c r="H24" s="61" t="s">
        <v>356</v>
      </c>
    </row>
    <row r="25" spans="1:8">
      <c r="A25" s="17"/>
      <c r="B25" s="33" t="s">
        <v>7</v>
      </c>
      <c r="C25" s="33" t="s">
        <v>16</v>
      </c>
      <c r="D25" s="33" t="s">
        <v>167</v>
      </c>
      <c r="E25" s="33" t="s">
        <v>168</v>
      </c>
      <c r="F25" s="33" t="s">
        <v>10</v>
      </c>
      <c r="G25" s="33" t="s">
        <v>28</v>
      </c>
      <c r="H25" s="19" t="s">
        <v>169</v>
      </c>
    </row>
    <row r="26" spans="1:8">
      <c r="A26" s="17" t="s">
        <v>357</v>
      </c>
      <c r="B26" s="33" t="s">
        <v>66</v>
      </c>
      <c r="C26" s="33" t="s">
        <v>66</v>
      </c>
      <c r="D26" s="33" t="s">
        <v>170</v>
      </c>
      <c r="E26" s="33" t="s">
        <v>171</v>
      </c>
      <c r="F26" s="33" t="s">
        <v>172</v>
      </c>
      <c r="G26" s="33" t="s">
        <v>89</v>
      </c>
      <c r="H26" s="19" t="s">
        <v>173</v>
      </c>
    </row>
    <row r="27" spans="1:8">
      <c r="A27" s="28"/>
      <c r="B27" s="33" t="s">
        <v>89</v>
      </c>
      <c r="C27" s="33" t="s">
        <v>89</v>
      </c>
      <c r="D27" s="33" t="s">
        <v>89</v>
      </c>
      <c r="E27" s="33" t="s">
        <v>174</v>
      </c>
      <c r="F27" s="33" t="s">
        <v>89</v>
      </c>
      <c r="G27" s="33" t="s">
        <v>175</v>
      </c>
      <c r="H27" s="19"/>
    </row>
    <row r="28" spans="1:8" ht="13.5" thickBot="1">
      <c r="A28" s="31"/>
      <c r="B28" s="34"/>
      <c r="C28" s="34"/>
      <c r="D28" s="34"/>
      <c r="E28" s="34"/>
      <c r="F28" s="34"/>
      <c r="G28" s="34" t="s">
        <v>176</v>
      </c>
      <c r="H28" s="20"/>
    </row>
    <row r="29" spans="1:8">
      <c r="A29" s="17"/>
      <c r="B29" s="32"/>
      <c r="C29" s="32"/>
      <c r="D29" s="25"/>
      <c r="E29" s="32"/>
      <c r="F29" s="25"/>
      <c r="G29" s="32"/>
      <c r="H29" s="26"/>
    </row>
    <row r="30" spans="1:8" ht="15">
      <c r="A30" s="62" t="str">
        <f>Data!$C$8</f>
        <v>E'town H/S</v>
      </c>
      <c r="B30" s="63">
        <f>Data!$D$40+Data!$D$42</f>
        <v>2024358.138</v>
      </c>
      <c r="C30" s="63">
        <f>Data!$D$54+Data!$D$64+Data!$D$56</f>
        <v>240241</v>
      </c>
      <c r="D30" s="64">
        <f>Data!$D$68</f>
        <v>75642</v>
      </c>
      <c r="E30" s="411">
        <f>Data!D70</f>
        <v>105.00000000000001</v>
      </c>
      <c r="F30" s="64">
        <f>Data!$D$71</f>
        <v>0</v>
      </c>
      <c r="G30" s="63">
        <f>SUM(B30:D30)+F30</f>
        <v>2340241.1380000003</v>
      </c>
      <c r="H30" s="66">
        <f>Data!$E$8</f>
        <v>1935</v>
      </c>
    </row>
    <row r="31" spans="1:8" ht="15">
      <c r="A31" s="28"/>
      <c r="B31" s="35"/>
      <c r="C31" s="35"/>
      <c r="D31" s="36"/>
      <c r="E31" s="49"/>
      <c r="F31" s="36"/>
      <c r="G31" s="35"/>
      <c r="H31" s="37"/>
    </row>
    <row r="32" spans="1:8" ht="15">
      <c r="A32" s="62" t="str">
        <f>Data!$C$10</f>
        <v>Helmwood</v>
      </c>
      <c r="B32" s="63">
        <f>Data!$F$40+Data!$F$42</f>
        <v>1210473</v>
      </c>
      <c r="C32" s="63">
        <f>Data!$F$54+Data!$F$64+Data!$F$56</f>
        <v>183528</v>
      </c>
      <c r="D32" s="64">
        <f>Data!$F$68</f>
        <v>40635</v>
      </c>
      <c r="E32" s="65">
        <f>$E$30</f>
        <v>105.00000000000001</v>
      </c>
      <c r="F32" s="64">
        <f>Data!$F$71</f>
        <v>0</v>
      </c>
      <c r="G32" s="63">
        <f>SUM(B32:D32)+F32</f>
        <v>1434636</v>
      </c>
      <c r="H32" s="66">
        <f>Data!$E$10</f>
        <v>1247</v>
      </c>
    </row>
    <row r="33" spans="1:9" ht="15">
      <c r="A33" s="28"/>
      <c r="B33" s="35"/>
      <c r="C33" s="35"/>
      <c r="D33" s="36"/>
      <c r="E33" s="49"/>
      <c r="F33" s="36"/>
      <c r="G33" s="35"/>
      <c r="H33" s="37"/>
    </row>
    <row r="34" spans="1:9" ht="15">
      <c r="A34" s="67" t="str">
        <f>Data!$C$11</f>
        <v>Morningside</v>
      </c>
      <c r="B34" s="63">
        <f>Data!$G$40+Data!$G$42</f>
        <v>1372257</v>
      </c>
      <c r="C34" s="63">
        <f>Data!$G$54+Data!$G$64+Data!$G$56</f>
        <v>183066</v>
      </c>
      <c r="D34" s="64">
        <f>Data!$G$68</f>
        <v>49487</v>
      </c>
      <c r="E34" s="65">
        <f>$E$30</f>
        <v>105.00000000000001</v>
      </c>
      <c r="F34" s="64">
        <f>Data!$G$71</f>
        <v>0</v>
      </c>
      <c r="G34" s="63">
        <f>SUM(B34:D34)+F34</f>
        <v>1604810</v>
      </c>
      <c r="H34" s="66">
        <f>Data!$E$11</f>
        <v>1333</v>
      </c>
    </row>
    <row r="35" spans="1:9" ht="15">
      <c r="A35" s="28"/>
      <c r="B35" s="35"/>
      <c r="C35" s="35"/>
      <c r="D35" s="36"/>
      <c r="E35" s="49"/>
      <c r="F35" s="36"/>
      <c r="G35" s="35"/>
      <c r="H35" s="37"/>
      <c r="I35" s="351"/>
    </row>
    <row r="36" spans="1:9" ht="15">
      <c r="A36" s="62" t="str">
        <f>Data!$C$9</f>
        <v>T. K. Stone M/S</v>
      </c>
      <c r="B36" s="63">
        <f>Data!$E$40+Data!$E$42</f>
        <v>1520933</v>
      </c>
      <c r="C36" s="63">
        <f>Data!$E$54+Data!$E$64+Data!$E$56</f>
        <v>138981</v>
      </c>
      <c r="D36" s="64">
        <f>Data!$E$68</f>
        <v>56837</v>
      </c>
      <c r="E36" s="65">
        <f>$E$30</f>
        <v>105.00000000000001</v>
      </c>
      <c r="F36" s="64">
        <f>Data!$E$71</f>
        <v>0</v>
      </c>
      <c r="G36" s="63">
        <f>SUM(B36:D36)+F36</f>
        <v>1716751</v>
      </c>
      <c r="H36" s="66">
        <f>Data!$E$9</f>
        <v>1548</v>
      </c>
    </row>
    <row r="37" spans="1:9" ht="15">
      <c r="A37" s="17"/>
      <c r="B37" s="35"/>
      <c r="C37" s="35"/>
      <c r="D37" s="36"/>
      <c r="E37" s="49"/>
      <c r="F37" s="36"/>
      <c r="G37" s="35"/>
      <c r="H37" s="37"/>
    </row>
    <row r="38" spans="1:9" ht="15">
      <c r="A38" s="68" t="s">
        <v>552</v>
      </c>
      <c r="B38" s="63">
        <f>Data!$H$40+Data!$H$42</f>
        <v>522415.5</v>
      </c>
      <c r="C38" s="63">
        <f>Data!$H$54+Data!$H$64+Data!$H$56</f>
        <v>153943</v>
      </c>
      <c r="D38" s="64">
        <f>Data!$H$68</f>
        <v>17609</v>
      </c>
      <c r="E38" s="65">
        <f>$E$30</f>
        <v>105.00000000000001</v>
      </c>
      <c r="F38" s="64">
        <f>Data!$E$71</f>
        <v>0</v>
      </c>
      <c r="G38" s="63">
        <f>SUM(B38:D38)+F38</f>
        <v>693967.5</v>
      </c>
      <c r="H38" s="66">
        <f>Data!$E$12</f>
        <v>645</v>
      </c>
    </row>
    <row r="39" spans="1:9" ht="15">
      <c r="A39" s="17"/>
      <c r="B39" s="35"/>
      <c r="C39" s="35"/>
      <c r="D39" s="36"/>
      <c r="E39" s="49"/>
      <c r="F39" s="36"/>
      <c r="G39" s="35"/>
      <c r="H39" s="37"/>
    </row>
    <row r="40" spans="1:9" ht="15">
      <c r="A40" s="68"/>
      <c r="B40" s="63"/>
      <c r="C40" s="63"/>
      <c r="D40" s="64"/>
      <c r="E40" s="65"/>
      <c r="F40" s="64"/>
      <c r="G40" s="63"/>
      <c r="H40" s="66"/>
    </row>
    <row r="41" spans="1:9" ht="15">
      <c r="A41" s="17"/>
      <c r="B41" s="35"/>
      <c r="C41" s="35"/>
      <c r="D41" s="36"/>
      <c r="E41" s="49"/>
      <c r="F41" s="36"/>
      <c r="G41" s="35"/>
      <c r="H41" s="37"/>
    </row>
    <row r="42" spans="1:9" ht="15">
      <c r="A42" s="68"/>
      <c r="B42" s="63"/>
      <c r="C42" s="63"/>
      <c r="D42" s="64"/>
      <c r="E42" s="65"/>
      <c r="F42" s="64"/>
      <c r="G42" s="63"/>
      <c r="H42" s="66"/>
    </row>
    <row r="43" spans="1:9" ht="15">
      <c r="A43" s="17"/>
      <c r="B43" s="35"/>
      <c r="C43" s="35"/>
      <c r="D43" s="36"/>
      <c r="E43" s="49"/>
      <c r="F43" s="36"/>
      <c r="G43" s="35"/>
      <c r="H43" s="37"/>
    </row>
    <row r="44" spans="1:9" ht="15">
      <c r="A44" s="68"/>
      <c r="B44" s="63"/>
      <c r="C44" s="63"/>
      <c r="D44" s="64"/>
      <c r="E44" s="65"/>
      <c r="F44" s="64"/>
      <c r="G44" s="63"/>
      <c r="H44" s="66"/>
    </row>
    <row r="45" spans="1:9" ht="15">
      <c r="A45" s="17"/>
      <c r="B45" s="35"/>
      <c r="C45" s="35"/>
      <c r="D45" s="36"/>
      <c r="E45" s="49"/>
      <c r="F45" s="36"/>
      <c r="G45" s="35"/>
      <c r="H45" s="37"/>
    </row>
    <row r="46" spans="1:9" ht="15">
      <c r="A46" s="68"/>
      <c r="B46" s="63"/>
      <c r="C46" s="63"/>
      <c r="D46" s="64"/>
      <c r="E46" s="65"/>
      <c r="F46" s="64"/>
      <c r="G46" s="63"/>
      <c r="H46" s="66"/>
    </row>
    <row r="47" spans="1:9" ht="15">
      <c r="A47" s="17"/>
      <c r="B47" s="35"/>
      <c r="C47" s="35"/>
      <c r="D47" s="36"/>
      <c r="E47" s="49"/>
      <c r="F47" s="36"/>
      <c r="G47" s="35"/>
      <c r="H47" s="37"/>
    </row>
    <row r="48" spans="1:9" ht="15">
      <c r="A48" s="68"/>
      <c r="B48" s="63"/>
      <c r="C48" s="63"/>
      <c r="D48" s="64"/>
      <c r="E48" s="65"/>
      <c r="F48" s="64"/>
      <c r="G48" s="63"/>
      <c r="H48" s="66"/>
    </row>
    <row r="49" spans="1:8" ht="15">
      <c r="A49" s="17"/>
      <c r="B49" s="35"/>
      <c r="C49" s="35"/>
      <c r="D49" s="36"/>
      <c r="E49" s="49"/>
      <c r="F49" s="36"/>
      <c r="G49" s="35"/>
      <c r="H49" s="37"/>
    </row>
    <row r="50" spans="1:8" ht="15.75" thickBot="1">
      <c r="A50" s="38"/>
      <c r="B50" s="39"/>
      <c r="C50" s="39"/>
      <c r="D50" s="40"/>
      <c r="E50" s="50"/>
      <c r="F50" s="40"/>
      <c r="G50" s="39"/>
      <c r="H50" s="41"/>
    </row>
    <row r="51" spans="1:8" ht="15.75" thickTop="1">
      <c r="A51" s="17"/>
      <c r="B51" s="35"/>
      <c r="C51" s="35"/>
      <c r="D51" s="36"/>
      <c r="E51" s="48"/>
      <c r="F51" s="36"/>
      <c r="G51" s="35"/>
      <c r="H51" s="37"/>
    </row>
    <row r="52" spans="1:8" ht="15.75" thickBot="1">
      <c r="A52" s="18" t="s">
        <v>358</v>
      </c>
      <c r="B52" s="42">
        <f>SUM(B30:B38)</f>
        <v>6650436.6380000003</v>
      </c>
      <c r="C52" s="42">
        <f>SUM(C30:C38)</f>
        <v>899759</v>
      </c>
      <c r="D52" s="42">
        <f>SUM(D30:D38)</f>
        <v>240210</v>
      </c>
      <c r="E52" s="47"/>
      <c r="F52" s="42">
        <f>SUM(F29:F50)</f>
        <v>0</v>
      </c>
      <c r="G52" s="42">
        <f>SUM(G30:G38)</f>
        <v>7790405.6380000003</v>
      </c>
      <c r="H52" s="51">
        <f>SUM(H30:H38)</f>
        <v>6708</v>
      </c>
    </row>
    <row r="53" spans="1:8" ht="15">
      <c r="A53" s="16"/>
      <c r="B53" s="45"/>
      <c r="C53" s="46"/>
      <c r="D53" s="48"/>
      <c r="E53" s="48"/>
      <c r="F53" s="48"/>
      <c r="G53" s="35"/>
      <c r="H53" s="48"/>
    </row>
    <row r="54" spans="1:8" ht="15.75" thickBot="1">
      <c r="A54" s="18" t="s">
        <v>177</v>
      </c>
      <c r="B54" s="43"/>
      <c r="C54" s="44"/>
      <c r="D54" s="47"/>
      <c r="E54" s="47"/>
      <c r="F54" s="47"/>
      <c r="G54" s="42">
        <f>+G17</f>
        <v>7790405.6380000003</v>
      </c>
      <c r="H54" s="47"/>
    </row>
    <row r="55" spans="1:8">
      <c r="A55" s="17"/>
      <c r="B55" s="25"/>
      <c r="C55" s="25"/>
      <c r="D55" s="25"/>
      <c r="E55" s="25"/>
      <c r="F55" s="25"/>
      <c r="G55" s="25"/>
      <c r="H55" s="26"/>
    </row>
    <row r="56" spans="1:8">
      <c r="A56" s="27"/>
      <c r="B56" s="25"/>
      <c r="C56" s="25"/>
      <c r="D56" s="25"/>
      <c r="E56" s="25"/>
      <c r="F56" s="25"/>
      <c r="G56" s="359">
        <f>G54-G52</f>
        <v>0</v>
      </c>
      <c r="H56" s="26"/>
    </row>
    <row r="57" spans="1:8">
      <c r="A57" s="28"/>
      <c r="B57" s="25"/>
      <c r="C57" s="25"/>
      <c r="D57" s="25"/>
      <c r="E57" s="25"/>
      <c r="F57" s="25"/>
      <c r="G57" s="25"/>
      <c r="H57" s="26"/>
    </row>
    <row r="58" spans="1:8">
      <c r="A58" s="28"/>
      <c r="B58" s="25"/>
      <c r="C58" s="25"/>
      <c r="D58" s="25"/>
      <c r="E58" s="25"/>
      <c r="F58" s="25"/>
      <c r="G58" s="25"/>
      <c r="H58" s="26"/>
    </row>
    <row r="59" spans="1:8">
      <c r="A59" s="17"/>
      <c r="B59" s="25"/>
      <c r="C59" s="25"/>
      <c r="D59" s="25"/>
      <c r="E59" s="25"/>
      <c r="F59" s="25"/>
      <c r="G59" s="25"/>
      <c r="H59" s="26"/>
    </row>
    <row r="60" spans="1:8" ht="13.5" thickBot="1">
      <c r="A60" s="17" t="s">
        <v>359</v>
      </c>
      <c r="B60" s="25"/>
      <c r="C60" s="25"/>
      <c r="D60" s="25"/>
      <c r="E60" s="29"/>
      <c r="F60" s="29"/>
      <c r="G60" s="29"/>
      <c r="H60" s="26"/>
    </row>
    <row r="61" spans="1:8">
      <c r="A61" s="17"/>
      <c r="B61" s="25"/>
      <c r="E61" s="25" t="s">
        <v>178</v>
      </c>
      <c r="F61" s="25"/>
      <c r="G61" s="25"/>
      <c r="H61" s="26"/>
    </row>
    <row r="62" spans="1:8">
      <c r="A62" s="17"/>
      <c r="B62" s="25"/>
      <c r="F62" s="25"/>
      <c r="G62" s="25"/>
      <c r="H62" s="26"/>
    </row>
    <row r="63" spans="1:8">
      <c r="A63" s="17"/>
      <c r="B63" s="25"/>
      <c r="E63" s="7" t="str">
        <f>+$C$1</f>
        <v xml:space="preserve">  ELIZABETHTOWN INDEPENDENT SCHOOLS</v>
      </c>
      <c r="F63" s="7"/>
      <c r="G63" s="7"/>
      <c r="H63" s="26"/>
    </row>
    <row r="64" spans="1:8">
      <c r="A64" s="17"/>
      <c r="B64" s="25"/>
      <c r="C64" s="25"/>
      <c r="D64" s="25"/>
      <c r="E64" s="25"/>
      <c r="F64" s="394" t="s">
        <v>355</v>
      </c>
      <c r="G64" s="25"/>
      <c r="H64" s="26"/>
    </row>
    <row r="65" spans="1:8" ht="13.5" thickBot="1">
      <c r="A65" s="17" t="s">
        <v>326</v>
      </c>
      <c r="B65" s="25"/>
      <c r="E65" s="29"/>
      <c r="F65" s="29"/>
      <c r="G65" s="29"/>
      <c r="H65" s="26"/>
    </row>
    <row r="66" spans="1:8" ht="13.5" thickBot="1">
      <c r="A66" s="18"/>
      <c r="B66" s="29"/>
      <c r="C66" s="29"/>
      <c r="D66" s="29"/>
      <c r="E66" s="29"/>
      <c r="F66" s="29" t="s">
        <v>179</v>
      </c>
      <c r="G66" s="29"/>
      <c r="H66" s="30"/>
    </row>
  </sheetData>
  <phoneticPr fontId="0" type="noConversion"/>
  <pageMargins left="0.75" right="0.1" top="1" bottom="1" header="0.5" footer="0.5"/>
  <pageSetup scale="80" orientation="portrait" horizontalDpi="300" verticalDpi="300" r:id="rId1"/>
  <headerFooter alignWithMargins="0"/>
  <rowBreaks count="2" manualBreakCount="2">
    <brk id="18" max="16383" man="1"/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88"/>
  <sheetViews>
    <sheetView topLeftCell="A13" zoomScale="85" workbookViewId="0">
      <selection activeCell="N129" sqref="N129"/>
    </sheetView>
  </sheetViews>
  <sheetFormatPr defaultRowHeight="12.75"/>
  <cols>
    <col min="1" max="1" width="21.7109375" customWidth="1"/>
    <col min="2" max="2" width="19.7109375" customWidth="1"/>
    <col min="3" max="3" width="13.7109375" customWidth="1"/>
    <col min="4" max="4" width="10.42578125" customWidth="1"/>
    <col min="5" max="5" width="9.85546875" customWidth="1"/>
    <col min="6" max="6" width="12.140625" customWidth="1"/>
    <col min="7" max="7" width="12.42578125" customWidth="1"/>
    <col min="8" max="8" width="12.42578125" hidden="1" customWidth="1"/>
    <col min="9" max="9" width="12.7109375" customWidth="1"/>
    <col min="10" max="10" width="11.140625" customWidth="1"/>
    <col min="11" max="11" width="10.5703125" bestFit="1" customWidth="1"/>
    <col min="12" max="12" width="10.85546875" customWidth="1"/>
  </cols>
  <sheetData>
    <row r="1" spans="1:12" ht="15.75">
      <c r="C1" s="24" t="str">
        <f>Data!$C$1</f>
        <v>ELIZABETHTOWN INDEPENDENT SCHOOLS</v>
      </c>
      <c r="L1" s="459"/>
    </row>
    <row r="2" spans="1:12" ht="15.75">
      <c r="A2" s="130"/>
      <c r="C2" s="24"/>
      <c r="I2" s="131"/>
    </row>
    <row r="3" spans="1:12" ht="15.75">
      <c r="C3" s="5" t="s">
        <v>2</v>
      </c>
      <c r="D3" s="11"/>
    </row>
    <row r="4" spans="1:12" ht="15.75">
      <c r="C4" s="12"/>
      <c r="D4" s="5" t="s">
        <v>3</v>
      </c>
    </row>
    <row r="5" spans="1:12" ht="15.75">
      <c r="C5" s="12"/>
      <c r="D5" s="13" t="s">
        <v>4</v>
      </c>
    </row>
    <row r="7" spans="1:12" ht="13.5" thickBot="1">
      <c r="A7" s="242" t="str">
        <f>+Data!I7</f>
        <v>2013-2014</v>
      </c>
      <c r="C7" s="73" t="s">
        <v>26</v>
      </c>
    </row>
    <row r="8" spans="1:12">
      <c r="A8" s="146" t="s">
        <v>6</v>
      </c>
      <c r="B8" s="147"/>
      <c r="C8" s="147" t="s">
        <v>27</v>
      </c>
      <c r="D8" s="147" t="s">
        <v>28</v>
      </c>
      <c r="E8" s="147" t="s">
        <v>335</v>
      </c>
      <c r="F8" s="147" t="s">
        <v>139</v>
      </c>
      <c r="G8" s="147" t="s">
        <v>184</v>
      </c>
      <c r="H8" s="147"/>
      <c r="I8" s="149" t="s">
        <v>30</v>
      </c>
    </row>
    <row r="9" spans="1:12" ht="13.5" thickBot="1">
      <c r="A9" s="151"/>
      <c r="B9" s="152"/>
      <c r="C9" s="152"/>
      <c r="D9" s="153" t="s">
        <v>140</v>
      </c>
      <c r="E9" s="153" t="s">
        <v>336</v>
      </c>
      <c r="F9" s="153" t="s">
        <v>32</v>
      </c>
      <c r="G9" s="153" t="s">
        <v>337</v>
      </c>
      <c r="H9" s="153"/>
      <c r="I9" s="154" t="s">
        <v>34</v>
      </c>
    </row>
    <row r="11" spans="1:12" ht="18.75">
      <c r="A11" s="408" t="str">
        <f>Data!$C$8</f>
        <v>E'town H/S</v>
      </c>
      <c r="B11" s="244"/>
      <c r="C11" s="244" t="s">
        <v>340</v>
      </c>
      <c r="D11" s="156">
        <f>ROUND(F11/G11,1)</f>
        <v>8.6999999999999993</v>
      </c>
      <c r="E11" s="414">
        <f>ROUND(F11/31,1)</f>
        <v>6.5</v>
      </c>
      <c r="F11" s="243">
        <f>Data!$F$27</f>
        <v>201</v>
      </c>
      <c r="G11" s="157">
        <v>23</v>
      </c>
      <c r="H11" s="157"/>
      <c r="I11" s="158">
        <f>ROUND(F11/D11,2)</f>
        <v>23.1</v>
      </c>
    </row>
    <row r="12" spans="1:12" ht="16.5">
      <c r="B12" s="244"/>
      <c r="C12" s="244" t="s">
        <v>341</v>
      </c>
      <c r="D12" s="156">
        <f>ROUND(F12/G12,1)</f>
        <v>9.3000000000000007</v>
      </c>
      <c r="E12" s="414">
        <f>ROUND(F12/31,1)</f>
        <v>6.9</v>
      </c>
      <c r="F12" s="243">
        <f>Data!$F$28</f>
        <v>213</v>
      </c>
      <c r="G12" s="157">
        <v>23</v>
      </c>
      <c r="H12" s="157"/>
      <c r="I12" s="158">
        <f>ROUND(F12/D12,2)</f>
        <v>22.9</v>
      </c>
    </row>
    <row r="13" spans="1:12" ht="16.5">
      <c r="B13" s="244"/>
      <c r="C13" s="244" t="s">
        <v>342</v>
      </c>
      <c r="D13" s="156">
        <f>ROUND(F13/G13,1)</f>
        <v>7.9</v>
      </c>
      <c r="E13" s="414">
        <f>ROUND(F13/31,1)</f>
        <v>5.8</v>
      </c>
      <c r="F13" s="243">
        <f>Data!$F$29</f>
        <v>181</v>
      </c>
      <c r="G13" s="157">
        <v>23</v>
      </c>
      <c r="H13" s="157"/>
      <c r="I13" s="158">
        <f>ROUND(F13/D13,2)</f>
        <v>22.91</v>
      </c>
    </row>
    <row r="14" spans="1:12" ht="16.5">
      <c r="B14" s="244"/>
      <c r="C14" s="244" t="s">
        <v>343</v>
      </c>
      <c r="D14" s="156">
        <f>ROUND(F14/G14,1)</f>
        <v>6.8</v>
      </c>
      <c r="E14" s="414">
        <f>ROUND(F14/31,1)</f>
        <v>5</v>
      </c>
      <c r="F14" s="243">
        <f>Data!$F$30</f>
        <v>156</v>
      </c>
      <c r="G14" s="157">
        <f>$G$11</f>
        <v>23</v>
      </c>
      <c r="H14" s="157"/>
      <c r="I14" s="158">
        <f>ROUND(F14/D14,2)</f>
        <v>22.94</v>
      </c>
    </row>
    <row r="15" spans="1:12" ht="13.5" thickBot="1">
      <c r="B15" s="29"/>
      <c r="C15" s="29"/>
      <c r="E15" s="29"/>
    </row>
    <row r="16" spans="1:12" ht="18">
      <c r="A16" s="410" t="s">
        <v>37</v>
      </c>
      <c r="C16" s="14" t="s">
        <v>350</v>
      </c>
      <c r="D16" s="431">
        <f>ROUND(SUM(E11:E15)*D17,1)</f>
        <v>30.4</v>
      </c>
      <c r="F16" s="245">
        <f>Data!$D$38</f>
        <v>752</v>
      </c>
      <c r="G16" s="160" t="s">
        <v>38</v>
      </c>
      <c r="H16" s="160"/>
      <c r="I16" s="161"/>
    </row>
    <row r="17" spans="1:11" ht="18">
      <c r="A17" s="162" t="s">
        <v>344</v>
      </c>
      <c r="B17" s="163"/>
      <c r="C17" s="163"/>
      <c r="D17" s="432">
        <v>1.2549999999999999</v>
      </c>
      <c r="E17" s="164"/>
      <c r="F17" s="165"/>
      <c r="G17" s="166"/>
      <c r="H17" s="166"/>
      <c r="I17" s="26"/>
    </row>
    <row r="18" spans="1:11" ht="18">
      <c r="A18" s="412" t="s">
        <v>329</v>
      </c>
      <c r="D18" s="433">
        <f>SUM(D11:D15)</f>
        <v>32.699999999999996</v>
      </c>
      <c r="F18" s="413"/>
      <c r="G18" s="166"/>
      <c r="H18" s="166"/>
      <c r="I18" s="26"/>
    </row>
    <row r="19" spans="1:11" ht="18">
      <c r="A19" s="430" t="s">
        <v>345</v>
      </c>
      <c r="D19" s="433">
        <v>0</v>
      </c>
      <c r="F19" s="413"/>
      <c r="G19" s="166"/>
      <c r="H19" s="166"/>
      <c r="I19" s="26"/>
    </row>
    <row r="20" spans="1:11" ht="18.75" thickBot="1">
      <c r="A20" s="430" t="s">
        <v>441</v>
      </c>
      <c r="D20" s="434">
        <v>0</v>
      </c>
      <c r="F20" s="413"/>
      <c r="G20" s="166"/>
      <c r="H20" s="166"/>
      <c r="I20" s="26"/>
    </row>
    <row r="21" spans="1:11" ht="18.75" thickTop="1">
      <c r="A21" s="430" t="s">
        <v>442</v>
      </c>
      <c r="D21" s="433">
        <f>D19+D18+D20</f>
        <v>32.699999999999996</v>
      </c>
      <c r="F21" s="413"/>
      <c r="G21" s="166"/>
      <c r="H21" s="166"/>
      <c r="I21" s="26"/>
    </row>
    <row r="22" spans="1:11" ht="18.75" thickBot="1">
      <c r="A22" s="168" t="str">
        <f>A11</f>
        <v>E'town H/S</v>
      </c>
      <c r="B22" s="169"/>
      <c r="C22" s="169" t="s">
        <v>39</v>
      </c>
      <c r="D22" s="427">
        <f>ROUND(C87,1)</f>
        <v>32.9</v>
      </c>
      <c r="E22" s="170"/>
      <c r="F22" s="171"/>
      <c r="G22" s="172"/>
      <c r="H22" s="172"/>
      <c r="I22" s="30"/>
    </row>
    <row r="23" spans="1:11" ht="15">
      <c r="A23" s="150"/>
      <c r="B23" s="150"/>
      <c r="C23" s="150"/>
      <c r="D23" s="150"/>
      <c r="E23" s="150"/>
      <c r="F23" s="150"/>
      <c r="G23" s="150"/>
      <c r="H23" s="150"/>
    </row>
    <row r="24" spans="1:11" ht="18">
      <c r="A24" s="247" t="s">
        <v>40</v>
      </c>
      <c r="B24" s="150"/>
      <c r="C24" s="175">
        <f>D22-D16</f>
        <v>2.5</v>
      </c>
      <c r="E24" s="150"/>
      <c r="F24" s="176"/>
      <c r="I24" s="150"/>
    </row>
    <row r="25" spans="1:11" ht="18">
      <c r="A25" s="150" t="s">
        <v>320</v>
      </c>
      <c r="B25" s="405">
        <f>D22</f>
        <v>32.9</v>
      </c>
      <c r="C25" s="404">
        <f>F16/D21</f>
        <v>22.996941896024467</v>
      </c>
      <c r="D25" s="150"/>
      <c r="E25" s="150"/>
      <c r="G25" s="177"/>
      <c r="H25" s="177"/>
      <c r="I25" s="150"/>
      <c r="J25" s="178"/>
    </row>
    <row r="26" spans="1:11" ht="15">
      <c r="A26" s="150"/>
      <c r="B26" s="150"/>
      <c r="C26" s="150"/>
      <c r="D26" s="150"/>
      <c r="E26" s="150"/>
      <c r="F26" s="150"/>
      <c r="G26" s="150"/>
      <c r="H26" s="150"/>
    </row>
    <row r="27" spans="1:11" ht="19.5" thickBot="1">
      <c r="A27" s="179" t="str">
        <f>+A22</f>
        <v>E'town H/S</v>
      </c>
      <c r="C27" s="180" t="str">
        <f>+Data!$I$7</f>
        <v>2013-2014</v>
      </c>
      <c r="D27" s="120"/>
      <c r="E27" s="181" t="s">
        <v>41</v>
      </c>
      <c r="F27" s="150"/>
      <c r="G27" s="150"/>
      <c r="H27" s="150"/>
    </row>
    <row r="28" spans="1:11" ht="15.75">
      <c r="A28" s="182" t="s">
        <v>42</v>
      </c>
      <c r="B28" s="183" t="s">
        <v>43</v>
      </c>
      <c r="C28" s="184" t="s">
        <v>44</v>
      </c>
      <c r="D28" s="184"/>
      <c r="E28" s="184"/>
      <c r="F28" s="183" t="s">
        <v>45</v>
      </c>
      <c r="G28" s="183" t="s">
        <v>46</v>
      </c>
      <c r="H28" s="505" t="s">
        <v>446</v>
      </c>
      <c r="I28" s="183" t="s">
        <v>47</v>
      </c>
      <c r="J28" s="409" t="s">
        <v>459</v>
      </c>
    </row>
    <row r="29" spans="1:11" ht="16.5" thickBot="1">
      <c r="A29" s="185" t="s">
        <v>19</v>
      </c>
      <c r="B29" s="186" t="s">
        <v>48</v>
      </c>
      <c r="C29" s="173"/>
      <c r="D29" s="173"/>
      <c r="E29" s="173"/>
      <c r="F29" s="173"/>
      <c r="G29" s="173"/>
      <c r="H29" s="506"/>
      <c r="I29" s="173"/>
      <c r="J29" s="406" t="str">
        <f>+C27</f>
        <v>2013-2014</v>
      </c>
    </row>
    <row r="30" spans="1:11">
      <c r="H30" s="507"/>
    </row>
    <row r="31" spans="1:11" ht="15.75">
      <c r="A31" s="253" t="s">
        <v>287</v>
      </c>
      <c r="B31" s="474">
        <v>1</v>
      </c>
      <c r="C31" s="14" t="s">
        <v>479</v>
      </c>
      <c r="D31" s="150"/>
      <c r="F31" s="189" t="s">
        <v>11</v>
      </c>
      <c r="G31" s="324">
        <v>15</v>
      </c>
      <c r="H31" s="508">
        <f>G31+1</f>
        <v>16</v>
      </c>
      <c r="I31" s="472">
        <v>1</v>
      </c>
      <c r="J31" s="53">
        <f>VLOOKUP(G31,Data!$B$120:$G$151,I31+1)*B31</f>
        <v>55748</v>
      </c>
      <c r="K31" s="350"/>
    </row>
    <row r="32" spans="1:11" ht="6" customHeight="1">
      <c r="A32" s="253"/>
      <c r="B32" s="474"/>
      <c r="C32" s="248"/>
      <c r="D32" s="150"/>
      <c r="F32" s="189"/>
      <c r="G32" s="324"/>
      <c r="H32" s="508"/>
      <c r="I32" s="472"/>
      <c r="J32" s="53"/>
    </row>
    <row r="33" spans="1:11" ht="15.75">
      <c r="A33" s="253" t="s">
        <v>287</v>
      </c>
      <c r="B33" s="474">
        <v>1</v>
      </c>
      <c r="C33" s="464" t="s">
        <v>419</v>
      </c>
      <c r="D33" s="150"/>
      <c r="F33" s="189" t="s">
        <v>406</v>
      </c>
      <c r="G33" s="324">
        <v>34</v>
      </c>
      <c r="H33" s="508">
        <f>G33+1</f>
        <v>35</v>
      </c>
      <c r="I33" s="472">
        <v>1</v>
      </c>
      <c r="J33" s="53">
        <f>VLOOKUP(G33,Data!$B$120:$G$151,I33+1)*B33</f>
        <v>62266</v>
      </c>
      <c r="K33" s="350"/>
    </row>
    <row r="34" spans="1:11" ht="18.75" customHeight="1">
      <c r="A34" s="253" t="s">
        <v>287</v>
      </c>
      <c r="B34" s="474">
        <v>1</v>
      </c>
      <c r="C34" s="464" t="s">
        <v>502</v>
      </c>
      <c r="D34" s="150"/>
      <c r="F34" s="189" t="s">
        <v>503</v>
      </c>
      <c r="G34" s="324">
        <v>17</v>
      </c>
      <c r="H34" s="508">
        <f>G34+1</f>
        <v>18</v>
      </c>
      <c r="I34" s="472">
        <v>2</v>
      </c>
      <c r="J34" s="53">
        <f>VLOOKUP(G34,Data!$B$120:$G$151,I34+1)*B34</f>
        <v>53019</v>
      </c>
    </row>
    <row r="35" spans="1:11" ht="5.25" customHeight="1">
      <c r="A35" s="253"/>
      <c r="B35" s="474"/>
      <c r="C35" s="248"/>
      <c r="D35" s="150"/>
      <c r="F35" s="189"/>
      <c r="G35" s="324"/>
      <c r="H35" s="508">
        <f>G35+1</f>
        <v>1</v>
      </c>
      <c r="I35" s="472"/>
      <c r="J35" s="53"/>
    </row>
    <row r="36" spans="1:11" ht="15.75">
      <c r="A36" s="253" t="s">
        <v>288</v>
      </c>
      <c r="B36" s="474">
        <v>1</v>
      </c>
      <c r="C36" s="648" t="s">
        <v>381</v>
      </c>
      <c r="D36" s="150"/>
      <c r="F36" s="189" t="s">
        <v>52</v>
      </c>
      <c r="G36" s="324">
        <v>13</v>
      </c>
      <c r="H36" s="508">
        <f>G36+1</f>
        <v>14</v>
      </c>
      <c r="I36" s="472">
        <v>2</v>
      </c>
      <c r="J36" s="53">
        <f>VLOOKUP(G36,Data!$B$120:$G$151,I36+1)*B36</f>
        <v>49885</v>
      </c>
      <c r="K36" s="350"/>
    </row>
    <row r="37" spans="1:11" ht="15.75">
      <c r="A37" s="253" t="s">
        <v>288</v>
      </c>
      <c r="B37" s="663">
        <v>1</v>
      </c>
      <c r="C37" s="648" t="s">
        <v>417</v>
      </c>
      <c r="D37" s="150"/>
      <c r="F37" s="189" t="s">
        <v>52</v>
      </c>
      <c r="G37" s="324">
        <v>24</v>
      </c>
      <c r="H37" s="508">
        <f>G37+1</f>
        <v>25</v>
      </c>
      <c r="I37" s="472">
        <v>1</v>
      </c>
      <c r="J37" s="53">
        <f>VLOOKUP(G37,Data!$B$120:$G$151,I37+1)*B37</f>
        <v>61666</v>
      </c>
      <c r="K37" s="350"/>
    </row>
    <row r="38" spans="1:11" ht="15.75">
      <c r="A38" s="253" t="s">
        <v>326</v>
      </c>
      <c r="B38" s="474" t="s">
        <v>326</v>
      </c>
      <c r="C38" s="191"/>
      <c r="D38" s="150"/>
      <c r="F38" s="189" t="s">
        <v>326</v>
      </c>
      <c r="G38" s="324"/>
      <c r="H38" s="507"/>
      <c r="I38" s="473" t="s">
        <v>326</v>
      </c>
      <c r="J38" s="53" t="s">
        <v>326</v>
      </c>
    </row>
    <row r="39" spans="1:11" ht="15.75">
      <c r="A39" s="253" t="s">
        <v>289</v>
      </c>
      <c r="B39" s="474">
        <v>1</v>
      </c>
      <c r="C39" s="464" t="s">
        <v>545</v>
      </c>
      <c r="D39" s="150"/>
      <c r="F39" s="189" t="s">
        <v>54</v>
      </c>
      <c r="G39" s="324">
        <v>14</v>
      </c>
      <c r="H39" s="508">
        <f>G39+1</f>
        <v>15</v>
      </c>
      <c r="I39" s="472">
        <v>2</v>
      </c>
      <c r="J39" s="53">
        <f>VLOOKUP(G39,Data!$B$120:$G$151,I39+1)*B39</f>
        <v>50477</v>
      </c>
      <c r="K39" s="350"/>
    </row>
    <row r="40" spans="1:11" ht="15.75">
      <c r="A40" s="253"/>
      <c r="B40" s="474"/>
      <c r="C40" s="579"/>
      <c r="D40" s="150"/>
      <c r="F40" s="189" t="s">
        <v>326</v>
      </c>
      <c r="H40" s="507"/>
      <c r="I40" s="188"/>
      <c r="J40" s="53"/>
    </row>
    <row r="41" spans="1:11" ht="15.75">
      <c r="A41" s="253" t="s">
        <v>290</v>
      </c>
      <c r="B41" s="658">
        <v>1</v>
      </c>
      <c r="C41" s="675" t="s">
        <v>595</v>
      </c>
      <c r="D41" s="464"/>
      <c r="E41" s="659"/>
      <c r="F41" s="189" t="s">
        <v>57</v>
      </c>
      <c r="G41" s="324">
        <v>1</v>
      </c>
      <c r="H41" s="508">
        <f t="shared" ref="H41:H76" si="0">G41+1</f>
        <v>2</v>
      </c>
      <c r="I41" s="324">
        <v>3</v>
      </c>
      <c r="J41" s="53">
        <f>VLOOKUP(G41,Data!$B$120:$G$151,I41+1)*B41</f>
        <v>36650</v>
      </c>
      <c r="K41" s="350"/>
    </row>
    <row r="42" spans="1:11" ht="15.75">
      <c r="A42" s="253" t="s">
        <v>290</v>
      </c>
      <c r="B42" s="658">
        <v>1</v>
      </c>
      <c r="C42" s="464" t="s">
        <v>360</v>
      </c>
      <c r="D42" s="464"/>
      <c r="E42" s="659"/>
      <c r="F42" s="189" t="s">
        <v>57</v>
      </c>
      <c r="G42" s="324">
        <v>14</v>
      </c>
      <c r="H42" s="508">
        <f t="shared" si="0"/>
        <v>15</v>
      </c>
      <c r="I42" s="580">
        <v>2</v>
      </c>
      <c r="J42" s="53">
        <f>VLOOKUP(G42,Data!$B$120:$G$151,I42+1)*B42</f>
        <v>50477</v>
      </c>
      <c r="K42" s="350"/>
    </row>
    <row r="43" spans="1:11" ht="15.75">
      <c r="A43" s="253" t="s">
        <v>290</v>
      </c>
      <c r="B43" s="658">
        <v>0.4</v>
      </c>
      <c r="C43" s="464" t="s">
        <v>483</v>
      </c>
      <c r="D43" s="464"/>
      <c r="E43" s="659"/>
      <c r="F43" s="189" t="s">
        <v>57</v>
      </c>
      <c r="G43" s="324">
        <v>10</v>
      </c>
      <c r="H43" s="508">
        <f t="shared" si="0"/>
        <v>11</v>
      </c>
      <c r="I43" s="324">
        <v>2</v>
      </c>
      <c r="J43" s="53">
        <f>VLOOKUP(G43,Data!$B$120:$G$151,I43+1)*B43</f>
        <v>19234</v>
      </c>
      <c r="K43" s="350"/>
    </row>
    <row r="44" spans="1:11" ht="15.75">
      <c r="A44" s="253" t="s">
        <v>290</v>
      </c>
      <c r="B44" s="658">
        <v>1</v>
      </c>
      <c r="C44" s="464" t="s">
        <v>541</v>
      </c>
      <c r="D44" s="464"/>
      <c r="E44" s="659"/>
      <c r="F44" s="189" t="s">
        <v>57</v>
      </c>
      <c r="G44" s="324">
        <v>5</v>
      </c>
      <c r="H44" s="508">
        <f t="shared" si="0"/>
        <v>6</v>
      </c>
      <c r="I44" s="324">
        <v>3</v>
      </c>
      <c r="J44" s="53">
        <f>VLOOKUP(G44,Data!$B$120:$G$151,I44+1)*B44</f>
        <v>39699</v>
      </c>
      <c r="K44" s="350"/>
    </row>
    <row r="45" spans="1:11" ht="15.75">
      <c r="A45" s="253" t="s">
        <v>290</v>
      </c>
      <c r="B45" s="658">
        <v>1</v>
      </c>
      <c r="C45" s="464" t="s">
        <v>291</v>
      </c>
      <c r="D45" s="464"/>
      <c r="E45" s="659"/>
      <c r="F45" s="189" t="s">
        <v>57</v>
      </c>
      <c r="G45" s="324">
        <v>21</v>
      </c>
      <c r="H45" s="508">
        <f t="shared" si="0"/>
        <v>22</v>
      </c>
      <c r="I45" s="324">
        <v>2</v>
      </c>
      <c r="J45" s="53">
        <f>VLOOKUP(G45,Data!$B$120:$G$151,I45+1)*B45</f>
        <v>55921</v>
      </c>
      <c r="K45" s="350"/>
    </row>
    <row r="46" spans="1:11" ht="15.75">
      <c r="A46" s="253" t="s">
        <v>290</v>
      </c>
      <c r="B46" s="658">
        <v>1</v>
      </c>
      <c r="C46" s="675" t="s">
        <v>617</v>
      </c>
      <c r="D46" s="464"/>
      <c r="E46" s="659"/>
      <c r="F46" s="189" t="s">
        <v>57</v>
      </c>
      <c r="G46" s="324">
        <v>2</v>
      </c>
      <c r="H46" s="508">
        <f t="shared" si="0"/>
        <v>3</v>
      </c>
      <c r="I46" s="324">
        <v>3</v>
      </c>
      <c r="J46" s="53">
        <f>VLOOKUP(G46,Data!$B$120:$G$151,I46+1)*B46</f>
        <v>37257</v>
      </c>
      <c r="K46" s="350"/>
    </row>
    <row r="47" spans="1:11" ht="15.75">
      <c r="A47" s="253" t="s">
        <v>290</v>
      </c>
      <c r="B47" s="658">
        <v>1</v>
      </c>
      <c r="C47" s="464" t="s">
        <v>392</v>
      </c>
      <c r="D47" s="464"/>
      <c r="E47" s="659"/>
      <c r="F47" s="189" t="s">
        <v>57</v>
      </c>
      <c r="G47" s="324">
        <v>17</v>
      </c>
      <c r="H47" s="508">
        <f t="shared" si="0"/>
        <v>18</v>
      </c>
      <c r="I47" s="580">
        <v>1</v>
      </c>
      <c r="J47" s="53">
        <f>VLOOKUP(G47,Data!$B$120:$G$151,I47+1)*B47</f>
        <v>56951</v>
      </c>
      <c r="K47" s="350"/>
    </row>
    <row r="48" spans="1:11" ht="15.75">
      <c r="A48" s="253" t="s">
        <v>290</v>
      </c>
      <c r="B48" s="658">
        <v>0.66</v>
      </c>
      <c r="C48" s="675" t="s">
        <v>592</v>
      </c>
      <c r="D48" s="464"/>
      <c r="E48" s="659"/>
      <c r="F48" s="189" t="s">
        <v>57</v>
      </c>
      <c r="G48" s="324">
        <v>28</v>
      </c>
      <c r="H48" s="508">
        <f t="shared" si="0"/>
        <v>29</v>
      </c>
      <c r="I48" s="324">
        <v>1</v>
      </c>
      <c r="J48" s="53">
        <f>VLOOKUP(G48,Data!$B$120:$G$151,I48+1)*B48</f>
        <v>41095.560000000005</v>
      </c>
      <c r="K48" s="350"/>
    </row>
    <row r="49" spans="1:26" ht="15.75">
      <c r="A49" s="253" t="s">
        <v>290</v>
      </c>
      <c r="B49" s="658">
        <v>1</v>
      </c>
      <c r="C49" s="464" t="s">
        <v>396</v>
      </c>
      <c r="D49" s="464"/>
      <c r="E49" s="659"/>
      <c r="F49" s="189" t="s">
        <v>57</v>
      </c>
      <c r="G49" s="324">
        <v>17</v>
      </c>
      <c r="H49" s="508">
        <f t="shared" si="0"/>
        <v>18</v>
      </c>
      <c r="I49" s="324">
        <v>2</v>
      </c>
      <c r="J49" s="53">
        <f>VLOOKUP(G49,Data!$B$120:$G$151,I49+1)*B49</f>
        <v>53019</v>
      </c>
      <c r="K49" s="350"/>
    </row>
    <row r="50" spans="1:26" ht="15.75">
      <c r="A50" s="253" t="s">
        <v>290</v>
      </c>
      <c r="B50" s="658">
        <v>1</v>
      </c>
      <c r="C50" s="464" t="s">
        <v>501</v>
      </c>
      <c r="D50" s="464"/>
      <c r="E50" s="659"/>
      <c r="F50" s="189" t="s">
        <v>57</v>
      </c>
      <c r="G50" s="324">
        <v>23</v>
      </c>
      <c r="H50" s="508">
        <f t="shared" si="0"/>
        <v>24</v>
      </c>
      <c r="I50" s="324">
        <v>3</v>
      </c>
      <c r="J50" s="53">
        <f>VLOOKUP(G50,Data!$B$120:$G$151,I50+1)*B50</f>
        <v>52894</v>
      </c>
      <c r="K50" s="350"/>
    </row>
    <row r="51" spans="1:26" ht="15.75">
      <c r="A51" s="253" t="s">
        <v>290</v>
      </c>
      <c r="B51" s="658">
        <v>1</v>
      </c>
      <c r="C51" s="464" t="s">
        <v>430</v>
      </c>
      <c r="D51" s="464"/>
      <c r="E51" s="659"/>
      <c r="F51" s="189" t="s">
        <v>57</v>
      </c>
      <c r="G51" s="324">
        <v>21</v>
      </c>
      <c r="H51" s="508">
        <f t="shared" si="0"/>
        <v>22</v>
      </c>
      <c r="I51" s="324">
        <v>2</v>
      </c>
      <c r="J51" s="53">
        <f>VLOOKUP(G51,Data!$B$120:$G$151,I51+1)*B51</f>
        <v>55921</v>
      </c>
      <c r="K51" s="350"/>
    </row>
    <row r="52" spans="1:26" ht="15.75">
      <c r="A52" s="253" t="s">
        <v>290</v>
      </c>
      <c r="B52" s="658">
        <v>0.8</v>
      </c>
      <c r="C52" s="464" t="s">
        <v>412</v>
      </c>
      <c r="D52" s="464"/>
      <c r="E52" s="659"/>
      <c r="F52" s="189" t="s">
        <v>57</v>
      </c>
      <c r="G52" s="324">
        <v>26</v>
      </c>
      <c r="H52" s="508">
        <f t="shared" si="0"/>
        <v>27</v>
      </c>
      <c r="I52" s="324">
        <v>2</v>
      </c>
      <c r="J52" s="53">
        <f>VLOOKUP(G52,Data!$B$120:$G$151,I52+1)*B52</f>
        <v>46124.800000000003</v>
      </c>
      <c r="K52" s="350"/>
    </row>
    <row r="53" spans="1:26" ht="15.75">
      <c r="A53" s="253" t="s">
        <v>290</v>
      </c>
      <c r="B53" s="658">
        <v>1</v>
      </c>
      <c r="C53" s="641" t="s">
        <v>543</v>
      </c>
      <c r="D53" s="464"/>
      <c r="E53" s="659"/>
      <c r="F53" s="189" t="s">
        <v>57</v>
      </c>
      <c r="G53" s="324">
        <v>5</v>
      </c>
      <c r="H53" s="508">
        <f t="shared" si="0"/>
        <v>6</v>
      </c>
      <c r="I53" s="324">
        <v>3</v>
      </c>
      <c r="J53" s="53">
        <f>VLOOKUP(G53,Data!$B$120:$G$151,I53+1)*B53</f>
        <v>39699</v>
      </c>
      <c r="K53" s="350"/>
    </row>
    <row r="54" spans="1:26" ht="15.75">
      <c r="A54" s="590" t="s">
        <v>290</v>
      </c>
      <c r="B54" s="658">
        <v>1</v>
      </c>
      <c r="C54" s="464" t="s">
        <v>544</v>
      </c>
      <c r="D54" s="464"/>
      <c r="E54" s="659"/>
      <c r="F54" s="189" t="s">
        <v>57</v>
      </c>
      <c r="G54" s="324">
        <v>2</v>
      </c>
      <c r="H54" s="508">
        <f t="shared" si="0"/>
        <v>3</v>
      </c>
      <c r="I54" s="324">
        <v>3</v>
      </c>
      <c r="J54" s="53">
        <f>VLOOKUP(G54,Data!$B$120:$G$151,I54+1)*B54</f>
        <v>37257</v>
      </c>
      <c r="K54" s="350"/>
    </row>
    <row r="55" spans="1:26" ht="15.75">
      <c r="A55" s="253" t="s">
        <v>290</v>
      </c>
      <c r="B55" s="658">
        <v>1</v>
      </c>
      <c r="C55" s="464" t="s">
        <v>393</v>
      </c>
      <c r="D55" s="464"/>
      <c r="E55" s="659"/>
      <c r="F55" s="189" t="s">
        <v>57</v>
      </c>
      <c r="G55" s="324">
        <v>15</v>
      </c>
      <c r="H55" s="508">
        <f t="shared" si="0"/>
        <v>16</v>
      </c>
      <c r="I55" s="324">
        <v>1</v>
      </c>
      <c r="J55" s="53">
        <f>VLOOKUP(G55,Data!$B$120:$G$151,I55+1)*B55</f>
        <v>55748</v>
      </c>
      <c r="K55" s="350"/>
    </row>
    <row r="56" spans="1:26" ht="15.75">
      <c r="A56" s="253" t="s">
        <v>290</v>
      </c>
      <c r="B56" s="658">
        <v>1</v>
      </c>
      <c r="C56" s="464" t="s">
        <v>394</v>
      </c>
      <c r="D56" s="464"/>
      <c r="E56" s="659"/>
      <c r="F56" s="189" t="s">
        <v>57</v>
      </c>
      <c r="G56" s="324">
        <v>31</v>
      </c>
      <c r="H56" s="508">
        <f t="shared" si="0"/>
        <v>32</v>
      </c>
      <c r="I56" s="324">
        <v>1</v>
      </c>
      <c r="J56" s="504">
        <f>VLOOKUP(G56,Data!$B$120:$G$151,I56+1)*B56</f>
        <v>62266</v>
      </c>
      <c r="K56" s="350"/>
    </row>
    <row r="57" spans="1:26" ht="15.75">
      <c r="A57" s="253" t="s">
        <v>290</v>
      </c>
      <c r="B57" s="658">
        <v>1</v>
      </c>
      <c r="C57" s="464" t="s">
        <v>548</v>
      </c>
      <c r="D57" s="464"/>
      <c r="E57" s="659"/>
      <c r="F57" s="189" t="s">
        <v>57</v>
      </c>
      <c r="G57" s="324">
        <v>13</v>
      </c>
      <c r="H57" s="508">
        <f t="shared" si="0"/>
        <v>14</v>
      </c>
      <c r="I57" s="324">
        <v>2</v>
      </c>
      <c r="J57" s="53">
        <f>VLOOKUP(G57,Data!$B$120:$G$151,I57+1)*B57</f>
        <v>49885</v>
      </c>
      <c r="K57" s="350"/>
    </row>
    <row r="58" spans="1:26" ht="15.75">
      <c r="A58" s="253" t="s">
        <v>290</v>
      </c>
      <c r="B58" s="658">
        <v>1</v>
      </c>
      <c r="C58" s="464" t="s">
        <v>395</v>
      </c>
      <c r="D58" s="464"/>
      <c r="E58" s="659"/>
      <c r="F58" s="189" t="s">
        <v>57</v>
      </c>
      <c r="G58" s="324">
        <v>25</v>
      </c>
      <c r="H58" s="508">
        <f t="shared" si="0"/>
        <v>26</v>
      </c>
      <c r="I58" s="324">
        <v>2</v>
      </c>
      <c r="J58" s="53">
        <f>VLOOKUP(G58,Data!$B$120:$G$151,I58+1)*B58</f>
        <v>57656</v>
      </c>
      <c r="K58" s="350"/>
    </row>
    <row r="59" spans="1:26" ht="15.75">
      <c r="A59" s="253" t="s">
        <v>290</v>
      </c>
      <c r="B59" s="658">
        <v>1</v>
      </c>
      <c r="C59" s="675" t="s">
        <v>593</v>
      </c>
      <c r="D59" s="464"/>
      <c r="E59" s="659"/>
      <c r="F59" s="189" t="s">
        <v>57</v>
      </c>
      <c r="G59" s="324">
        <v>1</v>
      </c>
      <c r="H59" s="508">
        <f t="shared" si="0"/>
        <v>2</v>
      </c>
      <c r="I59" s="324">
        <v>3</v>
      </c>
      <c r="J59" s="53">
        <f>VLOOKUP(G59,Data!$B$120:$G$151,I59+1)*B59</f>
        <v>36650</v>
      </c>
      <c r="K59" s="350"/>
    </row>
    <row r="60" spans="1:26" ht="15.75">
      <c r="A60" s="253" t="s">
        <v>290</v>
      </c>
      <c r="B60" s="658">
        <v>0.4</v>
      </c>
      <c r="C60" s="464" t="s">
        <v>384</v>
      </c>
      <c r="D60" s="464"/>
      <c r="E60" s="659"/>
      <c r="F60" s="189" t="s">
        <v>57</v>
      </c>
      <c r="G60" s="324">
        <v>23</v>
      </c>
      <c r="H60" s="508">
        <f t="shared" si="0"/>
        <v>24</v>
      </c>
      <c r="I60" s="324">
        <v>2</v>
      </c>
      <c r="J60" s="53">
        <f>VLOOKUP(G60,Data!$B$120:$G$151,I60+1)*B60</f>
        <v>22639.200000000001</v>
      </c>
      <c r="K60" s="350"/>
    </row>
    <row r="61" spans="1:26" ht="15.75">
      <c r="A61" s="253" t="s">
        <v>290</v>
      </c>
      <c r="B61" s="658">
        <v>1</v>
      </c>
      <c r="C61" s="464" t="s">
        <v>458</v>
      </c>
      <c r="D61" s="464"/>
      <c r="E61" s="659"/>
      <c r="F61" s="189" t="s">
        <v>57</v>
      </c>
      <c r="G61" s="324">
        <v>24</v>
      </c>
      <c r="H61" s="508">
        <f t="shared" si="0"/>
        <v>25</v>
      </c>
      <c r="I61" s="324">
        <v>2</v>
      </c>
      <c r="J61" s="53">
        <f>VLOOKUP(G61,Data!$B$120:$G$151,I61+1)*B61</f>
        <v>57056</v>
      </c>
      <c r="K61" s="350"/>
    </row>
    <row r="62" spans="1:26" ht="15.75">
      <c r="A62" s="253" t="s">
        <v>290</v>
      </c>
      <c r="B62" s="658">
        <v>1</v>
      </c>
      <c r="C62" s="464" t="s">
        <v>546</v>
      </c>
      <c r="D62" s="464"/>
      <c r="E62" s="659"/>
      <c r="F62" s="189" t="s">
        <v>57</v>
      </c>
      <c r="G62" s="324">
        <v>10</v>
      </c>
      <c r="H62" s="508">
        <f t="shared" si="0"/>
        <v>11</v>
      </c>
      <c r="I62" s="324">
        <v>2</v>
      </c>
      <c r="J62" s="53">
        <f>VLOOKUP(G62,Data!$B$120:$G$151,I62+1)*B62</f>
        <v>48085</v>
      </c>
      <c r="K62" s="350"/>
    </row>
    <row r="63" spans="1:26" ht="18" customHeight="1">
      <c r="A63" s="253" t="s">
        <v>290</v>
      </c>
      <c r="B63" s="660">
        <v>1</v>
      </c>
      <c r="C63" s="581" t="s">
        <v>467</v>
      </c>
      <c r="D63" s="581"/>
      <c r="E63" s="661"/>
      <c r="F63" s="503" t="s">
        <v>57</v>
      </c>
      <c r="G63" s="302">
        <v>6</v>
      </c>
      <c r="H63" s="516">
        <f t="shared" si="0"/>
        <v>7</v>
      </c>
      <c r="I63" s="302">
        <v>2</v>
      </c>
      <c r="J63" s="53">
        <f>VLOOKUP(G63,Data!$B$120:$G$151,I63+1)*B63</f>
        <v>43696</v>
      </c>
      <c r="K63" s="584"/>
      <c r="P63" s="481"/>
      <c r="Q63" s="576"/>
      <c r="R63" s="25"/>
      <c r="S63" s="25"/>
      <c r="T63" s="302"/>
      <c r="U63" s="503"/>
      <c r="V63" s="302"/>
      <c r="W63" s="516"/>
      <c r="X63" s="583"/>
      <c r="Y63" s="504"/>
      <c r="Z63" s="25"/>
    </row>
    <row r="64" spans="1:26" ht="18" customHeight="1">
      <c r="A64" s="481" t="s">
        <v>290</v>
      </c>
      <c r="B64" s="660">
        <v>1</v>
      </c>
      <c r="C64" s="581" t="s">
        <v>493</v>
      </c>
      <c r="D64" s="581"/>
      <c r="E64" s="661"/>
      <c r="F64" s="503" t="s">
        <v>57</v>
      </c>
      <c r="G64" s="302">
        <v>6</v>
      </c>
      <c r="H64" s="516">
        <f t="shared" si="0"/>
        <v>7</v>
      </c>
      <c r="I64" s="585">
        <v>2</v>
      </c>
      <c r="J64" s="504">
        <f>VLOOKUP(G64,Data!$B$120:$G$151,I64+1)*B64</f>
        <v>43696</v>
      </c>
      <c r="K64" s="584"/>
    </row>
    <row r="65" spans="1:11" ht="18" customHeight="1">
      <c r="A65" s="253" t="s">
        <v>290</v>
      </c>
      <c r="B65" s="658">
        <v>1</v>
      </c>
      <c r="C65" s="464" t="s">
        <v>505</v>
      </c>
      <c r="D65" s="464"/>
      <c r="E65" s="659"/>
      <c r="F65" s="189" t="s">
        <v>57</v>
      </c>
      <c r="G65" s="324">
        <v>10</v>
      </c>
      <c r="H65" s="508">
        <f t="shared" si="0"/>
        <v>11</v>
      </c>
      <c r="I65" s="324">
        <v>1</v>
      </c>
      <c r="J65" s="53">
        <f>VLOOKUP(G65,Data!$B$120:$G$151,I65+1)*B65</f>
        <v>52033</v>
      </c>
      <c r="K65" s="350"/>
    </row>
    <row r="66" spans="1:11" ht="18" customHeight="1">
      <c r="A66" s="253" t="s">
        <v>290</v>
      </c>
      <c r="B66" s="658">
        <v>1</v>
      </c>
      <c r="C66" s="464" t="s">
        <v>292</v>
      </c>
      <c r="D66" s="464"/>
      <c r="E66" s="659"/>
      <c r="F66" s="189" t="s">
        <v>57</v>
      </c>
      <c r="G66" s="324">
        <v>29</v>
      </c>
      <c r="H66" s="508">
        <f t="shared" si="0"/>
        <v>30</v>
      </c>
      <c r="I66" s="580">
        <v>1</v>
      </c>
      <c r="J66" s="504">
        <f>VLOOKUP(G66,Data!$B$120:$G$151,I66+1)*B66</f>
        <v>62266</v>
      </c>
      <c r="K66" s="350"/>
    </row>
    <row r="67" spans="1:11" ht="18" customHeight="1">
      <c r="A67" s="253" t="s">
        <v>290</v>
      </c>
      <c r="B67" s="658">
        <v>1</v>
      </c>
      <c r="C67" s="464" t="s">
        <v>363</v>
      </c>
      <c r="D67" s="464"/>
      <c r="E67" s="659"/>
      <c r="F67" s="189" t="s">
        <v>57</v>
      </c>
      <c r="G67" s="324">
        <v>19</v>
      </c>
      <c r="H67" s="508">
        <f t="shared" si="0"/>
        <v>20</v>
      </c>
      <c r="I67" s="324">
        <v>1</v>
      </c>
      <c r="J67" s="53">
        <f>VLOOKUP(G67,Data!$B$120:$G$151,I67+1)*B67</f>
        <v>58147</v>
      </c>
      <c r="K67" s="350"/>
    </row>
    <row r="68" spans="1:11" ht="15.75">
      <c r="A68" s="253" t="s">
        <v>290</v>
      </c>
      <c r="B68" s="658">
        <v>1</v>
      </c>
      <c r="C68" s="464" t="s">
        <v>299</v>
      </c>
      <c r="D68" s="464"/>
      <c r="E68" s="659"/>
      <c r="F68" s="189" t="s">
        <v>57</v>
      </c>
      <c r="G68" s="324">
        <v>16</v>
      </c>
      <c r="H68" s="508">
        <f t="shared" si="0"/>
        <v>17</v>
      </c>
      <c r="I68" s="324">
        <v>1</v>
      </c>
      <c r="J68" s="53">
        <f>VLOOKUP(G68,Data!$B$120:$G$151,I68+1)*B68</f>
        <v>56350</v>
      </c>
      <c r="K68" s="350"/>
    </row>
    <row r="69" spans="1:11" ht="15.75">
      <c r="A69" s="253" t="s">
        <v>290</v>
      </c>
      <c r="B69" s="658">
        <v>0.33300000000000002</v>
      </c>
      <c r="C69" s="675" t="s">
        <v>596</v>
      </c>
      <c r="D69" s="464"/>
      <c r="E69" s="659"/>
      <c r="F69" s="189" t="s">
        <v>57</v>
      </c>
      <c r="G69" s="324">
        <v>28</v>
      </c>
      <c r="H69" s="508">
        <f t="shared" si="0"/>
        <v>29</v>
      </c>
      <c r="I69" s="324">
        <v>1</v>
      </c>
      <c r="J69" s="53">
        <f>VLOOKUP(G69,Data!$B$120:$G$151,I69+1)*B69</f>
        <v>20734.578000000001</v>
      </c>
      <c r="K69" s="350"/>
    </row>
    <row r="70" spans="1:11" ht="15.75">
      <c r="A70" s="253" t="s">
        <v>290</v>
      </c>
      <c r="B70" s="658">
        <v>1</v>
      </c>
      <c r="C70" s="464" t="s">
        <v>385</v>
      </c>
      <c r="D70" s="464"/>
      <c r="E70" s="659"/>
      <c r="F70" s="189" t="s">
        <v>57</v>
      </c>
      <c r="G70" s="324">
        <v>26</v>
      </c>
      <c r="H70" s="508">
        <f t="shared" si="0"/>
        <v>27</v>
      </c>
      <c r="I70" s="324">
        <v>1</v>
      </c>
      <c r="J70" s="53">
        <f>VLOOKUP(G70,Data!$B$120:$G$151,I70+1)*B70</f>
        <v>62266</v>
      </c>
      <c r="K70" s="350"/>
    </row>
    <row r="71" spans="1:11" ht="15.75">
      <c r="A71" s="253" t="s">
        <v>290</v>
      </c>
      <c r="B71" s="475">
        <v>1</v>
      </c>
      <c r="C71" s="464" t="s">
        <v>418</v>
      </c>
      <c r="D71" s="150"/>
      <c r="E71" s="464"/>
      <c r="F71" s="189" t="s">
        <v>57</v>
      </c>
      <c r="G71" s="324">
        <v>13</v>
      </c>
      <c r="H71" s="508">
        <f t="shared" si="0"/>
        <v>14</v>
      </c>
      <c r="I71" s="324">
        <v>2</v>
      </c>
      <c r="J71" s="53">
        <f>VLOOKUP(G71,Data!$B$120:$G$151,I71+1)*B71</f>
        <v>49885</v>
      </c>
      <c r="K71" s="350"/>
    </row>
    <row r="72" spans="1:11" ht="15.75">
      <c r="A72" s="253" t="s">
        <v>290</v>
      </c>
      <c r="B72" s="658">
        <v>1</v>
      </c>
      <c r="C72" s="464" t="s">
        <v>298</v>
      </c>
      <c r="D72" s="464"/>
      <c r="E72" s="659"/>
      <c r="F72" s="189" t="s">
        <v>57</v>
      </c>
      <c r="G72" s="324">
        <v>16</v>
      </c>
      <c r="H72" s="508">
        <f t="shared" si="0"/>
        <v>17</v>
      </c>
      <c r="I72" s="324">
        <v>2</v>
      </c>
      <c r="J72" s="53">
        <f>VLOOKUP(G72,Data!$B$120:$G$151,I72+1)*B72</f>
        <v>52418</v>
      </c>
      <c r="K72" s="350"/>
    </row>
    <row r="73" spans="1:11" ht="15.75">
      <c r="A73" s="253" t="s">
        <v>290</v>
      </c>
      <c r="B73" s="658">
        <v>0.33300000000000002</v>
      </c>
      <c r="C73" s="675" t="s">
        <v>597</v>
      </c>
      <c r="D73" s="464"/>
      <c r="E73" s="659"/>
      <c r="F73" s="189" t="s">
        <v>57</v>
      </c>
      <c r="G73" s="324" t="s">
        <v>598</v>
      </c>
      <c r="H73" s="508" t="e">
        <f t="shared" si="0"/>
        <v>#VALUE!</v>
      </c>
      <c r="I73" s="324">
        <v>2</v>
      </c>
      <c r="J73" s="53">
        <v>23690</v>
      </c>
      <c r="K73" s="350"/>
    </row>
    <row r="74" spans="1:11" ht="15.75">
      <c r="A74" s="253" t="s">
        <v>290</v>
      </c>
      <c r="B74" s="658">
        <v>1</v>
      </c>
      <c r="C74" s="464" t="s">
        <v>470</v>
      </c>
      <c r="D74" s="464"/>
      <c r="E74" s="659"/>
      <c r="F74" s="189" t="s">
        <v>57</v>
      </c>
      <c r="G74" s="324">
        <v>17</v>
      </c>
      <c r="H74" s="508">
        <f t="shared" si="0"/>
        <v>18</v>
      </c>
      <c r="I74" s="324">
        <v>2</v>
      </c>
      <c r="J74" s="53">
        <f>VLOOKUP(G74,Data!$B$120:$G$151,I74+1)*B74</f>
        <v>53019</v>
      </c>
      <c r="K74" s="350"/>
    </row>
    <row r="75" spans="1:11" ht="15.75">
      <c r="A75" s="253" t="s">
        <v>290</v>
      </c>
      <c r="B75" s="658">
        <v>1</v>
      </c>
      <c r="C75" s="464" t="s">
        <v>361</v>
      </c>
      <c r="D75" s="464"/>
      <c r="E75" s="659"/>
      <c r="F75" s="189" t="s">
        <v>57</v>
      </c>
      <c r="G75" s="324">
        <v>20</v>
      </c>
      <c r="H75" s="508">
        <f t="shared" si="0"/>
        <v>21</v>
      </c>
      <c r="I75" s="324">
        <v>1</v>
      </c>
      <c r="J75" s="53">
        <f>VLOOKUP(G75,Data!$B$120:$G$151,I75+1)*B75</f>
        <v>59405</v>
      </c>
      <c r="K75" s="350"/>
    </row>
    <row r="76" spans="1:11" ht="15.75">
      <c r="A76" s="253" t="s">
        <v>290</v>
      </c>
      <c r="B76" s="658">
        <v>1</v>
      </c>
      <c r="C76" s="675" t="s">
        <v>594</v>
      </c>
      <c r="D76" s="464"/>
      <c r="E76" s="659"/>
      <c r="F76" s="189" t="s">
        <v>57</v>
      </c>
      <c r="G76" s="324">
        <v>8</v>
      </c>
      <c r="H76" s="508">
        <f t="shared" si="0"/>
        <v>9</v>
      </c>
      <c r="I76" s="324">
        <v>3</v>
      </c>
      <c r="J76" s="504">
        <f>VLOOKUP(G76,Data!$B$120:$G$151,I76+1)*B76</f>
        <v>41507</v>
      </c>
      <c r="K76" s="350"/>
    </row>
    <row r="77" spans="1:11" ht="15.75">
      <c r="A77" s="253"/>
      <c r="B77" s="658" t="s">
        <v>326</v>
      </c>
      <c r="C77" s="464"/>
      <c r="D77" s="464"/>
      <c r="E77" s="659"/>
      <c r="F77" s="189"/>
      <c r="G77" s="324"/>
      <c r="H77" s="508"/>
      <c r="I77" s="324"/>
      <c r="J77" s="53"/>
      <c r="K77" s="350"/>
    </row>
    <row r="78" spans="1:11">
      <c r="K78" s="350"/>
    </row>
    <row r="79" spans="1:11" ht="15.75">
      <c r="A79" s="253"/>
      <c r="B79" s="260"/>
      <c r="E79" s="324"/>
      <c r="F79" s="189"/>
      <c r="G79" s="324"/>
      <c r="H79" s="508"/>
      <c r="I79" s="324"/>
      <c r="J79" s="53"/>
      <c r="K79" s="350"/>
    </row>
    <row r="80" spans="1:11" ht="14.25">
      <c r="B80" s="73" t="s">
        <v>60</v>
      </c>
      <c r="E80" s="193"/>
      <c r="F80" s="74" t="str">
        <f>C27</f>
        <v>2013-2014</v>
      </c>
      <c r="H80" s="507"/>
    </row>
    <row r="81" spans="1:11" ht="15" thickBot="1">
      <c r="E81" s="193"/>
      <c r="H81" s="507"/>
    </row>
    <row r="82" spans="1:11" ht="15" thickTop="1">
      <c r="A82" s="194"/>
      <c r="B82" s="195" t="s">
        <v>11</v>
      </c>
      <c r="C82" s="196">
        <f>B31</f>
        <v>1</v>
      </c>
      <c r="D82" s="197"/>
      <c r="E82" s="198"/>
      <c r="F82" s="197"/>
      <c r="G82" s="197"/>
      <c r="H82" s="509"/>
      <c r="I82" s="197"/>
      <c r="J82" s="199">
        <f>J31</f>
        <v>55748</v>
      </c>
    </row>
    <row r="83" spans="1:11">
      <c r="A83" s="200"/>
      <c r="B83" s="79" t="s">
        <v>516</v>
      </c>
      <c r="C83" s="106">
        <f>SUM(B33:B34)</f>
        <v>2</v>
      </c>
      <c r="D83" s="201"/>
      <c r="E83" s="201"/>
      <c r="F83" s="201"/>
      <c r="G83" s="201"/>
      <c r="H83" s="510"/>
      <c r="I83" s="201"/>
      <c r="J83" s="202">
        <f>SUM(J33:J34)</f>
        <v>115285</v>
      </c>
    </row>
    <row r="84" spans="1:11">
      <c r="A84" s="200"/>
      <c r="B84" s="79" t="s">
        <v>62</v>
      </c>
      <c r="C84" s="106">
        <f>SUM(B35:B38)</f>
        <v>2</v>
      </c>
      <c r="D84" s="201"/>
      <c r="E84" s="201"/>
      <c r="F84" s="201"/>
      <c r="G84" s="201"/>
      <c r="H84" s="510"/>
      <c r="I84" s="201"/>
      <c r="J84" s="202">
        <f>SUM(J35:J38)</f>
        <v>111551</v>
      </c>
    </row>
    <row r="85" spans="1:11">
      <c r="A85" s="200"/>
      <c r="B85" s="79" t="s">
        <v>63</v>
      </c>
      <c r="C85" s="106">
        <f>SUM(B39:B40)</f>
        <v>1</v>
      </c>
      <c r="D85" s="201"/>
      <c r="E85" s="201"/>
      <c r="F85" s="201"/>
      <c r="G85" s="201"/>
      <c r="H85" s="510"/>
      <c r="I85" s="201"/>
      <c r="J85" s="202">
        <f>SUM(J39:J40)</f>
        <v>50477</v>
      </c>
    </row>
    <row r="86" spans="1:11">
      <c r="A86" s="200"/>
      <c r="B86" s="79" t="s">
        <v>55</v>
      </c>
      <c r="C86" s="106">
        <v>0</v>
      </c>
      <c r="D86" s="201"/>
      <c r="E86" s="201"/>
      <c r="F86" s="201"/>
      <c r="G86" s="201"/>
      <c r="H86" s="510"/>
      <c r="I86" s="201"/>
      <c r="J86" s="202">
        <v>0</v>
      </c>
    </row>
    <row r="87" spans="1:11" ht="13.5" thickBot="1">
      <c r="A87" s="203"/>
      <c r="B87" s="204" t="s">
        <v>57</v>
      </c>
      <c r="C87" s="205">
        <f>SUM(B41:B77)</f>
        <v>32.925999999999995</v>
      </c>
      <c r="D87" s="206"/>
      <c r="E87" s="206"/>
      <c r="F87" s="206"/>
      <c r="G87" s="206"/>
      <c r="H87" s="511"/>
      <c r="I87" s="206"/>
      <c r="J87" s="207">
        <f>SUM(J41:J77)</f>
        <v>1691297.138</v>
      </c>
    </row>
    <row r="88" spans="1:11" ht="14.25" thickTop="1" thickBot="1">
      <c r="A88" s="203"/>
      <c r="B88" s="204" t="s">
        <v>28</v>
      </c>
      <c r="C88" s="205">
        <f>SUM(C82:C87)</f>
        <v>38.925999999999995</v>
      </c>
      <c r="D88" s="206"/>
      <c r="E88" s="206"/>
      <c r="F88" s="206"/>
      <c r="G88" s="206"/>
      <c r="H88" s="511"/>
      <c r="I88" s="206"/>
      <c r="J88" s="207">
        <f>SUM(J82:J87)</f>
        <v>2024358.138</v>
      </c>
    </row>
    <row r="89" spans="1:11" ht="13.5" thickTop="1">
      <c r="A89" s="352"/>
      <c r="B89" s="353"/>
      <c r="C89" s="278"/>
      <c r="D89" s="352"/>
      <c r="E89" s="352"/>
      <c r="F89" s="352"/>
      <c r="G89" s="352"/>
      <c r="H89" s="512"/>
      <c r="I89" s="352"/>
      <c r="J89" s="354"/>
    </row>
    <row r="90" spans="1:11" ht="13.5" thickBot="1">
      <c r="A90" s="352"/>
      <c r="B90" s="353"/>
      <c r="C90" s="278"/>
      <c r="D90" s="352"/>
      <c r="E90" s="352"/>
      <c r="F90" s="352"/>
      <c r="G90" s="352"/>
      <c r="H90" s="512"/>
      <c r="I90" s="352"/>
      <c r="J90" s="354"/>
    </row>
    <row r="91" spans="1:11">
      <c r="A91" s="491" t="s">
        <v>454</v>
      </c>
      <c r="B91" s="492"/>
      <c r="C91" s="493"/>
      <c r="D91" s="494"/>
      <c r="E91" s="494"/>
      <c r="F91" s="494"/>
      <c r="G91" s="494"/>
      <c r="H91" s="513"/>
      <c r="I91" s="494"/>
      <c r="J91" s="495"/>
    </row>
    <row r="93" spans="1:11" ht="15.75">
      <c r="A93" s="639" t="s">
        <v>510</v>
      </c>
      <c r="B93" s="474">
        <v>1</v>
      </c>
      <c r="C93" s="464" t="s">
        <v>495</v>
      </c>
      <c r="D93" s="464"/>
      <c r="E93" s="324"/>
      <c r="F93" s="189" t="s">
        <v>496</v>
      </c>
      <c r="G93" s="324">
        <v>20</v>
      </c>
      <c r="H93" s="508"/>
      <c r="I93" s="324">
        <v>1</v>
      </c>
      <c r="J93" s="53">
        <f>VLOOKUP(G93,Data!$B$120:$G$151,I93+1)*B93</f>
        <v>59405</v>
      </c>
    </row>
    <row r="94" spans="1:11" ht="15.75">
      <c r="A94" s="639" t="s">
        <v>510</v>
      </c>
      <c r="B94" s="576">
        <v>1</v>
      </c>
      <c r="C94" s="647" t="s">
        <v>542</v>
      </c>
      <c r="D94" s="581"/>
      <c r="E94" s="302"/>
      <c r="F94" s="503" t="s">
        <v>487</v>
      </c>
      <c r="G94" s="302">
        <v>15</v>
      </c>
      <c r="H94" s="516"/>
      <c r="I94" s="302">
        <v>2</v>
      </c>
      <c r="J94" s="504">
        <f>VLOOKUP(G94,Data!$B$120:$G$151,I94+1)*B94</f>
        <v>51819</v>
      </c>
    </row>
    <row r="95" spans="1:11" ht="15.75">
      <c r="A95" s="639" t="s">
        <v>510</v>
      </c>
      <c r="B95" s="576">
        <v>0.2</v>
      </c>
      <c r="C95" s="647" t="s">
        <v>521</v>
      </c>
      <c r="D95" s="581"/>
      <c r="E95" s="302"/>
      <c r="F95" s="503" t="s">
        <v>511</v>
      </c>
      <c r="G95" s="302">
        <v>5</v>
      </c>
      <c r="H95" s="516"/>
      <c r="I95" s="302">
        <v>2</v>
      </c>
      <c r="J95" s="633">
        <f>VLOOKUP(G95,Data!$B$120:$G$151,I95+1)*B95</f>
        <v>8618</v>
      </c>
    </row>
    <row r="96" spans="1:11" ht="16.5" thickBot="1">
      <c r="A96" s="500" t="s">
        <v>28</v>
      </c>
      <c r="B96" s="498" t="s">
        <v>326</v>
      </c>
      <c r="C96" s="29"/>
      <c r="D96" s="29"/>
      <c r="E96" s="292"/>
      <c r="F96" s="387"/>
      <c r="G96" s="292"/>
      <c r="H96" s="515"/>
      <c r="I96" s="292"/>
      <c r="J96" s="499">
        <f>SUM(J91:J95)</f>
        <v>119842</v>
      </c>
      <c r="K96" s="350"/>
    </row>
    <row r="97" spans="1:13" ht="15.75">
      <c r="A97" s="501"/>
      <c r="B97" s="502"/>
      <c r="C97" s="25"/>
      <c r="D97" s="25"/>
      <c r="E97" s="302"/>
      <c r="F97" s="503"/>
      <c r="G97" s="302"/>
      <c r="H97" s="516"/>
      <c r="I97" s="302"/>
      <c r="J97" s="504"/>
      <c r="K97" s="350"/>
    </row>
    <row r="98" spans="1:13" ht="13.5" thickBot="1">
      <c r="A98" s="352"/>
      <c r="B98" s="353"/>
      <c r="C98" s="278"/>
      <c r="D98" s="352"/>
      <c r="E98" s="352"/>
      <c r="F98" s="352"/>
      <c r="G98" s="352"/>
      <c r="H98" s="512"/>
      <c r="I98" s="352"/>
      <c r="J98" s="354"/>
    </row>
    <row r="99" spans="1:13">
      <c r="A99" s="491" t="s">
        <v>460</v>
      </c>
      <c r="B99" s="492"/>
      <c r="C99" s="493"/>
      <c r="D99" s="494"/>
      <c r="E99" s="494"/>
      <c r="F99" s="494"/>
      <c r="G99" s="494"/>
      <c r="H99" s="513"/>
      <c r="I99" s="494"/>
      <c r="J99" s="495"/>
    </row>
    <row r="100" spans="1:13">
      <c r="A100" s="496"/>
      <c r="B100" s="353"/>
      <c r="C100" s="278"/>
      <c r="D100" s="352"/>
      <c r="E100" s="352"/>
      <c r="F100" s="352"/>
      <c r="G100" s="352"/>
      <c r="H100" s="512"/>
      <c r="I100" s="352"/>
      <c r="J100" s="497"/>
    </row>
    <row r="101" spans="1:13" ht="15.75">
      <c r="A101" s="253" t="s">
        <v>290</v>
      </c>
      <c r="B101" s="658">
        <v>1</v>
      </c>
      <c r="C101" s="641" t="s">
        <v>519</v>
      </c>
      <c r="D101" s="464"/>
      <c r="E101" s="659"/>
      <c r="F101" s="189" t="s">
        <v>57</v>
      </c>
      <c r="G101" s="324">
        <v>3</v>
      </c>
      <c r="H101" s="508">
        <f>G101+1</f>
        <v>4</v>
      </c>
      <c r="I101" s="324">
        <v>3</v>
      </c>
      <c r="J101" s="53">
        <f>VLOOKUP(G101,Data!$B$120:$G$151,I101+1)*B101</f>
        <v>37860</v>
      </c>
    </row>
    <row r="103" spans="1:13" ht="13.5" thickBot="1">
      <c r="A103" s="38"/>
      <c r="B103" s="219"/>
      <c r="C103" s="219"/>
      <c r="D103" s="219"/>
      <c r="E103" s="219"/>
      <c r="F103" s="219"/>
      <c r="G103" s="219"/>
      <c r="H103" s="514"/>
      <c r="I103" s="219"/>
      <c r="J103" s="423"/>
    </row>
    <row r="104" spans="1:13" ht="17.25" thickTop="1" thickBot="1">
      <c r="A104" s="500" t="s">
        <v>28</v>
      </c>
      <c r="B104" s="498"/>
      <c r="C104" s="29"/>
      <c r="D104" s="29"/>
      <c r="E104" s="292"/>
      <c r="F104" s="387"/>
      <c r="G104" s="292"/>
      <c r="H104" s="515"/>
      <c r="I104" s="292"/>
      <c r="J104" s="499">
        <f>SUM(J99:J103)</f>
        <v>37860</v>
      </c>
      <c r="K104" s="350"/>
    </row>
    <row r="105" spans="1:13" ht="15.75">
      <c r="A105" s="253"/>
      <c r="B105" s="260"/>
      <c r="E105" s="324"/>
      <c r="F105" s="189"/>
      <c r="G105" s="324"/>
      <c r="H105" s="508"/>
      <c r="I105" s="324"/>
      <c r="J105" s="53"/>
      <c r="K105" s="350"/>
    </row>
    <row r="106" spans="1:13" ht="15.75">
      <c r="A106" s="253"/>
      <c r="B106" s="260"/>
      <c r="E106" s="324"/>
      <c r="F106" s="189"/>
      <c r="G106" s="324"/>
      <c r="H106" s="508"/>
      <c r="I106" s="324"/>
      <c r="J106" s="53"/>
      <c r="K106" s="350"/>
    </row>
    <row r="107" spans="1:13" ht="15.75">
      <c r="A107" s="253"/>
      <c r="B107" s="260"/>
      <c r="E107" s="324"/>
      <c r="F107" s="189"/>
      <c r="G107" s="324"/>
      <c r="H107" s="508"/>
      <c r="I107" s="324"/>
      <c r="J107" s="53"/>
      <c r="K107" s="350"/>
      <c r="L107" s="324"/>
      <c r="M107" s="324"/>
    </row>
    <row r="108" spans="1:13" ht="15.75">
      <c r="C108" s="5" t="s">
        <v>351</v>
      </c>
      <c r="D108" s="11"/>
      <c r="H108" s="507"/>
    </row>
    <row r="109" spans="1:13" ht="15.75">
      <c r="C109" s="12"/>
      <c r="D109" s="5" t="s">
        <v>14</v>
      </c>
      <c r="H109" s="507"/>
    </row>
    <row r="110" spans="1:13" ht="15.75">
      <c r="C110" s="12"/>
      <c r="D110" s="10" t="s">
        <v>15</v>
      </c>
      <c r="H110" s="507"/>
    </row>
    <row r="111" spans="1:13">
      <c r="C111" s="73" t="s">
        <v>64</v>
      </c>
      <c r="G111" s="438" t="str">
        <f>A11</f>
        <v>E'town H/S</v>
      </c>
      <c r="H111" s="517"/>
    </row>
    <row r="112" spans="1:13">
      <c r="H112" s="507"/>
    </row>
    <row r="113" spans="1:11">
      <c r="A113" s="360" t="str">
        <f>$A$11</f>
        <v>E'town H/S</v>
      </c>
      <c r="B113" s="87"/>
      <c r="C113" s="208" t="s">
        <v>65</v>
      </c>
      <c r="D113" s="87"/>
      <c r="E113" s="87"/>
      <c r="F113" s="209"/>
      <c r="G113" s="87"/>
      <c r="H113" s="518"/>
      <c r="I113" s="87"/>
      <c r="J113" s="87"/>
      <c r="K113" s="113"/>
    </row>
    <row r="114" spans="1:11">
      <c r="A114" s="361" t="s">
        <v>44</v>
      </c>
      <c r="B114" s="211" t="s">
        <v>66</v>
      </c>
      <c r="C114" s="210" t="s">
        <v>45</v>
      </c>
      <c r="D114" s="211" t="s">
        <v>46</v>
      </c>
      <c r="E114" s="211" t="s">
        <v>27</v>
      </c>
      <c r="F114" s="211" t="s">
        <v>67</v>
      </c>
      <c r="G114" s="211" t="s">
        <v>68</v>
      </c>
      <c r="H114" s="519"/>
      <c r="I114" s="211" t="s">
        <v>69</v>
      </c>
      <c r="J114" s="211" t="s">
        <v>68</v>
      </c>
      <c r="K114" s="212" t="s">
        <v>28</v>
      </c>
    </row>
    <row r="115" spans="1:11">
      <c r="A115" s="362"/>
      <c r="B115" s="213" t="s">
        <v>70</v>
      </c>
      <c r="C115" s="104"/>
      <c r="D115" s="104"/>
      <c r="E115" s="104"/>
      <c r="F115" s="213" t="s">
        <v>71</v>
      </c>
      <c r="G115" s="213" t="s">
        <v>72</v>
      </c>
      <c r="H115" s="520"/>
      <c r="I115" s="213" t="s">
        <v>73</v>
      </c>
      <c r="J115" s="213" t="s">
        <v>71</v>
      </c>
      <c r="K115" s="214" t="s">
        <v>74</v>
      </c>
    </row>
    <row r="116" spans="1:11">
      <c r="A116" s="274"/>
      <c r="H116" s="507"/>
      <c r="K116" s="92"/>
    </row>
    <row r="117" spans="1:11" ht="15.75">
      <c r="A117" s="363" t="s">
        <v>553</v>
      </c>
      <c r="B117" s="261">
        <v>1</v>
      </c>
      <c r="C117" s="215" t="s">
        <v>75</v>
      </c>
      <c r="D117" s="256">
        <v>16</v>
      </c>
      <c r="E117" s="216">
        <v>1</v>
      </c>
      <c r="F117" s="216">
        <v>7.5</v>
      </c>
      <c r="G117" s="216">
        <v>213</v>
      </c>
      <c r="H117" s="521">
        <f>D117+1</f>
        <v>17</v>
      </c>
      <c r="I117" s="267">
        <f>VLOOKUP(D117,Data!$A$151:$S$178,E117+1)</f>
        <v>14</v>
      </c>
      <c r="J117" s="218">
        <f>G117*F117</f>
        <v>1597.5</v>
      </c>
      <c r="K117" s="126">
        <f>ROUND(I117*J117,0)</f>
        <v>22365</v>
      </c>
    </row>
    <row r="118" spans="1:11" ht="15.75">
      <c r="A118" s="363" t="s">
        <v>514</v>
      </c>
      <c r="B118" s="261">
        <v>1</v>
      </c>
      <c r="C118" s="215" t="s">
        <v>480</v>
      </c>
      <c r="D118" s="256">
        <v>13</v>
      </c>
      <c r="E118" s="216">
        <v>1</v>
      </c>
      <c r="F118" s="216">
        <v>8</v>
      </c>
      <c r="G118" s="216">
        <v>220</v>
      </c>
      <c r="H118" s="521"/>
      <c r="I118" s="267">
        <f>VLOOKUP(D118,Data!$A$151:$S$178,E118+1)</f>
        <v>13.7</v>
      </c>
      <c r="J118" s="218">
        <f>G118*F118</f>
        <v>1760</v>
      </c>
      <c r="K118" s="126">
        <f>ROUND(I118*J118,0)</f>
        <v>24112</v>
      </c>
    </row>
    <row r="119" spans="1:11" ht="15.75">
      <c r="A119" s="363" t="s">
        <v>327</v>
      </c>
      <c r="B119" s="261">
        <v>1</v>
      </c>
      <c r="C119" s="215" t="s">
        <v>75</v>
      </c>
      <c r="D119" s="256">
        <v>33</v>
      </c>
      <c r="E119" s="216">
        <v>1</v>
      </c>
      <c r="F119" s="216">
        <v>8</v>
      </c>
      <c r="G119" s="216">
        <v>260</v>
      </c>
      <c r="H119" s="521">
        <f>D119+1</f>
        <v>34</v>
      </c>
      <c r="I119" s="267">
        <f>VLOOKUP(D119,Data!$A$151:$S$178,E119+1)</f>
        <v>14.55</v>
      </c>
      <c r="J119" s="218">
        <f>G119*F119</f>
        <v>2080</v>
      </c>
      <c r="K119" s="126">
        <f>ROUND(I119*J119,0)</f>
        <v>30264</v>
      </c>
    </row>
    <row r="120" spans="1:11" ht="15.75" thickBot="1">
      <c r="A120" s="364"/>
      <c r="B120" s="221"/>
      <c r="C120" s="219"/>
      <c r="D120" s="257"/>
      <c r="E120" s="257"/>
      <c r="F120" s="257"/>
      <c r="G120" s="257" t="s">
        <v>326</v>
      </c>
      <c r="H120" s="522"/>
      <c r="I120" s="257"/>
      <c r="J120" s="257"/>
      <c r="K120" s="258"/>
    </row>
    <row r="121" spans="1:11" ht="15.75" thickTop="1" thickBot="1">
      <c r="A121" s="365" t="s">
        <v>76</v>
      </c>
      <c r="B121" s="70" t="str">
        <f>+G111</f>
        <v>E'town H/S</v>
      </c>
      <c r="C121" s="219"/>
      <c r="D121" s="220">
        <f>SUM(B116:B120)</f>
        <v>3</v>
      </c>
      <c r="E121" s="221" t="s">
        <v>77</v>
      </c>
      <c r="F121" s="219"/>
      <c r="G121" s="219"/>
      <c r="H121" s="514"/>
      <c r="I121" s="219"/>
      <c r="J121" s="219"/>
      <c r="K121" s="262">
        <f>SUM(K116:K120)</f>
        <v>76741</v>
      </c>
    </row>
    <row r="122" spans="1:11" ht="16.5" thickTop="1">
      <c r="A122" s="366"/>
      <c r="B122" s="222"/>
      <c r="C122" s="223"/>
      <c r="D122" s="216"/>
      <c r="E122" s="216"/>
      <c r="F122" s="216"/>
      <c r="G122" s="216"/>
      <c r="H122" s="523"/>
      <c r="I122" s="217"/>
      <c r="J122" s="218"/>
      <c r="K122" s="126"/>
    </row>
    <row r="123" spans="1:11" ht="15.75">
      <c r="A123" s="363" t="s">
        <v>404</v>
      </c>
      <c r="B123" s="261">
        <v>1</v>
      </c>
      <c r="C123" s="215" t="s">
        <v>389</v>
      </c>
      <c r="D123" s="256">
        <v>21</v>
      </c>
      <c r="E123" s="216">
        <v>2</v>
      </c>
      <c r="F123" s="216">
        <v>7.5</v>
      </c>
      <c r="G123" s="216">
        <v>185</v>
      </c>
      <c r="H123" s="521">
        <f>D123+1</f>
        <v>22</v>
      </c>
      <c r="I123" s="267">
        <f>VLOOKUP(D123,Data!$A$151:$S$178,E123+1)</f>
        <v>12.58</v>
      </c>
      <c r="J123" s="218">
        <f>G123*F123</f>
        <v>1387.5</v>
      </c>
      <c r="K123" s="126">
        <f>ROUND(I123*J123,0)</f>
        <v>17455</v>
      </c>
    </row>
    <row r="124" spans="1:11" ht="15.75">
      <c r="A124" s="363" t="s">
        <v>554</v>
      </c>
      <c r="B124" s="261">
        <v>1</v>
      </c>
      <c r="C124" s="215" t="s">
        <v>293</v>
      </c>
      <c r="D124" s="256">
        <v>1</v>
      </c>
      <c r="E124" s="216">
        <v>8</v>
      </c>
      <c r="F124" s="216">
        <v>7</v>
      </c>
      <c r="G124" s="216">
        <v>185</v>
      </c>
      <c r="H124" s="521">
        <f>D124+1</f>
        <v>2</v>
      </c>
      <c r="I124" s="267">
        <f>VLOOKUP(D124,Data!$A$151:$S$178,E124+1)</f>
        <v>9.8000000000000007</v>
      </c>
      <c r="J124" s="218">
        <f>G124*F124</f>
        <v>1295</v>
      </c>
      <c r="K124" s="126">
        <f>ROUND(I124*J124,0)</f>
        <v>12691</v>
      </c>
    </row>
    <row r="125" spans="1:11" ht="15.75">
      <c r="A125" s="363" t="s">
        <v>524</v>
      </c>
      <c r="B125" s="261">
        <v>1</v>
      </c>
      <c r="C125" s="215" t="s">
        <v>485</v>
      </c>
      <c r="D125" s="256">
        <v>12</v>
      </c>
      <c r="E125" s="216">
        <v>8</v>
      </c>
      <c r="F125" s="216">
        <v>7</v>
      </c>
      <c r="G125" s="216">
        <v>173</v>
      </c>
      <c r="H125" s="521">
        <f>D125+1</f>
        <v>13</v>
      </c>
      <c r="I125" s="267">
        <f>VLOOKUP(D125,Data!$A$151:$S$178,E125+1)</f>
        <v>11.1</v>
      </c>
      <c r="J125" s="218">
        <f>G125*F125</f>
        <v>1211</v>
      </c>
      <c r="K125" s="126">
        <f>ROUND(I125*J125,0)</f>
        <v>13442</v>
      </c>
    </row>
    <row r="126" spans="1:11" ht="15.75" thickBot="1">
      <c r="A126" s="364"/>
      <c r="B126" s="221"/>
      <c r="C126" s="219"/>
      <c r="D126" s="257"/>
      <c r="E126" s="257"/>
      <c r="F126" s="257"/>
      <c r="G126" s="257"/>
      <c r="H126" s="522"/>
      <c r="I126" s="257"/>
      <c r="J126" s="257"/>
      <c r="K126" s="258"/>
    </row>
    <row r="127" spans="1:11" ht="15.75" thickTop="1" thickBot="1">
      <c r="A127" s="365" t="s">
        <v>78</v>
      </c>
      <c r="B127" t="str">
        <f>+B121</f>
        <v>E'town H/S</v>
      </c>
      <c r="C127" s="99"/>
      <c r="D127" s="205">
        <f>SUM(B122:B126)</f>
        <v>3</v>
      </c>
      <c r="E127" s="98" t="s">
        <v>79</v>
      </c>
      <c r="H127" s="507"/>
      <c r="K127" s="263">
        <f>SUM(K122:K126)</f>
        <v>43588</v>
      </c>
    </row>
    <row r="128" spans="1:11" ht="15.75" thickTop="1" thickBot="1">
      <c r="A128" s="366"/>
      <c r="B128" s="223"/>
      <c r="C128" s="223"/>
      <c r="D128" s="223"/>
      <c r="E128" s="224" t="s">
        <v>80</v>
      </c>
      <c r="F128" s="223"/>
      <c r="G128" s="223"/>
      <c r="H128" s="525"/>
      <c r="I128" s="223"/>
      <c r="J128" s="223"/>
      <c r="K128" s="264">
        <f>K127+K121</f>
        <v>120329</v>
      </c>
    </row>
    <row r="129" spans="1:11" ht="15" thickTop="1">
      <c r="A129" s="366"/>
      <c r="B129" s="223"/>
      <c r="C129" s="223"/>
      <c r="D129" s="223"/>
      <c r="E129" s="222"/>
      <c r="F129" s="223"/>
      <c r="G129" s="223"/>
      <c r="H129" s="525"/>
      <c r="I129" s="223"/>
      <c r="J129" s="223"/>
      <c r="K129" s="649"/>
    </row>
    <row r="130" spans="1:11" ht="15.75">
      <c r="A130" s="363" t="s">
        <v>528</v>
      </c>
      <c r="B130" s="261">
        <v>1</v>
      </c>
      <c r="C130" s="215" t="s">
        <v>529</v>
      </c>
      <c r="D130" s="256">
        <v>15</v>
      </c>
      <c r="E130" s="216">
        <v>5</v>
      </c>
      <c r="F130" s="216">
        <v>8</v>
      </c>
      <c r="G130" s="216">
        <v>260</v>
      </c>
      <c r="H130" s="521">
        <f>D130+1</f>
        <v>16</v>
      </c>
      <c r="I130" s="267">
        <f>VLOOKUP(D130,Data!$A$151:$S$178,E130+1)</f>
        <v>11.86</v>
      </c>
      <c r="J130" s="218">
        <f t="shared" ref="J130:J135" si="1">G130*F130</f>
        <v>2080</v>
      </c>
      <c r="K130" s="126">
        <f t="shared" ref="K130:K135" si="2">ROUND(I130*J130,0)</f>
        <v>24669</v>
      </c>
    </row>
    <row r="131" spans="1:11" ht="15.75">
      <c r="A131" s="25" t="s">
        <v>531</v>
      </c>
      <c r="B131" s="261">
        <v>1</v>
      </c>
      <c r="C131" s="215" t="s">
        <v>529</v>
      </c>
      <c r="D131" s="256">
        <v>15</v>
      </c>
      <c r="E131" s="216">
        <v>5</v>
      </c>
      <c r="F131" s="216">
        <v>8</v>
      </c>
      <c r="G131" s="216">
        <v>260</v>
      </c>
      <c r="H131" s="521">
        <f>D131+1</f>
        <v>16</v>
      </c>
      <c r="I131" s="267">
        <f>VLOOKUP(D131,Data!$A$151:$S$178,E131+1)</f>
        <v>11.86</v>
      </c>
      <c r="J131" s="218">
        <f t="shared" si="1"/>
        <v>2080</v>
      </c>
      <c r="K131" s="126">
        <f t="shared" si="2"/>
        <v>24669</v>
      </c>
    </row>
    <row r="132" spans="1:11" ht="15.75">
      <c r="A132" s="571" t="s">
        <v>534</v>
      </c>
      <c r="B132" s="261">
        <v>1</v>
      </c>
      <c r="C132" s="215" t="s">
        <v>529</v>
      </c>
      <c r="D132" s="256">
        <v>5</v>
      </c>
      <c r="E132" s="216">
        <v>5</v>
      </c>
      <c r="F132" s="216">
        <v>8</v>
      </c>
      <c r="G132" s="216">
        <v>260</v>
      </c>
      <c r="H132" s="521">
        <f>D132+1</f>
        <v>6</v>
      </c>
      <c r="I132" s="267">
        <f>VLOOKUP(D132,Data!$A$151:$S$178,E132+1)</f>
        <v>10.85</v>
      </c>
      <c r="J132" s="218">
        <f t="shared" si="1"/>
        <v>2080</v>
      </c>
      <c r="K132" s="126">
        <f t="shared" si="2"/>
        <v>22568</v>
      </c>
    </row>
    <row r="133" spans="1:11" ht="15.75">
      <c r="A133" s="571" t="s">
        <v>555</v>
      </c>
      <c r="B133" s="261">
        <v>1</v>
      </c>
      <c r="C133" s="215" t="s">
        <v>529</v>
      </c>
      <c r="D133" s="256">
        <v>10</v>
      </c>
      <c r="E133" s="216">
        <v>5</v>
      </c>
      <c r="F133" s="216">
        <v>8</v>
      </c>
      <c r="G133" s="216">
        <v>260</v>
      </c>
      <c r="H133" s="521"/>
      <c r="I133" s="267">
        <f>VLOOKUP(D133,Data!$A$151:$S$178,E133+1)</f>
        <v>11.22</v>
      </c>
      <c r="J133" s="218">
        <f t="shared" si="1"/>
        <v>2080</v>
      </c>
      <c r="K133" s="126">
        <f t="shared" si="2"/>
        <v>23338</v>
      </c>
    </row>
    <row r="134" spans="1:11" ht="15.75">
      <c r="A134" s="571" t="s">
        <v>536</v>
      </c>
      <c r="B134" s="483">
        <v>0.5</v>
      </c>
      <c r="C134" s="215" t="s">
        <v>529</v>
      </c>
      <c r="D134" s="256">
        <v>15</v>
      </c>
      <c r="E134" s="216">
        <v>5</v>
      </c>
      <c r="F134" s="216">
        <v>4</v>
      </c>
      <c r="G134" s="216">
        <v>260</v>
      </c>
      <c r="H134" s="521">
        <f>D134+1</f>
        <v>16</v>
      </c>
      <c r="I134" s="267">
        <f>VLOOKUP(D134,Data!$A$151:$S$178,E134+1)</f>
        <v>11.86</v>
      </c>
      <c r="J134" s="218">
        <f t="shared" si="1"/>
        <v>1040</v>
      </c>
      <c r="K134" s="126">
        <f t="shared" si="2"/>
        <v>12334</v>
      </c>
    </row>
    <row r="135" spans="1:11" ht="15.75">
      <c r="A135" s="571" t="s">
        <v>575</v>
      </c>
      <c r="B135" s="483">
        <v>0.5</v>
      </c>
      <c r="C135" s="215" t="s">
        <v>529</v>
      </c>
      <c r="D135" s="256">
        <v>15</v>
      </c>
      <c r="E135" s="216">
        <v>5</v>
      </c>
      <c r="F135" s="216">
        <v>4</v>
      </c>
      <c r="G135" s="216">
        <v>260</v>
      </c>
      <c r="H135" s="521">
        <f>D135+1</f>
        <v>16</v>
      </c>
      <c r="I135" s="267">
        <f>VLOOKUP(D135,Data!$A$151:$S$178,E135+1)</f>
        <v>11.86</v>
      </c>
      <c r="J135" s="218">
        <f t="shared" si="1"/>
        <v>1040</v>
      </c>
      <c r="K135" s="126">
        <f t="shared" si="2"/>
        <v>12334</v>
      </c>
    </row>
    <row r="136" spans="1:11" ht="13.5" thickBot="1">
      <c r="A136" s="364"/>
      <c r="B136" s="219"/>
      <c r="C136" s="219"/>
      <c r="D136" s="219"/>
      <c r="E136" s="219"/>
      <c r="F136" s="219"/>
      <c r="G136" s="219"/>
      <c r="H136" s="514"/>
      <c r="I136" s="219"/>
      <c r="J136" s="219"/>
      <c r="K136" s="653"/>
    </row>
    <row r="137" spans="1:11" ht="15.75" thickTop="1" thickBot="1">
      <c r="A137" s="367" t="s">
        <v>81</v>
      </c>
      <c r="B137" s="652">
        <f>SUM(B130:B135)</f>
        <v>5</v>
      </c>
      <c r="C137" s="99"/>
      <c r="D137" s="205">
        <f>SUM(B130:B135)</f>
        <v>5</v>
      </c>
      <c r="E137" s="98" t="s">
        <v>82</v>
      </c>
      <c r="F137" s="219"/>
      <c r="G137" s="219"/>
      <c r="H137" s="219"/>
      <c r="I137" s="219"/>
      <c r="J137" s="219"/>
      <c r="K137" s="263">
        <f>SUM(K130:K135)</f>
        <v>119912</v>
      </c>
    </row>
    <row r="138" spans="1:11" ht="17.25" thickTop="1" thickBot="1">
      <c r="A138" s="373"/>
      <c r="B138" s="565"/>
      <c r="C138" s="382"/>
      <c r="D138" s="566"/>
      <c r="E138" s="567"/>
      <c r="F138" s="567"/>
      <c r="G138" s="567"/>
      <c r="H138" s="568"/>
      <c r="I138" s="54"/>
      <c r="J138" s="376"/>
      <c r="K138" s="310"/>
    </row>
    <row r="139" spans="1:11" ht="13.5" thickTop="1">
      <c r="A139" s="569" t="s">
        <v>456</v>
      </c>
      <c r="H139" s="507"/>
      <c r="K139" s="92"/>
    </row>
    <row r="140" spans="1:11" ht="15.75">
      <c r="A140" s="363" t="s">
        <v>491</v>
      </c>
      <c r="B140" s="261">
        <v>1</v>
      </c>
      <c r="C140" s="215" t="s">
        <v>487</v>
      </c>
      <c r="D140" s="256">
        <v>15</v>
      </c>
      <c r="E140" s="216">
        <v>8</v>
      </c>
      <c r="F140" s="216">
        <v>6.5</v>
      </c>
      <c r="G140" s="216">
        <v>181</v>
      </c>
      <c r="H140" s="521">
        <f>D140+1</f>
        <v>16</v>
      </c>
      <c r="I140" s="267">
        <f>VLOOKUP(D140,Data!$A$151:$S$178,E140+1)</f>
        <v>11.63</v>
      </c>
      <c r="J140" s="218">
        <f>G140*F140</f>
        <v>1176.5</v>
      </c>
      <c r="K140" s="126">
        <f>ROUND(I140*J140,0)</f>
        <v>13683</v>
      </c>
    </row>
    <row r="141" spans="1:11" ht="15" thickBot="1">
      <c r="A141" s="365" t="s">
        <v>326</v>
      </c>
      <c r="B141" t="s">
        <v>326</v>
      </c>
      <c r="C141" s="99" t="s">
        <v>326</v>
      </c>
      <c r="D141" s="205" t="s">
        <v>326</v>
      </c>
      <c r="E141" s="98" t="s">
        <v>326</v>
      </c>
      <c r="F141" t="s">
        <v>326</v>
      </c>
      <c r="G141" t="s">
        <v>326</v>
      </c>
      <c r="I141" t="s">
        <v>326</v>
      </c>
      <c r="J141" t="s">
        <v>326</v>
      </c>
      <c r="K141" s="263" t="s">
        <v>326</v>
      </c>
    </row>
    <row r="142" spans="1:11" ht="13.5" thickTop="1">
      <c r="A142" s="368"/>
      <c r="B142" s="225" t="s">
        <v>455</v>
      </c>
      <c r="C142" s="225"/>
      <c r="D142" s="225"/>
      <c r="E142" s="225"/>
      <c r="F142" s="225"/>
      <c r="G142" s="225"/>
      <c r="H142" s="225"/>
      <c r="I142" s="225"/>
      <c r="J142" s="225"/>
      <c r="K142" s="570">
        <f>SUM(K140:K141)</f>
        <v>13683</v>
      </c>
    </row>
    <row r="144" spans="1:11" ht="15.75">
      <c r="A144" s="155" t="str">
        <f>A11</f>
        <v>E'town H/S</v>
      </c>
      <c r="B144" s="9"/>
      <c r="C144" s="370" t="str">
        <f>+A7</f>
        <v>2013-2014</v>
      </c>
      <c r="D144" s="155" t="s">
        <v>83</v>
      </c>
      <c r="E144" s="9"/>
      <c r="F144" s="9"/>
      <c r="G144" s="9"/>
      <c r="H144" s="9"/>
    </row>
    <row r="145" spans="1:12">
      <c r="A145" s="228" t="s">
        <v>84</v>
      </c>
      <c r="B145" s="228" t="s">
        <v>85</v>
      </c>
      <c r="C145" s="226" t="s">
        <v>20</v>
      </c>
      <c r="D145" s="227"/>
      <c r="E145" s="227"/>
      <c r="F145" s="228" t="s">
        <v>86</v>
      </c>
      <c r="G145" s="229"/>
      <c r="H145" s="229"/>
      <c r="I145" s="228" t="s">
        <v>87</v>
      </c>
    </row>
    <row r="146" spans="1:12" ht="13.5" thickBot="1">
      <c r="A146" s="232" t="s">
        <v>88</v>
      </c>
      <c r="B146" s="232" t="s">
        <v>88</v>
      </c>
      <c r="C146" s="230"/>
      <c r="D146" s="231"/>
      <c r="E146" s="231"/>
      <c r="F146" s="232" t="s">
        <v>89</v>
      </c>
      <c r="G146" s="233"/>
      <c r="H146" s="233"/>
      <c r="I146" s="234" t="s">
        <v>90</v>
      </c>
    </row>
    <row r="147" spans="1:12" ht="13.5" thickTop="1">
      <c r="A147" s="314" t="s">
        <v>287</v>
      </c>
      <c r="B147" s="315" t="s">
        <v>21</v>
      </c>
      <c r="C147" s="108" t="s">
        <v>91</v>
      </c>
      <c r="D147" s="110"/>
      <c r="E147" s="110"/>
      <c r="F147" s="235">
        <f>J82</f>
        <v>55748</v>
      </c>
      <c r="G147" s="236"/>
      <c r="H147" s="236"/>
      <c r="I147" s="237"/>
    </row>
    <row r="148" spans="1:12">
      <c r="A148" s="314" t="s">
        <v>287</v>
      </c>
      <c r="B148" s="315" t="s">
        <v>21</v>
      </c>
      <c r="C148" s="671" t="s">
        <v>562</v>
      </c>
      <c r="D148" s="110"/>
      <c r="E148" s="110"/>
      <c r="F148" s="235">
        <f>J83</f>
        <v>115285</v>
      </c>
      <c r="G148" s="236"/>
      <c r="H148" s="236"/>
      <c r="I148" s="237"/>
    </row>
    <row r="149" spans="1:12">
      <c r="A149" s="314" t="s">
        <v>290</v>
      </c>
      <c r="B149" s="315" t="s">
        <v>21</v>
      </c>
      <c r="C149" s="108" t="s">
        <v>93</v>
      </c>
      <c r="D149" s="110"/>
      <c r="E149" s="110"/>
      <c r="F149" s="235">
        <f>J87</f>
        <v>1691297.138</v>
      </c>
      <c r="G149" s="236"/>
      <c r="H149" s="236"/>
      <c r="I149" s="237"/>
      <c r="J149" s="249"/>
    </row>
    <row r="150" spans="1:12">
      <c r="A150" s="314" t="s">
        <v>289</v>
      </c>
      <c r="B150" s="315" t="s">
        <v>21</v>
      </c>
      <c r="C150" s="108" t="s">
        <v>94</v>
      </c>
      <c r="D150" s="110"/>
      <c r="E150" s="110"/>
      <c r="F150" s="235">
        <f>J85</f>
        <v>50477</v>
      </c>
      <c r="G150" s="236"/>
      <c r="H150" s="236"/>
      <c r="I150" s="237"/>
    </row>
    <row r="151" spans="1:12">
      <c r="A151" s="314" t="s">
        <v>288</v>
      </c>
      <c r="B151" s="315" t="s">
        <v>21</v>
      </c>
      <c r="C151" s="108" t="s">
        <v>95</v>
      </c>
      <c r="D151" s="110"/>
      <c r="E151" s="110"/>
      <c r="F151" s="235">
        <f>J84</f>
        <v>111551</v>
      </c>
      <c r="G151" s="236"/>
      <c r="H151" s="236"/>
      <c r="I151" s="237"/>
      <c r="L151" s="142">
        <f>SUM(F147:F151)</f>
        <v>2024358.138</v>
      </c>
    </row>
    <row r="152" spans="1:12">
      <c r="A152" s="314" t="s">
        <v>287</v>
      </c>
      <c r="B152" s="315" t="s">
        <v>22</v>
      </c>
      <c r="C152" s="108" t="s">
        <v>96</v>
      </c>
      <c r="D152" s="110"/>
      <c r="E152" s="110"/>
      <c r="F152" s="235">
        <f>K121</f>
        <v>76741</v>
      </c>
      <c r="G152" s="236"/>
      <c r="H152" s="236"/>
      <c r="I152" s="237"/>
    </row>
    <row r="153" spans="1:12">
      <c r="A153" s="314" t="s">
        <v>290</v>
      </c>
      <c r="B153" s="315" t="s">
        <v>22</v>
      </c>
      <c r="C153" s="108" t="s">
        <v>97</v>
      </c>
      <c r="D153" s="110"/>
      <c r="E153" s="110"/>
      <c r="F153" s="235">
        <f>K127</f>
        <v>43588</v>
      </c>
      <c r="G153" s="236"/>
      <c r="H153" s="236"/>
      <c r="I153" s="237"/>
    </row>
    <row r="154" spans="1:12">
      <c r="A154" s="314" t="s">
        <v>294</v>
      </c>
      <c r="B154" s="315" t="s">
        <v>22</v>
      </c>
      <c r="C154" s="108" t="s">
        <v>99</v>
      </c>
      <c r="D154" s="110"/>
      <c r="E154" s="110"/>
      <c r="F154" s="235">
        <f>K137</f>
        <v>119912</v>
      </c>
      <c r="G154" s="236"/>
      <c r="H154" s="236"/>
      <c r="I154" s="237"/>
      <c r="L154" s="142">
        <f>SUM(F152:F154)</f>
        <v>240241</v>
      </c>
    </row>
    <row r="155" spans="1:12">
      <c r="A155" s="314" t="s">
        <v>290</v>
      </c>
      <c r="B155" s="315"/>
      <c r="C155" s="108" t="s">
        <v>100</v>
      </c>
      <c r="D155" s="110"/>
      <c r="E155" s="110"/>
      <c r="F155" s="235"/>
      <c r="G155" s="236"/>
      <c r="H155" s="236"/>
      <c r="I155" s="237"/>
    </row>
    <row r="156" spans="1:12">
      <c r="A156" s="314" t="s">
        <v>290</v>
      </c>
      <c r="B156" s="315" t="s">
        <v>101</v>
      </c>
      <c r="C156" s="108" t="s">
        <v>102</v>
      </c>
      <c r="D156" s="110"/>
      <c r="E156" s="110"/>
      <c r="F156" s="235">
        <v>0</v>
      </c>
      <c r="G156" s="236"/>
      <c r="H156" s="236"/>
      <c r="I156" s="237"/>
    </row>
    <row r="157" spans="1:12">
      <c r="A157" s="314" t="s">
        <v>290</v>
      </c>
      <c r="B157" s="315" t="s">
        <v>103</v>
      </c>
      <c r="C157" s="108" t="s">
        <v>104</v>
      </c>
      <c r="D157" s="110"/>
      <c r="E157" s="110"/>
      <c r="F157" s="235">
        <v>0</v>
      </c>
      <c r="G157" s="236"/>
      <c r="H157" s="236"/>
      <c r="I157" s="237"/>
    </row>
    <row r="158" spans="1:12">
      <c r="A158" s="314" t="s">
        <v>289</v>
      </c>
      <c r="B158" s="315" t="s">
        <v>105</v>
      </c>
      <c r="C158" s="108" t="s">
        <v>106</v>
      </c>
      <c r="D158" s="110"/>
      <c r="E158" s="110"/>
      <c r="F158" s="235">
        <v>0</v>
      </c>
      <c r="G158" s="236"/>
      <c r="H158" s="236"/>
      <c r="I158" s="237"/>
    </row>
    <row r="159" spans="1:12">
      <c r="A159" s="314" t="s">
        <v>289</v>
      </c>
      <c r="B159" s="315" t="s">
        <v>107</v>
      </c>
      <c r="C159" s="108" t="s">
        <v>108</v>
      </c>
      <c r="D159" s="110"/>
      <c r="E159" s="110"/>
      <c r="F159" s="235">
        <v>0</v>
      </c>
      <c r="G159" s="236"/>
      <c r="H159" s="236"/>
      <c r="I159" s="237"/>
    </row>
    <row r="160" spans="1:12">
      <c r="A160" s="314" t="s">
        <v>289</v>
      </c>
      <c r="B160" s="315" t="s">
        <v>23</v>
      </c>
      <c r="C160" s="108" t="s">
        <v>109</v>
      </c>
      <c r="D160" s="110"/>
      <c r="E160" s="110"/>
      <c r="F160" s="235">
        <v>0</v>
      </c>
      <c r="G160" s="236"/>
      <c r="H160" s="236"/>
      <c r="I160" s="237"/>
    </row>
    <row r="161" spans="1:12">
      <c r="A161" s="314" t="s">
        <v>289</v>
      </c>
      <c r="B161" s="315" t="s">
        <v>110</v>
      </c>
      <c r="C161" s="108" t="s">
        <v>111</v>
      </c>
      <c r="D161" s="110"/>
      <c r="E161" s="110"/>
      <c r="F161" s="235">
        <v>0</v>
      </c>
      <c r="G161" s="236"/>
      <c r="H161" s="236"/>
      <c r="I161" s="237"/>
    </row>
    <row r="162" spans="1:12">
      <c r="A162" s="314" t="s">
        <v>290</v>
      </c>
      <c r="B162" s="315" t="s">
        <v>23</v>
      </c>
      <c r="C162" s="108" t="s">
        <v>112</v>
      </c>
      <c r="D162" s="110"/>
      <c r="E162" s="110"/>
      <c r="F162" s="235">
        <f>Data!D82+Data!D83</f>
        <v>75642</v>
      </c>
      <c r="G162" s="236"/>
      <c r="H162" s="236"/>
      <c r="I162" s="237"/>
      <c r="L162" s="142">
        <f>+F162</f>
        <v>75642</v>
      </c>
    </row>
    <row r="163" spans="1:12">
      <c r="A163" s="314" t="s">
        <v>290</v>
      </c>
      <c r="B163" s="315" t="s">
        <v>24</v>
      </c>
      <c r="C163" s="108" t="s">
        <v>113</v>
      </c>
      <c r="D163" s="110"/>
      <c r="E163" s="110"/>
      <c r="F163" s="235">
        <v>0</v>
      </c>
      <c r="G163" s="236"/>
      <c r="H163" s="236"/>
      <c r="I163" s="237"/>
    </row>
    <row r="164" spans="1:12">
      <c r="A164" s="314" t="s">
        <v>290</v>
      </c>
      <c r="B164" s="315" t="s">
        <v>25</v>
      </c>
      <c r="C164" s="108" t="s">
        <v>114</v>
      </c>
      <c r="D164" s="110"/>
      <c r="E164" s="110"/>
      <c r="F164" s="235"/>
      <c r="G164" s="236"/>
      <c r="H164" s="236"/>
      <c r="I164" s="237"/>
    </row>
    <row r="165" spans="1:12">
      <c r="A165" s="369" t="s">
        <v>12</v>
      </c>
      <c r="B165" s="316"/>
      <c r="C165" s="238"/>
      <c r="D165" s="239"/>
      <c r="E165" s="239"/>
      <c r="F165" s="240"/>
      <c r="G165" s="236"/>
      <c r="H165" s="236"/>
      <c r="I165" s="237"/>
    </row>
    <row r="166" spans="1:12">
      <c r="A166" s="274"/>
      <c r="B166" s="315" t="s">
        <v>115</v>
      </c>
      <c r="C166" s="108" t="s">
        <v>379</v>
      </c>
      <c r="D166" s="110"/>
      <c r="E166" s="110"/>
      <c r="F166" s="235">
        <f>ROUND(SUM(F152:F154)*Data!$I$8,0)</f>
        <v>0</v>
      </c>
      <c r="G166" s="236"/>
      <c r="H166" s="236"/>
      <c r="I166" s="237"/>
    </row>
    <row r="167" spans="1:12">
      <c r="A167" s="274"/>
      <c r="B167" s="315" t="s">
        <v>116</v>
      </c>
      <c r="C167" s="108" t="s">
        <v>368</v>
      </c>
      <c r="D167" s="110"/>
      <c r="E167" s="110"/>
      <c r="F167" s="235">
        <f>ROUND(SUM(F147:F151)*Data!$I$10,0)</f>
        <v>0</v>
      </c>
      <c r="G167" s="236"/>
      <c r="H167" s="236"/>
      <c r="I167" s="237"/>
    </row>
    <row r="168" spans="1:12">
      <c r="A168" s="274"/>
      <c r="B168" s="315" t="s">
        <v>116</v>
      </c>
      <c r="C168" s="108" t="s">
        <v>369</v>
      </c>
      <c r="D168" s="110"/>
      <c r="E168" s="110"/>
      <c r="F168" s="235">
        <f>ROUND(SUM(F152:F154)*Data!$I$10,0)</f>
        <v>0</v>
      </c>
      <c r="G168" s="236"/>
      <c r="H168" s="236"/>
      <c r="I168" s="237"/>
    </row>
    <row r="169" spans="1:12">
      <c r="A169" s="274"/>
      <c r="B169" s="315" t="s">
        <v>117</v>
      </c>
      <c r="C169" s="108" t="s">
        <v>370</v>
      </c>
      <c r="D169" s="110"/>
      <c r="E169" s="110"/>
      <c r="F169" s="235">
        <f>ROUND(SUM(F152:F154)*Data!$I$9,0)</f>
        <v>0</v>
      </c>
      <c r="G169" s="236"/>
      <c r="H169" s="236"/>
      <c r="I169" s="237"/>
    </row>
    <row r="170" spans="1:12">
      <c r="A170" s="274"/>
      <c r="B170" s="315" t="s">
        <v>118</v>
      </c>
      <c r="C170" s="108" t="s">
        <v>367</v>
      </c>
      <c r="D170" s="110"/>
      <c r="E170" s="110"/>
      <c r="F170" s="235">
        <f>ROUND(SUM(F147:F151)*Data!$I$11,0)</f>
        <v>0</v>
      </c>
      <c r="G170" s="236"/>
      <c r="H170" s="236"/>
      <c r="I170" s="237"/>
    </row>
    <row r="171" spans="1:12">
      <c r="A171" s="274"/>
      <c r="B171" s="315" t="s">
        <v>118</v>
      </c>
      <c r="C171" s="108" t="s">
        <v>371</v>
      </c>
      <c r="D171" s="110"/>
      <c r="E171" s="110"/>
      <c r="F171" s="235">
        <f>ROUND(SUM(F152:F154)*Data!$I$11,0)</f>
        <v>0</v>
      </c>
      <c r="G171" s="236"/>
      <c r="H171" s="236"/>
      <c r="I171" s="237"/>
    </row>
    <row r="172" spans="1:12">
      <c r="A172" s="274"/>
      <c r="B172" s="315" t="s">
        <v>119</v>
      </c>
      <c r="C172" s="108" t="s">
        <v>372</v>
      </c>
      <c r="D172" s="110"/>
      <c r="E172" s="110"/>
      <c r="F172" s="235">
        <f>(SUM(Data!D52*Data!$I$13)*Data!$I$12)</f>
        <v>0</v>
      </c>
      <c r="G172" s="236"/>
      <c r="H172" s="236"/>
      <c r="I172" s="237"/>
      <c r="L172" s="142">
        <f>SUM(F165:F172)</f>
        <v>0</v>
      </c>
    </row>
    <row r="173" spans="1:12">
      <c r="A173" s="274"/>
      <c r="B173" s="315" t="s">
        <v>119</v>
      </c>
      <c r="C173" s="108" t="s">
        <v>373</v>
      </c>
      <c r="D173" s="110"/>
      <c r="E173" s="110"/>
      <c r="F173" s="235">
        <f>(SUM((Data!D60+D54)*Data!$I$13)*Data!$I$12)</f>
        <v>0</v>
      </c>
      <c r="G173" s="236"/>
      <c r="H173" s="236"/>
      <c r="I173" s="237"/>
      <c r="L173" s="142">
        <f>SUM(F166:F173)</f>
        <v>0</v>
      </c>
    </row>
    <row r="174" spans="1:12">
      <c r="A174" s="241"/>
      <c r="B174" s="109" t="s">
        <v>120</v>
      </c>
      <c r="C174" s="110"/>
      <c r="D174" s="110"/>
      <c r="E174" s="110"/>
      <c r="F174" s="235">
        <f>SUM(F147:F173)</f>
        <v>2340241.1380000003</v>
      </c>
      <c r="G174" s="236"/>
      <c r="H174" s="236"/>
      <c r="I174" s="237"/>
      <c r="L174" s="249"/>
    </row>
    <row r="176" spans="1:12">
      <c r="A176" s="237"/>
      <c r="B176" s="109" t="s">
        <v>18</v>
      </c>
      <c r="C176" s="110"/>
      <c r="D176" s="110"/>
      <c r="E176" s="110"/>
      <c r="F176" s="235">
        <f>Data!D84</f>
        <v>2340241.1380000003</v>
      </c>
      <c r="G176" s="236"/>
      <c r="H176" s="236"/>
      <c r="I176" s="235">
        <f>F176</f>
        <v>2340241.1380000003</v>
      </c>
    </row>
    <row r="177" spans="1:9">
      <c r="A177" s="237"/>
      <c r="B177" s="103" t="s">
        <v>121</v>
      </c>
      <c r="C177" s="104"/>
      <c r="D177" s="104"/>
      <c r="E177" s="104"/>
      <c r="F177" s="235">
        <f>F174</f>
        <v>2340241.1380000003</v>
      </c>
      <c r="G177" s="236"/>
      <c r="H177" s="236"/>
      <c r="I177" s="237"/>
    </row>
    <row r="178" spans="1:9">
      <c r="A178" s="237"/>
      <c r="B178" s="103" t="s">
        <v>122</v>
      </c>
      <c r="C178" s="104"/>
      <c r="D178" s="104"/>
      <c r="E178" s="104"/>
      <c r="F178" s="235">
        <f>F176-F177</f>
        <v>0</v>
      </c>
      <c r="G178" s="236"/>
      <c r="H178" s="236"/>
      <c r="I178" s="237"/>
    </row>
    <row r="180" spans="1:9">
      <c r="A180" s="70" t="s">
        <v>123</v>
      </c>
    </row>
    <row r="181" spans="1:9">
      <c r="A181" s="70" t="s">
        <v>124</v>
      </c>
    </row>
    <row r="182" spans="1:9">
      <c r="A182" s="70" t="s">
        <v>614</v>
      </c>
    </row>
    <row r="184" spans="1:9">
      <c r="G184" s="7"/>
      <c r="H184" s="25"/>
    </row>
    <row r="185" spans="1:9">
      <c r="A185" s="86" t="s">
        <v>125</v>
      </c>
      <c r="B185" s="87"/>
      <c r="C185" s="87"/>
      <c r="E185" s="86" t="s">
        <v>126</v>
      </c>
      <c r="F185" s="87"/>
    </row>
    <row r="187" spans="1:9">
      <c r="G187" s="7"/>
      <c r="H187" s="25"/>
    </row>
    <row r="188" spans="1:9">
      <c r="A188" s="86" t="s">
        <v>127</v>
      </c>
      <c r="B188" s="87"/>
      <c r="C188" s="87"/>
      <c r="E188" s="86" t="s">
        <v>128</v>
      </c>
      <c r="F188" s="87"/>
    </row>
  </sheetData>
  <sortState ref="A41:J77">
    <sortCondition ref="C41:C77"/>
  </sortState>
  <phoneticPr fontId="0" type="noConversion"/>
  <pageMargins left="0.5" right="0.1" top="0.25" bottom="0.65" header="0.5" footer="0.5"/>
  <pageSetup scale="90" orientation="landscape" horizontalDpi="300" verticalDpi="300" r:id="rId1"/>
  <headerFooter alignWithMargins="0">
    <oddFooter>&amp;CPage &amp;P&amp;R&amp;A</oddFooter>
  </headerFooter>
  <rowBreaks count="4" manualBreakCount="4">
    <brk id="26" max="16383" man="1"/>
    <brk id="79" max="9" man="1"/>
    <brk id="106" max="9" man="1"/>
    <brk id="1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93"/>
  <sheetViews>
    <sheetView topLeftCell="A16" zoomScaleNormal="100" zoomScaleSheetLayoutView="75" workbookViewId="0">
      <selection activeCell="L64" sqref="L64"/>
    </sheetView>
  </sheetViews>
  <sheetFormatPr defaultRowHeight="12.75"/>
  <cols>
    <col min="1" max="1" width="24.7109375" customWidth="1"/>
    <col min="2" max="2" width="15.140625" customWidth="1"/>
    <col min="3" max="3" width="18.7109375" customWidth="1"/>
    <col min="4" max="4" width="5.5703125" customWidth="1"/>
    <col min="5" max="5" width="10.85546875" customWidth="1"/>
    <col min="6" max="6" width="14.140625" customWidth="1"/>
    <col min="7" max="7" width="13.140625" customWidth="1"/>
    <col min="8" max="8" width="13.140625" style="507" hidden="1" customWidth="1"/>
    <col min="9" max="9" width="13.85546875" customWidth="1"/>
    <col min="10" max="10" width="11.5703125" customWidth="1"/>
    <col min="11" max="11" width="10.85546875" bestFit="1" customWidth="1"/>
  </cols>
  <sheetData>
    <row r="1" spans="1:12" ht="15.75">
      <c r="C1" s="24" t="str">
        <f>Data!$C$1</f>
        <v>ELIZABETHTOWN INDEPENDENT SCHOOLS</v>
      </c>
      <c r="L1" s="459"/>
    </row>
    <row r="2" spans="1:12" ht="15.75">
      <c r="A2" s="130"/>
      <c r="C2" s="24"/>
      <c r="I2" s="131"/>
    </row>
    <row r="3" spans="1:12" ht="15.75">
      <c r="A3" s="130"/>
      <c r="C3" s="5" t="s">
        <v>2</v>
      </c>
      <c r="D3" s="11"/>
      <c r="I3" s="131"/>
    </row>
    <row r="4" spans="1:12" ht="15.75">
      <c r="A4" s="130"/>
      <c r="C4" s="12"/>
      <c r="D4" s="5" t="s">
        <v>322</v>
      </c>
      <c r="I4" s="131"/>
    </row>
    <row r="5" spans="1:12" ht="15.75">
      <c r="C5" s="13" t="s">
        <v>324</v>
      </c>
    </row>
    <row r="6" spans="1:12" ht="13.5" thickBot="1">
      <c r="A6" s="242" t="str">
        <f>+Data!I7</f>
        <v>2013-2014</v>
      </c>
      <c r="B6" s="74"/>
      <c r="C6" s="73" t="s">
        <v>129</v>
      </c>
    </row>
    <row r="7" spans="1:12">
      <c r="A7" s="146" t="s">
        <v>6</v>
      </c>
      <c r="B7" s="147" t="s">
        <v>27</v>
      </c>
      <c r="C7" s="147" t="s">
        <v>332</v>
      </c>
      <c r="D7" s="147" t="s">
        <v>335</v>
      </c>
      <c r="E7" s="337" t="s">
        <v>28</v>
      </c>
      <c r="F7" s="147" t="s">
        <v>29</v>
      </c>
      <c r="G7" s="149" t="s">
        <v>30</v>
      </c>
      <c r="H7" s="532"/>
    </row>
    <row r="8" spans="1:12" ht="13.5" thickBot="1">
      <c r="A8" s="151"/>
      <c r="B8" s="152"/>
      <c r="C8" s="153" t="s">
        <v>31</v>
      </c>
      <c r="D8" s="153" t="s">
        <v>336</v>
      </c>
      <c r="E8" s="153" t="s">
        <v>32</v>
      </c>
      <c r="F8" s="153" t="s">
        <v>33</v>
      </c>
      <c r="G8" s="154" t="s">
        <v>34</v>
      </c>
      <c r="H8" s="533"/>
    </row>
    <row r="10" spans="1:12" ht="18.75">
      <c r="A10" s="407" t="str">
        <f>Data!$C$11</f>
        <v>Morningside</v>
      </c>
      <c r="B10" s="336" t="s">
        <v>35</v>
      </c>
      <c r="C10" s="156">
        <f>ROUND(E10/F10,1)</f>
        <v>0</v>
      </c>
      <c r="D10" s="414">
        <f>ROUND((E10/48),1)</f>
        <v>0</v>
      </c>
      <c r="E10" s="243">
        <f>Data!$C$17</f>
        <v>0</v>
      </c>
      <c r="F10" s="157">
        <v>21</v>
      </c>
      <c r="G10" s="158" t="e">
        <f>ROUND(E10/C10,2)</f>
        <v>#DIV/0!</v>
      </c>
      <c r="H10" s="534"/>
      <c r="I10" t="s">
        <v>328</v>
      </c>
    </row>
    <row r="11" spans="1:12" ht="16.5">
      <c r="B11" s="336" t="s">
        <v>36</v>
      </c>
      <c r="C11" s="156">
        <f>ROUND(E11/F11,1)</f>
        <v>14</v>
      </c>
      <c r="D11" s="414">
        <f>ROUND(E11/24,1)</f>
        <v>12.3</v>
      </c>
      <c r="E11" s="243">
        <f>SUM(Data!$C$18:$C$20)</f>
        <v>295</v>
      </c>
      <c r="F11" s="157">
        <v>21</v>
      </c>
      <c r="G11" s="158">
        <f>ROUND(E11/C11,2)</f>
        <v>21.07</v>
      </c>
      <c r="H11" s="534"/>
    </row>
    <row r="12" spans="1:12" ht="16.5">
      <c r="B12" s="336" t="s">
        <v>8</v>
      </c>
      <c r="C12" s="156">
        <f>ROUND(E12/F12,1)</f>
        <v>4.7</v>
      </c>
      <c r="D12" s="414">
        <f>ROUND(E12/28,1)</f>
        <v>3.5</v>
      </c>
      <c r="E12" s="243">
        <f>Data!$C$22</f>
        <v>98</v>
      </c>
      <c r="F12" s="157">
        <v>21</v>
      </c>
      <c r="G12" s="158">
        <f>ROUND(E12/C12,2)</f>
        <v>20.85</v>
      </c>
      <c r="H12" s="534"/>
    </row>
    <row r="13" spans="1:12" ht="16.5">
      <c r="B13" s="336" t="s">
        <v>9</v>
      </c>
      <c r="C13" s="156">
        <f>ROUND(E13/F13,1)</f>
        <v>4.7</v>
      </c>
      <c r="D13" s="414">
        <f>ROUND(E13/29,1)</f>
        <v>3.4</v>
      </c>
      <c r="E13" s="243">
        <f>Data!$C$23</f>
        <v>99</v>
      </c>
      <c r="F13" s="157">
        <v>21</v>
      </c>
      <c r="G13" s="158">
        <f>ROUND(E13/C13,2)</f>
        <v>21.06</v>
      </c>
      <c r="H13" s="534"/>
    </row>
    <row r="14" spans="1:12" ht="13.5" thickBot="1">
      <c r="A14" s="29"/>
      <c r="B14" s="29"/>
      <c r="C14" s="29"/>
      <c r="D14" s="29"/>
      <c r="E14" s="29"/>
      <c r="F14" s="29"/>
      <c r="G14" s="29"/>
      <c r="H14" s="535"/>
    </row>
    <row r="15" spans="1:12" ht="18">
      <c r="A15" s="410" t="s">
        <v>330</v>
      </c>
      <c r="C15" s="444">
        <f>SUM(D10:D13)</f>
        <v>19.2</v>
      </c>
      <c r="E15" s="529">
        <f>SUM(E10:E14)</f>
        <v>492</v>
      </c>
      <c r="F15" s="245"/>
      <c r="G15" s="161"/>
      <c r="H15" s="536"/>
    </row>
    <row r="16" spans="1:12" ht="18">
      <c r="A16" s="412" t="s">
        <v>329</v>
      </c>
      <c r="B16" s="25"/>
      <c r="C16" s="445">
        <f>(SUM(C10:C13))</f>
        <v>23.4</v>
      </c>
      <c r="D16" s="25"/>
      <c r="E16" s="530">
        <v>21</v>
      </c>
      <c r="F16" s="413"/>
      <c r="G16" s="26"/>
      <c r="H16" s="537"/>
    </row>
    <row r="17" spans="1:8" ht="18.75" thickBot="1">
      <c r="A17" s="430" t="s">
        <v>345</v>
      </c>
      <c r="B17" s="25"/>
      <c r="C17" s="446">
        <v>0</v>
      </c>
      <c r="D17" s="25"/>
      <c r="E17" s="530">
        <f>(E15/E16)</f>
        <v>23.428571428571427</v>
      </c>
      <c r="F17" s="413"/>
      <c r="G17" s="26"/>
      <c r="H17" s="537"/>
    </row>
    <row r="18" spans="1:8" ht="18.75" thickTop="1">
      <c r="A18" s="430" t="s">
        <v>346</v>
      </c>
      <c r="B18" s="25"/>
      <c r="C18" s="445">
        <f>C17+C16</f>
        <v>23.4</v>
      </c>
      <c r="D18" s="25"/>
      <c r="E18" s="530"/>
      <c r="F18" s="413"/>
      <c r="G18" s="26"/>
      <c r="H18" s="537"/>
    </row>
    <row r="19" spans="1:8" ht="18.75" thickBot="1">
      <c r="A19" s="168" t="str">
        <f>$A$10</f>
        <v>Morningside</v>
      </c>
      <c r="B19" s="169" t="s">
        <v>39</v>
      </c>
      <c r="C19" s="427">
        <f>ROUND(C89,1)</f>
        <v>23</v>
      </c>
      <c r="D19" s="170"/>
      <c r="E19" s="531">
        <f>SUM(E10:E14)</f>
        <v>492</v>
      </c>
      <c r="F19" s="171"/>
      <c r="G19" s="30"/>
      <c r="H19" s="538"/>
    </row>
    <row r="20" spans="1:8" ht="15">
      <c r="A20" s="150"/>
      <c r="B20" s="150"/>
      <c r="C20" s="150"/>
      <c r="D20" s="150"/>
      <c r="E20" s="150"/>
      <c r="F20" s="150"/>
      <c r="H20" s="524"/>
    </row>
    <row r="21" spans="1:8" ht="18">
      <c r="A21" s="247" t="s">
        <v>40</v>
      </c>
      <c r="B21" s="150"/>
      <c r="C21" s="175">
        <f>C19-C15</f>
        <v>3.8000000000000007</v>
      </c>
      <c r="E21" s="150"/>
    </row>
    <row r="22" spans="1:8" ht="15">
      <c r="A22" s="150" t="s">
        <v>320</v>
      </c>
      <c r="B22" s="405">
        <f>C19</f>
        <v>23</v>
      </c>
      <c r="C22" s="404">
        <f>E19/B22</f>
        <v>21.391304347826086</v>
      </c>
      <c r="D22" s="150" t="s">
        <v>331</v>
      </c>
      <c r="E22" s="150"/>
    </row>
    <row r="23" spans="1:8" ht="15.75" thickBot="1">
      <c r="A23" s="150"/>
      <c r="B23" s="405"/>
      <c r="C23" s="404"/>
      <c r="D23" s="150"/>
      <c r="E23" s="150"/>
    </row>
    <row r="24" spans="1:8">
      <c r="A24" s="146" t="s">
        <v>6</v>
      </c>
      <c r="B24" s="147" t="s">
        <v>27</v>
      </c>
      <c r="C24" s="147" t="s">
        <v>333</v>
      </c>
      <c r="D24" s="147"/>
      <c r="E24" s="337" t="s">
        <v>28</v>
      </c>
      <c r="F24" s="147" t="s">
        <v>184</v>
      </c>
      <c r="G24" s="149" t="s">
        <v>338</v>
      </c>
      <c r="H24" s="539"/>
    </row>
    <row r="25" spans="1:8" ht="13.5" thickBot="1">
      <c r="A25" s="151"/>
      <c r="B25" s="152"/>
      <c r="C25" s="153" t="s">
        <v>334</v>
      </c>
      <c r="D25" s="153"/>
      <c r="E25" s="153" t="s">
        <v>32</v>
      </c>
      <c r="F25" s="153" t="s">
        <v>337</v>
      </c>
      <c r="G25" s="154" t="s">
        <v>34</v>
      </c>
      <c r="H25" s="540"/>
    </row>
    <row r="26" spans="1:8">
      <c r="A26" s="17"/>
      <c r="B26" s="25"/>
      <c r="C26" s="25"/>
      <c r="D26" s="25"/>
      <c r="E26" s="25"/>
      <c r="F26" s="25"/>
      <c r="G26" s="26"/>
      <c r="H26" s="541"/>
    </row>
    <row r="27" spans="1:8" ht="18.75">
      <c r="A27" s="415" t="str">
        <f>Data!$C$11</f>
        <v>Morningside</v>
      </c>
      <c r="B27" s="416" t="s">
        <v>35</v>
      </c>
      <c r="C27" s="417" t="s">
        <v>326</v>
      </c>
      <c r="D27" s="25"/>
      <c r="E27" s="419" t="s">
        <v>405</v>
      </c>
      <c r="F27" s="420" t="s">
        <v>326</v>
      </c>
      <c r="G27" s="421" t="s">
        <v>326</v>
      </c>
      <c r="H27" s="542"/>
    </row>
    <row r="28" spans="1:8" ht="16.5">
      <c r="A28" s="17"/>
      <c r="B28" s="416" t="s">
        <v>36</v>
      </c>
      <c r="C28" s="417">
        <f>E28/F28</f>
        <v>4.3382352941176467</v>
      </c>
      <c r="D28" s="25"/>
      <c r="E28" s="419">
        <f>SUM(Data!$C$18:$C$20)</f>
        <v>295</v>
      </c>
      <c r="F28" s="420">
        <v>68</v>
      </c>
      <c r="G28" s="421">
        <f>ROUND(E28/C28,2)</f>
        <v>68</v>
      </c>
      <c r="H28" s="542"/>
    </row>
    <row r="29" spans="1:8" ht="16.5">
      <c r="A29" s="17"/>
      <c r="B29" s="416" t="s">
        <v>8</v>
      </c>
      <c r="C29" s="417">
        <f>E29/F29</f>
        <v>1.4411764705882353</v>
      </c>
      <c r="D29" s="25"/>
      <c r="E29" s="419">
        <f>Data!$C$22</f>
        <v>98</v>
      </c>
      <c r="F29" s="420">
        <v>68</v>
      </c>
      <c r="G29" s="421">
        <f>ROUND(E29/C29,2)</f>
        <v>68</v>
      </c>
      <c r="H29" s="542"/>
    </row>
    <row r="30" spans="1:8" ht="16.5">
      <c r="A30" s="17"/>
      <c r="B30" s="416" t="s">
        <v>9</v>
      </c>
      <c r="C30" s="417">
        <f>E30/F30</f>
        <v>1.4558823529411764</v>
      </c>
      <c r="D30" s="25"/>
      <c r="E30" s="419">
        <f>Data!$C$23</f>
        <v>99</v>
      </c>
      <c r="F30" s="420">
        <v>68</v>
      </c>
      <c r="G30" s="421">
        <f>ROUND(E30/C30,2)</f>
        <v>68</v>
      </c>
      <c r="H30" s="542"/>
    </row>
    <row r="31" spans="1:8" ht="13.5" thickBot="1">
      <c r="A31" s="38"/>
      <c r="B31" s="219"/>
      <c r="C31" s="219"/>
      <c r="D31" s="219"/>
      <c r="E31" s="219"/>
      <c r="F31" s="219"/>
      <c r="G31" s="423"/>
      <c r="H31" s="541"/>
    </row>
    <row r="32" spans="1:8" ht="15.75" thickTop="1">
      <c r="A32" s="412" t="s">
        <v>352</v>
      </c>
      <c r="B32" s="424"/>
      <c r="C32" s="425">
        <f>SUM(C27:C31)</f>
        <v>7.2352941176470589</v>
      </c>
      <c r="D32" s="426"/>
      <c r="E32" s="426"/>
      <c r="F32" s="288"/>
      <c r="G32" s="289"/>
      <c r="H32" s="541"/>
    </row>
    <row r="33" spans="1:10" ht="15.75" thickBot="1">
      <c r="A33" s="430" t="s">
        <v>353</v>
      </c>
      <c r="B33" s="439"/>
      <c r="C33" s="443">
        <v>0</v>
      </c>
      <c r="D33" s="167"/>
      <c r="E33" s="167"/>
      <c r="F33" s="25"/>
      <c r="G33" s="26"/>
      <c r="H33" s="541"/>
    </row>
    <row r="34" spans="1:10" ht="15.75" thickTop="1">
      <c r="A34" s="430" t="s">
        <v>354</v>
      </c>
      <c r="B34" s="439"/>
      <c r="C34" s="428">
        <f>C33+C32</f>
        <v>7.2352941176470589</v>
      </c>
      <c r="D34" s="167"/>
      <c r="E34" s="167"/>
      <c r="F34" s="25"/>
      <c r="G34" s="26"/>
      <c r="H34" s="541"/>
    </row>
    <row r="35" spans="1:10" ht="18.75" thickBot="1">
      <c r="A35" s="168" t="str">
        <f>$A$10</f>
        <v>Morningside</v>
      </c>
      <c r="B35" s="169" t="s">
        <v>339</v>
      </c>
      <c r="C35" s="422">
        <f>D133</f>
        <v>6.8000000000000007</v>
      </c>
      <c r="D35" s="170"/>
      <c r="E35" s="246"/>
      <c r="F35" s="171"/>
      <c r="G35" s="30"/>
      <c r="H35" s="541"/>
    </row>
    <row r="36" spans="1:10" ht="15">
      <c r="A36" s="150"/>
      <c r="B36" s="405"/>
      <c r="C36" s="404"/>
      <c r="D36" s="150"/>
      <c r="E36" s="150"/>
    </row>
    <row r="37" spans="1:10" ht="15">
      <c r="A37" s="150"/>
      <c r="B37" s="150"/>
      <c r="C37" s="150"/>
      <c r="D37" s="150"/>
      <c r="E37" s="150"/>
      <c r="F37" s="150"/>
      <c r="G37" s="150"/>
      <c r="H37" s="524"/>
    </row>
    <row r="38" spans="1:10" ht="19.5" thickBot="1">
      <c r="A38" s="179" t="str">
        <f>+A19</f>
        <v>Morningside</v>
      </c>
      <c r="C38" s="180" t="str">
        <f>+Data!$I$7</f>
        <v>2013-2014</v>
      </c>
      <c r="D38" s="120"/>
      <c r="E38" s="181" t="s">
        <v>41</v>
      </c>
      <c r="F38" s="150"/>
      <c r="G38" s="150"/>
      <c r="H38" s="524"/>
    </row>
    <row r="39" spans="1:10" ht="15.75">
      <c r="A39" s="182" t="s">
        <v>42</v>
      </c>
      <c r="B39" s="183" t="s">
        <v>43</v>
      </c>
      <c r="C39" s="184" t="s">
        <v>44</v>
      </c>
      <c r="D39" s="184"/>
      <c r="E39" s="184"/>
      <c r="F39" s="183" t="s">
        <v>45</v>
      </c>
      <c r="G39" s="183" t="s">
        <v>46</v>
      </c>
      <c r="H39" s="505" t="s">
        <v>446</v>
      </c>
      <c r="I39" s="183" t="s">
        <v>47</v>
      </c>
      <c r="J39" s="469" t="s">
        <v>459</v>
      </c>
    </row>
    <row r="40" spans="1:10" ht="16.5" thickBot="1">
      <c r="A40" s="185" t="s">
        <v>19</v>
      </c>
      <c r="B40" s="186" t="s">
        <v>48</v>
      </c>
      <c r="C40" s="173"/>
      <c r="D40" s="173"/>
      <c r="E40" s="173"/>
      <c r="F40" s="173"/>
      <c r="G40" s="173"/>
      <c r="H40" s="506"/>
      <c r="I40" s="173"/>
      <c r="J40" s="187" t="str">
        <f>+C38</f>
        <v>2013-2014</v>
      </c>
    </row>
    <row r="42" spans="1:10" ht="15.75">
      <c r="A42" s="317" t="s">
        <v>49</v>
      </c>
      <c r="B42" s="397">
        <v>1</v>
      </c>
      <c r="C42" s="676" t="s">
        <v>599</v>
      </c>
      <c r="F42" s="255" t="s">
        <v>11</v>
      </c>
      <c r="G42" s="395">
        <v>17</v>
      </c>
      <c r="H42" s="543">
        <f>G42+1</f>
        <v>18</v>
      </c>
      <c r="I42" s="482">
        <v>1</v>
      </c>
      <c r="J42" s="53">
        <f>VLOOKUP(G42,Data!$B$120:$G$151,I42+1)*B42</f>
        <v>56951</v>
      </c>
    </row>
    <row r="43" spans="1:10" ht="6.75" customHeight="1">
      <c r="A43" s="253"/>
      <c r="B43" s="397"/>
      <c r="C43" s="476"/>
      <c r="D43" s="150"/>
      <c r="F43" s="255"/>
      <c r="I43" s="482"/>
      <c r="J43" s="53"/>
    </row>
    <row r="44" spans="1:10" ht="15.75">
      <c r="A44" s="317" t="s">
        <v>49</v>
      </c>
      <c r="B44" s="397">
        <v>0</v>
      </c>
      <c r="C44" s="476"/>
      <c r="D44" s="150"/>
      <c r="F44" s="255" t="s">
        <v>50</v>
      </c>
      <c r="I44" s="482"/>
      <c r="J44" s="53">
        <f>VLOOKUP(G44,Data!$B$120:$G$151,I44+1)*B44</f>
        <v>0</v>
      </c>
    </row>
    <row r="45" spans="1:10" ht="15.75">
      <c r="A45" s="253" t="s">
        <v>326</v>
      </c>
      <c r="B45" s="188"/>
      <c r="C45" s="476"/>
      <c r="D45" s="150"/>
      <c r="F45" s="189" t="s">
        <v>326</v>
      </c>
      <c r="I45" s="482"/>
      <c r="J45" s="53">
        <f>VLOOKUP(G45,Data!$B$120:$G$151,I45+1)*B45</f>
        <v>0</v>
      </c>
    </row>
    <row r="46" spans="1:10" ht="6.75" customHeight="1">
      <c r="A46" s="253"/>
      <c r="B46" s="188"/>
      <c r="C46" s="476"/>
      <c r="D46" s="150"/>
      <c r="F46" s="189"/>
      <c r="I46" s="482"/>
      <c r="J46" s="53"/>
    </row>
    <row r="47" spans="1:10" ht="15.75">
      <c r="A47" s="317" t="s">
        <v>51</v>
      </c>
      <c r="B47" s="397">
        <v>1</v>
      </c>
      <c r="C47" s="476" t="s">
        <v>362</v>
      </c>
      <c r="D47" s="150"/>
      <c r="F47" s="189" t="s">
        <v>52</v>
      </c>
      <c r="G47" s="395">
        <v>19</v>
      </c>
      <c r="H47" s="543">
        <f>G47+1</f>
        <v>20</v>
      </c>
      <c r="I47" s="482">
        <v>1</v>
      </c>
      <c r="J47" s="53">
        <f>VLOOKUP(G47,Data!$B$120:$G$151,I47+1)*B47</f>
        <v>58147</v>
      </c>
    </row>
    <row r="48" spans="1:10" ht="15.75">
      <c r="A48" s="253" t="s">
        <v>326</v>
      </c>
      <c r="B48" s="397" t="s">
        <v>326</v>
      </c>
      <c r="C48" s="476" t="s">
        <v>326</v>
      </c>
      <c r="D48" s="150"/>
      <c r="F48" s="189" t="s">
        <v>326</v>
      </c>
      <c r="G48" t="s">
        <v>326</v>
      </c>
      <c r="I48" s="188"/>
      <c r="J48" s="53" t="s">
        <v>326</v>
      </c>
    </row>
    <row r="49" spans="1:10" ht="6.75" customHeight="1">
      <c r="A49" s="253"/>
      <c r="B49" s="190"/>
      <c r="C49" s="477"/>
      <c r="D49" s="150"/>
      <c r="F49" s="189"/>
      <c r="I49" s="192"/>
      <c r="J49" s="53"/>
    </row>
    <row r="50" spans="1:10" ht="15.75">
      <c r="A50" s="317" t="s">
        <v>53</v>
      </c>
      <c r="B50" s="397">
        <v>1</v>
      </c>
      <c r="C50" s="476" t="s">
        <v>525</v>
      </c>
      <c r="D50" s="150"/>
      <c r="F50" s="189" t="s">
        <v>54</v>
      </c>
      <c r="G50" s="395">
        <v>16</v>
      </c>
      <c r="H50" s="543">
        <f>G50+1</f>
        <v>17</v>
      </c>
      <c r="I50" s="395">
        <v>1</v>
      </c>
      <c r="J50" s="53">
        <f>VLOOKUP(G50,Data!$B$120:$G$151,I50+1)*B50</f>
        <v>56350</v>
      </c>
    </row>
    <row r="51" spans="1:10" ht="15.75">
      <c r="A51" s="253" t="s">
        <v>326</v>
      </c>
      <c r="B51" s="188"/>
      <c r="C51" s="248"/>
      <c r="D51" s="150"/>
      <c r="F51" s="189" t="s">
        <v>326</v>
      </c>
      <c r="I51" s="188"/>
    </row>
    <row r="52" spans="1:10" ht="5.25" customHeight="1">
      <c r="A52" s="253"/>
      <c r="B52" s="188"/>
      <c r="C52" s="248"/>
      <c r="D52" s="150"/>
      <c r="F52" s="189"/>
      <c r="I52" s="188"/>
      <c r="J52" s="53"/>
    </row>
    <row r="53" spans="1:10">
      <c r="C53" s="579"/>
    </row>
    <row r="54" spans="1:10" ht="15.75">
      <c r="A54" s="317" t="s">
        <v>498</v>
      </c>
      <c r="B54" s="397">
        <v>1</v>
      </c>
      <c r="C54" s="641" t="s">
        <v>506</v>
      </c>
      <c r="D54" s="150"/>
      <c r="F54" s="189" t="s">
        <v>57</v>
      </c>
      <c r="G54" s="395">
        <v>12</v>
      </c>
      <c r="H54" s="543">
        <f t="shared" ref="H54:H71" si="0">G54+1</f>
        <v>13</v>
      </c>
      <c r="I54" s="395">
        <v>2</v>
      </c>
      <c r="J54" s="53">
        <f>VLOOKUP(G54,Data!$B$120:$G$151,I54+1)*B54</f>
        <v>49287</v>
      </c>
    </row>
    <row r="55" spans="1:10" ht="15.75">
      <c r="A55" s="317" t="s">
        <v>56</v>
      </c>
      <c r="B55" s="397">
        <v>1</v>
      </c>
      <c r="C55" s="464" t="s">
        <v>432</v>
      </c>
      <c r="D55" s="150"/>
      <c r="F55" s="189" t="s">
        <v>57</v>
      </c>
      <c r="G55" s="395">
        <v>19</v>
      </c>
      <c r="H55" s="543">
        <f t="shared" si="0"/>
        <v>20</v>
      </c>
      <c r="I55" s="395">
        <v>1</v>
      </c>
      <c r="J55" s="53">
        <f>VLOOKUP(G55,Data!$B$120:$G$151,I55+1)*B55</f>
        <v>58147</v>
      </c>
    </row>
    <row r="56" spans="1:10" ht="15.75">
      <c r="A56" s="317" t="s">
        <v>56</v>
      </c>
      <c r="B56" s="397">
        <v>1</v>
      </c>
      <c r="C56" s="464" t="s">
        <v>387</v>
      </c>
      <c r="D56" s="150"/>
      <c r="F56" s="189" t="s">
        <v>57</v>
      </c>
      <c r="G56" s="395">
        <v>16</v>
      </c>
      <c r="H56" s="543">
        <f t="shared" si="0"/>
        <v>17</v>
      </c>
      <c r="I56" s="395">
        <v>1</v>
      </c>
      <c r="J56" s="53">
        <f>VLOOKUP(G56,Data!$B$120:$G$151,I56+1)*B56</f>
        <v>56350</v>
      </c>
    </row>
    <row r="57" spans="1:10" ht="15.75">
      <c r="A57" s="317" t="s">
        <v>56</v>
      </c>
      <c r="B57" s="397">
        <v>1</v>
      </c>
      <c r="C57" s="464" t="s">
        <v>452</v>
      </c>
      <c r="D57" s="150"/>
      <c r="F57" s="189" t="s">
        <v>57</v>
      </c>
      <c r="G57" s="395">
        <v>21</v>
      </c>
      <c r="H57" s="543">
        <f t="shared" si="0"/>
        <v>22</v>
      </c>
      <c r="I57" s="395">
        <v>1</v>
      </c>
      <c r="J57" s="53">
        <f>VLOOKUP(G57,Data!$B$120:$G$151,I57+1)*B57</f>
        <v>59743</v>
      </c>
    </row>
    <row r="58" spans="1:10" ht="15.75">
      <c r="A58" s="317" t="s">
        <v>56</v>
      </c>
      <c r="B58" s="397">
        <v>1</v>
      </c>
      <c r="C58" s="464" t="s">
        <v>58</v>
      </c>
      <c r="D58" s="150"/>
      <c r="F58" s="189" t="s">
        <v>57</v>
      </c>
      <c r="G58" s="395">
        <v>22</v>
      </c>
      <c r="H58" s="543">
        <f t="shared" si="0"/>
        <v>23</v>
      </c>
      <c r="I58" s="395">
        <v>1</v>
      </c>
      <c r="J58" s="53">
        <f>VLOOKUP(G58,Data!$B$120:$G$151,I58+1)*B58</f>
        <v>59947</v>
      </c>
    </row>
    <row r="59" spans="1:10" ht="15.75">
      <c r="A59" s="317" t="s">
        <v>56</v>
      </c>
      <c r="B59" s="397">
        <v>1</v>
      </c>
      <c r="C59" s="464" t="s">
        <v>433</v>
      </c>
      <c r="D59" s="150"/>
      <c r="F59" s="189" t="s">
        <v>57</v>
      </c>
      <c r="G59" s="395">
        <v>13</v>
      </c>
      <c r="H59" s="543">
        <f t="shared" si="0"/>
        <v>14</v>
      </c>
      <c r="I59" s="395">
        <v>2</v>
      </c>
      <c r="J59" s="53">
        <f>VLOOKUP(G59,Data!$B$120:$G$151,I59+1)*B59</f>
        <v>49885</v>
      </c>
    </row>
    <row r="60" spans="1:10" ht="15.75">
      <c r="A60" s="317" t="s">
        <v>56</v>
      </c>
      <c r="B60" s="397">
        <v>1</v>
      </c>
      <c r="C60" s="673" t="s">
        <v>623</v>
      </c>
      <c r="D60" s="150"/>
      <c r="F60" s="189" t="s">
        <v>57</v>
      </c>
      <c r="G60" s="395">
        <v>12</v>
      </c>
      <c r="H60" s="543">
        <f t="shared" si="0"/>
        <v>13</v>
      </c>
      <c r="I60" s="395">
        <v>2</v>
      </c>
      <c r="J60" s="53">
        <f>VLOOKUP(G60,Data!$B$120:$G$151,I60+1)*B60</f>
        <v>49287</v>
      </c>
    </row>
    <row r="61" spans="1:10" ht="15.75">
      <c r="A61" s="317" t="s">
        <v>56</v>
      </c>
      <c r="B61" s="397">
        <v>1</v>
      </c>
      <c r="C61" s="464" t="s">
        <v>504</v>
      </c>
      <c r="D61" s="150"/>
      <c r="F61" s="189" t="s">
        <v>57</v>
      </c>
      <c r="G61" s="395">
        <v>16</v>
      </c>
      <c r="H61" s="543">
        <f t="shared" si="0"/>
        <v>17</v>
      </c>
      <c r="I61" s="395">
        <v>2</v>
      </c>
      <c r="J61" s="53">
        <f>VLOOKUP(G61,Data!$B$120:$G$151,I61+1)*B61</f>
        <v>52418</v>
      </c>
    </row>
    <row r="62" spans="1:10" ht="15.75">
      <c r="A62" s="317" t="s">
        <v>56</v>
      </c>
      <c r="B62" s="397">
        <v>1</v>
      </c>
      <c r="C62" s="675" t="s">
        <v>620</v>
      </c>
      <c r="D62" s="150"/>
      <c r="F62" s="189" t="s">
        <v>57</v>
      </c>
      <c r="G62" s="395">
        <v>0</v>
      </c>
      <c r="H62" s="543">
        <f t="shared" si="0"/>
        <v>1</v>
      </c>
      <c r="I62" s="395">
        <v>3</v>
      </c>
      <c r="J62" s="53">
        <f>VLOOKUP(G62,Data!$B$120:$G$151,I62+1)*B62</f>
        <v>36055</v>
      </c>
    </row>
    <row r="63" spans="1:10" ht="15.75">
      <c r="A63" s="317" t="s">
        <v>56</v>
      </c>
      <c r="B63" s="397">
        <v>1</v>
      </c>
      <c r="C63" s="464" t="s">
        <v>382</v>
      </c>
      <c r="D63" s="150"/>
      <c r="F63" s="189" t="s">
        <v>57</v>
      </c>
      <c r="G63" s="395">
        <v>13</v>
      </c>
      <c r="H63" s="543">
        <f t="shared" si="0"/>
        <v>14</v>
      </c>
      <c r="I63" s="395">
        <v>1</v>
      </c>
      <c r="J63" s="53">
        <f>VLOOKUP(G63,Data!$B$120:$G$151,I63+1)*B63</f>
        <v>53835</v>
      </c>
    </row>
    <row r="64" spans="1:10" ht="15.75">
      <c r="A64" s="317" t="s">
        <v>56</v>
      </c>
      <c r="B64" s="397">
        <v>1</v>
      </c>
      <c r="C64" s="464" t="s">
        <v>420</v>
      </c>
      <c r="D64" s="150"/>
      <c r="F64" s="189" t="s">
        <v>57</v>
      </c>
      <c r="G64" s="395">
        <v>16</v>
      </c>
      <c r="H64" s="543">
        <f t="shared" si="0"/>
        <v>17</v>
      </c>
      <c r="I64" s="395">
        <v>2</v>
      </c>
      <c r="J64" s="53">
        <f>VLOOKUP(G64,Data!$B$120:$G$151,I64+1)*B64</f>
        <v>52418</v>
      </c>
    </row>
    <row r="65" spans="1:10" ht="15.75">
      <c r="A65" s="317" t="s">
        <v>56</v>
      </c>
      <c r="B65" s="397">
        <v>1</v>
      </c>
      <c r="C65" s="464" t="s">
        <v>421</v>
      </c>
      <c r="D65" s="150" t="s">
        <v>326</v>
      </c>
      <c r="F65" s="189" t="s">
        <v>57</v>
      </c>
      <c r="G65" s="395">
        <v>23</v>
      </c>
      <c r="H65" s="543">
        <f t="shared" si="0"/>
        <v>24</v>
      </c>
      <c r="I65" s="395">
        <v>1</v>
      </c>
      <c r="J65" s="53">
        <f>VLOOKUP(G65,Data!$B$120:$G$151,I65+1)*B65</f>
        <v>60550</v>
      </c>
    </row>
    <row r="66" spans="1:10" ht="15.75">
      <c r="A66" s="317" t="s">
        <v>56</v>
      </c>
      <c r="B66" s="397">
        <v>1</v>
      </c>
      <c r="C66" s="464" t="s">
        <v>397</v>
      </c>
      <c r="D66" s="150"/>
      <c r="F66" s="189" t="s">
        <v>57</v>
      </c>
      <c r="G66" s="395">
        <v>15</v>
      </c>
      <c r="H66" s="543">
        <f t="shared" si="0"/>
        <v>16</v>
      </c>
      <c r="I66" s="395">
        <v>2</v>
      </c>
      <c r="J66" s="53">
        <f>VLOOKUP(G66,Data!$B$120:$G$151,I66+1)*B66</f>
        <v>51819</v>
      </c>
    </row>
    <row r="67" spans="1:10" ht="15.75">
      <c r="A67" s="317" t="s">
        <v>56</v>
      </c>
      <c r="B67" s="397">
        <v>1</v>
      </c>
      <c r="C67" s="464" t="s">
        <v>317</v>
      </c>
      <c r="D67" s="150"/>
      <c r="F67" s="189" t="s">
        <v>57</v>
      </c>
      <c r="G67" s="395">
        <v>19</v>
      </c>
      <c r="H67" s="543">
        <f t="shared" si="0"/>
        <v>20</v>
      </c>
      <c r="I67" s="395">
        <v>1</v>
      </c>
      <c r="J67" s="53">
        <f>VLOOKUP(G67,Data!$B$120:$G$151,I67+1)*B67</f>
        <v>58147</v>
      </c>
    </row>
    <row r="68" spans="1:10" ht="15.75">
      <c r="A68" s="317" t="s">
        <v>56</v>
      </c>
      <c r="B68" s="397">
        <v>1</v>
      </c>
      <c r="C68" s="464" t="s">
        <v>59</v>
      </c>
      <c r="D68" s="150"/>
      <c r="F68" s="189" t="s">
        <v>57</v>
      </c>
      <c r="G68" s="395">
        <v>30</v>
      </c>
      <c r="H68" s="543">
        <f t="shared" si="0"/>
        <v>31</v>
      </c>
      <c r="I68" s="395">
        <v>2</v>
      </c>
      <c r="J68" s="53">
        <f>VLOOKUP(G68,Data!$B$120:$G$151,I68+1)*B68</f>
        <v>57656</v>
      </c>
    </row>
    <row r="69" spans="1:10" ht="15.75">
      <c r="A69" s="317" t="s">
        <v>56</v>
      </c>
      <c r="B69" s="397">
        <v>1</v>
      </c>
      <c r="C69" s="675" t="s">
        <v>619</v>
      </c>
      <c r="D69" s="150"/>
      <c r="F69" s="189" t="s">
        <v>57</v>
      </c>
      <c r="G69" s="395">
        <v>15</v>
      </c>
      <c r="H69" s="543">
        <f t="shared" ref="H69" si="1">G69+1</f>
        <v>16</v>
      </c>
      <c r="I69" s="395">
        <v>2</v>
      </c>
      <c r="J69" s="53">
        <f>VLOOKUP(G69,Data!$B$120:$G$151,I69+1)*B69</f>
        <v>51819</v>
      </c>
    </row>
    <row r="70" spans="1:10" ht="15.75">
      <c r="A70" s="317" t="s">
        <v>56</v>
      </c>
      <c r="B70" s="397">
        <v>1</v>
      </c>
      <c r="C70" s="464" t="s">
        <v>482</v>
      </c>
      <c r="D70" s="150"/>
      <c r="F70" s="189" t="s">
        <v>57</v>
      </c>
      <c r="G70" s="395">
        <v>8</v>
      </c>
      <c r="H70" s="543">
        <f t="shared" si="0"/>
        <v>9</v>
      </c>
      <c r="I70" s="395">
        <v>2</v>
      </c>
      <c r="J70" s="53">
        <f>VLOOKUP(G70,Data!$B$120:$G$151,I70+1)*B70</f>
        <v>44897</v>
      </c>
    </row>
    <row r="71" spans="1:10" ht="15.75">
      <c r="A71" s="317" t="s">
        <v>56</v>
      </c>
      <c r="B71" s="397">
        <v>1</v>
      </c>
      <c r="C71" s="673" t="s">
        <v>622</v>
      </c>
      <c r="D71" s="150"/>
      <c r="F71" s="189" t="s">
        <v>57</v>
      </c>
      <c r="G71" s="395">
        <v>5</v>
      </c>
      <c r="H71" s="543">
        <f t="shared" si="0"/>
        <v>6</v>
      </c>
      <c r="I71" s="395">
        <v>2</v>
      </c>
      <c r="J71" s="53">
        <f>VLOOKUP(G71,Data!$B$120:$G$151,I71+1)*B71</f>
        <v>43090</v>
      </c>
    </row>
    <row r="72" spans="1:10" ht="16.5" thickBot="1">
      <c r="A72" s="317"/>
      <c r="B72" s="397"/>
      <c r="C72" s="464"/>
      <c r="D72" s="150"/>
      <c r="F72" s="189"/>
      <c r="G72" s="395"/>
      <c r="H72" s="543"/>
      <c r="I72" s="395"/>
      <c r="J72" s="504"/>
    </row>
    <row r="73" spans="1:10" ht="15.75">
      <c r="A73" s="182" t="s">
        <v>42</v>
      </c>
      <c r="B73" s="183" t="s">
        <v>43</v>
      </c>
      <c r="C73" s="184" t="s">
        <v>44</v>
      </c>
      <c r="D73" s="184"/>
      <c r="E73" s="184"/>
      <c r="F73" s="183" t="s">
        <v>45</v>
      </c>
      <c r="G73" s="183" t="s">
        <v>46</v>
      </c>
      <c r="H73" s="505"/>
      <c r="I73" s="183" t="s">
        <v>47</v>
      </c>
      <c r="J73" s="469" t="s">
        <v>459</v>
      </c>
    </row>
    <row r="74" spans="1:10" ht="16.5" thickBot="1">
      <c r="A74" s="185" t="s">
        <v>19</v>
      </c>
      <c r="B74" s="186" t="s">
        <v>48</v>
      </c>
      <c r="C74" s="173"/>
      <c r="D74" s="173"/>
      <c r="E74" s="173"/>
      <c r="F74" s="173"/>
      <c r="G74" s="173"/>
      <c r="H74" s="506"/>
      <c r="I74" s="173"/>
      <c r="J74" s="187" t="str">
        <f>C38</f>
        <v>2013-2014</v>
      </c>
    </row>
    <row r="75" spans="1:10">
      <c r="C75" s="579"/>
    </row>
    <row r="76" spans="1:10" ht="15.75">
      <c r="A76" s="317" t="s">
        <v>56</v>
      </c>
      <c r="B76" s="397">
        <v>1</v>
      </c>
      <c r="C76" s="675" t="s">
        <v>590</v>
      </c>
      <c r="D76" s="150"/>
      <c r="F76" s="189" t="s">
        <v>57</v>
      </c>
      <c r="G76" s="395">
        <v>24</v>
      </c>
      <c r="H76" s="543">
        <f>G76+1</f>
        <v>25</v>
      </c>
      <c r="I76" s="395">
        <v>2</v>
      </c>
      <c r="J76" s="504">
        <f>VLOOKUP(G76,Data!$B$120:$G$151,I76+1)*B76</f>
        <v>57056</v>
      </c>
    </row>
    <row r="77" spans="1:10" ht="15.75">
      <c r="A77" s="317" t="s">
        <v>56</v>
      </c>
      <c r="B77" s="397">
        <v>1</v>
      </c>
      <c r="C77" s="464" t="s">
        <v>468</v>
      </c>
      <c r="D77" s="150"/>
      <c r="F77" s="189" t="s">
        <v>57</v>
      </c>
      <c r="G77" s="395">
        <v>24</v>
      </c>
      <c r="H77" s="543">
        <f>G77+1</f>
        <v>25</v>
      </c>
      <c r="I77" s="395">
        <v>1</v>
      </c>
      <c r="J77" s="504">
        <f>VLOOKUP(G77,Data!$B$120:$G$151,I77+1)*B77</f>
        <v>61666</v>
      </c>
    </row>
    <row r="78" spans="1:10" ht="15.75">
      <c r="A78" s="317" t="s">
        <v>56</v>
      </c>
      <c r="B78" s="397">
        <v>1</v>
      </c>
      <c r="C78" s="675" t="s">
        <v>618</v>
      </c>
      <c r="D78" s="150"/>
      <c r="F78" s="189" t="s">
        <v>57</v>
      </c>
      <c r="G78" s="395">
        <v>7</v>
      </c>
      <c r="H78" s="543">
        <f>G78+1</f>
        <v>8</v>
      </c>
      <c r="I78" s="395">
        <v>1</v>
      </c>
      <c r="J78" s="504">
        <f>VLOOKUP(G78,Data!$B$120:$G$151,I78+1)*B78</f>
        <v>48122</v>
      </c>
    </row>
    <row r="79" spans="1:10" ht="15.75">
      <c r="A79" s="317" t="s">
        <v>56</v>
      </c>
      <c r="B79" s="397">
        <v>1</v>
      </c>
      <c r="C79" s="464" t="s">
        <v>547</v>
      </c>
      <c r="D79" s="150"/>
      <c r="F79" s="189" t="s">
        <v>57</v>
      </c>
      <c r="G79" s="395">
        <v>2</v>
      </c>
      <c r="H79" s="543">
        <f>G79+1</f>
        <v>3</v>
      </c>
      <c r="I79" s="395">
        <v>2</v>
      </c>
      <c r="J79" s="53">
        <f>VLOOKUP(G79,Data!$B$120:$G$151,I79+1)*B79</f>
        <v>39936</v>
      </c>
    </row>
    <row r="80" spans="1:10" ht="15.75">
      <c r="A80" s="317" t="s">
        <v>56</v>
      </c>
      <c r="B80" s="397">
        <v>1</v>
      </c>
      <c r="C80" s="464" t="s">
        <v>431</v>
      </c>
      <c r="D80" s="150"/>
      <c r="F80" s="189" t="s">
        <v>57</v>
      </c>
      <c r="G80" s="395">
        <v>11</v>
      </c>
      <c r="H80" s="543">
        <f>G80+1</f>
        <v>12</v>
      </c>
      <c r="I80" s="395">
        <v>2</v>
      </c>
      <c r="J80" s="53">
        <f>VLOOKUP(G80,Data!$B$120:$G$151,I80+1)*B80</f>
        <v>48679</v>
      </c>
    </row>
    <row r="81" spans="1:10" ht="15.75">
      <c r="A81" s="317"/>
      <c r="B81" s="397"/>
      <c r="D81" s="150"/>
      <c r="F81" s="189"/>
      <c r="G81" s="395"/>
      <c r="H81" s="543"/>
      <c r="I81" s="395"/>
      <c r="J81" s="53"/>
    </row>
    <row r="82" spans="1:10" ht="14.25">
      <c r="B82" s="73" t="s">
        <v>60</v>
      </c>
      <c r="E82" s="193"/>
      <c r="F82" s="74" t="str">
        <f>C38</f>
        <v>2013-2014</v>
      </c>
    </row>
    <row r="83" spans="1:10" ht="15" thickBot="1">
      <c r="E83" s="193"/>
    </row>
    <row r="84" spans="1:10" ht="15" thickTop="1">
      <c r="A84" s="194"/>
      <c r="B84" s="195" t="s">
        <v>11</v>
      </c>
      <c r="C84" s="196">
        <f>B42</f>
        <v>1</v>
      </c>
      <c r="D84" s="197"/>
      <c r="E84" s="198"/>
      <c r="F84" s="197"/>
      <c r="G84" s="197"/>
      <c r="H84" s="509"/>
      <c r="I84" s="197"/>
      <c r="J84" s="199">
        <f>J42</f>
        <v>56951</v>
      </c>
    </row>
    <row r="85" spans="1:10">
      <c r="A85" s="200"/>
      <c r="B85" s="79" t="s">
        <v>61</v>
      </c>
      <c r="C85" s="106">
        <f>SUM(B44:B45)</f>
        <v>0</v>
      </c>
      <c r="D85" s="201"/>
      <c r="E85" s="201"/>
      <c r="F85" s="201"/>
      <c r="G85" s="201"/>
      <c r="H85" s="510"/>
      <c r="I85" s="201"/>
      <c r="J85" s="202">
        <f>SUM(J44:J45)</f>
        <v>0</v>
      </c>
    </row>
    <row r="86" spans="1:10">
      <c r="A86" s="200"/>
      <c r="B86" s="79" t="s">
        <v>62</v>
      </c>
      <c r="C86" s="106">
        <f>SUM(B47:B48)</f>
        <v>1</v>
      </c>
      <c r="D86" s="201"/>
      <c r="E86" s="201"/>
      <c r="F86" s="201"/>
      <c r="G86" s="201"/>
      <c r="H86" s="510"/>
      <c r="I86" s="201"/>
      <c r="J86" s="202">
        <f>SUM(J47:J48)</f>
        <v>58147</v>
      </c>
    </row>
    <row r="87" spans="1:10">
      <c r="A87" s="200"/>
      <c r="B87" s="79" t="s">
        <v>63</v>
      </c>
      <c r="C87" s="106">
        <f>SUM(B50:B51)</f>
        <v>1</v>
      </c>
      <c r="D87" s="201"/>
      <c r="E87" s="201"/>
      <c r="F87" s="201"/>
      <c r="G87" s="201"/>
      <c r="H87" s="510"/>
      <c r="I87" s="201"/>
      <c r="J87" s="202">
        <f>SUM(J50:J51)</f>
        <v>56350</v>
      </c>
    </row>
    <row r="88" spans="1:10">
      <c r="A88" s="200"/>
      <c r="B88" s="79" t="s">
        <v>55</v>
      </c>
      <c r="C88" s="106">
        <v>0</v>
      </c>
      <c r="D88" s="201"/>
      <c r="E88" s="201"/>
      <c r="F88" s="201"/>
      <c r="G88" s="201"/>
      <c r="H88" s="510"/>
      <c r="I88" s="201"/>
      <c r="J88" s="202">
        <v>0</v>
      </c>
    </row>
    <row r="89" spans="1:10" ht="13.5" thickBot="1">
      <c r="A89" s="203"/>
      <c r="B89" s="204" t="s">
        <v>57</v>
      </c>
      <c r="C89" s="205">
        <f>SUM(B53:B80)</f>
        <v>23</v>
      </c>
      <c r="D89" s="206"/>
      <c r="E89" s="206"/>
      <c r="F89" s="206"/>
      <c r="G89" s="206"/>
      <c r="H89" s="511"/>
      <c r="I89" s="206"/>
      <c r="J89" s="207">
        <f>SUM(J53:J80)</f>
        <v>1200809</v>
      </c>
    </row>
    <row r="90" spans="1:10" ht="14.25" thickTop="1" thickBot="1">
      <c r="A90" s="203"/>
      <c r="B90" s="204" t="s">
        <v>28</v>
      </c>
      <c r="C90" s="205">
        <f>SUM(C84:C89)</f>
        <v>26</v>
      </c>
      <c r="D90" s="206"/>
      <c r="E90" s="206"/>
      <c r="F90" s="206"/>
      <c r="G90" s="206"/>
      <c r="H90" s="511"/>
      <c r="I90" s="206"/>
      <c r="J90" s="207">
        <f>SUM(J84:J89)</f>
        <v>1372257</v>
      </c>
    </row>
    <row r="91" spans="1:10" ht="13.5" thickTop="1">
      <c r="A91" s="352"/>
      <c r="B91" s="353"/>
      <c r="C91" s="278"/>
      <c r="D91" s="352"/>
      <c r="E91" s="352"/>
      <c r="F91" s="352"/>
      <c r="G91" s="352"/>
      <c r="H91" s="512"/>
      <c r="I91" s="352"/>
      <c r="J91" s="354"/>
    </row>
    <row r="92" spans="1:10" ht="13.5" thickBot="1">
      <c r="A92" s="352"/>
      <c r="B92" s="353"/>
      <c r="C92" s="278"/>
      <c r="D92" s="352"/>
      <c r="E92" s="352"/>
      <c r="F92" s="352"/>
      <c r="G92" s="352"/>
      <c r="H92" s="512"/>
      <c r="I92" s="352"/>
      <c r="J92" s="354"/>
    </row>
    <row r="93" spans="1:10">
      <c r="A93" s="491" t="s">
        <v>454</v>
      </c>
      <c r="B93" s="492"/>
      <c r="C93" s="493"/>
      <c r="D93" s="494"/>
      <c r="E93" s="494"/>
      <c r="F93" s="494"/>
      <c r="G93" s="494"/>
      <c r="H93" s="513"/>
      <c r="I93" s="513"/>
      <c r="J93" s="495"/>
    </row>
    <row r="94" spans="1:10" ht="15.75">
      <c r="A94" s="317"/>
      <c r="B94" s="397"/>
      <c r="C94" s="456"/>
      <c r="D94" s="150"/>
      <c r="F94" s="189"/>
      <c r="G94" s="395"/>
      <c r="H94" s="543"/>
      <c r="I94" s="395"/>
      <c r="J94" s="53">
        <f>VLOOKUP(G94,Data!$B$120:$G$151,I94+1)*B94</f>
        <v>0</v>
      </c>
    </row>
    <row r="95" spans="1:10" ht="15.75">
      <c r="A95" s="317" t="s">
        <v>498</v>
      </c>
      <c r="B95" s="397">
        <v>1</v>
      </c>
      <c r="C95" s="641" t="s">
        <v>307</v>
      </c>
      <c r="D95" s="150"/>
      <c r="F95" s="189" t="s">
        <v>487</v>
      </c>
      <c r="G95" s="395">
        <v>16</v>
      </c>
      <c r="H95" s="543">
        <f>G95+1</f>
        <v>17</v>
      </c>
      <c r="I95" s="395">
        <v>1</v>
      </c>
      <c r="J95" s="53">
        <f>VLOOKUP(G95,Data!$B$120:$G$151,I95+1)*B95</f>
        <v>56350</v>
      </c>
    </row>
    <row r="96" spans="1:10">
      <c r="A96" s="496"/>
      <c r="B96" s="353"/>
      <c r="C96" s="278"/>
      <c r="D96" s="352"/>
      <c r="E96" s="352"/>
      <c r="F96" s="352"/>
      <c r="G96" s="352"/>
      <c r="H96" s="512"/>
      <c r="I96" s="512"/>
      <c r="J96" s="497"/>
    </row>
    <row r="97" spans="1:10" ht="16.5" thickBot="1">
      <c r="A97" s="500" t="s">
        <v>28</v>
      </c>
      <c r="B97" s="498"/>
      <c r="C97" s="29"/>
      <c r="D97" s="29"/>
      <c r="E97" s="292"/>
      <c r="F97" s="387"/>
      <c r="G97" s="292"/>
      <c r="H97" s="515"/>
      <c r="I97" s="515"/>
      <c r="J97" s="499">
        <f>SUM(J93:J96)</f>
        <v>56350</v>
      </c>
    </row>
    <row r="98" spans="1:10" ht="15.75">
      <c r="A98" s="501"/>
      <c r="B98" s="502"/>
      <c r="C98" s="25"/>
      <c r="D98" s="25"/>
      <c r="E98" s="302"/>
      <c r="F98" s="503"/>
      <c r="G98" s="302"/>
      <c r="H98" s="516"/>
      <c r="I98" s="516"/>
      <c r="J98" s="504"/>
    </row>
    <row r="99" spans="1:10" ht="13.5" thickBot="1">
      <c r="A99" s="352"/>
      <c r="B99" s="353"/>
      <c r="C99" s="278"/>
      <c r="D99" s="352"/>
      <c r="E99" s="352"/>
      <c r="F99" s="352"/>
      <c r="G99" s="352"/>
      <c r="H99" s="512"/>
      <c r="I99" s="512"/>
      <c r="J99" s="354"/>
    </row>
    <row r="100" spans="1:10">
      <c r="A100" s="491" t="s">
        <v>448</v>
      </c>
      <c r="B100" s="492"/>
      <c r="C100" s="493"/>
      <c r="D100" s="494"/>
      <c r="E100" s="494"/>
      <c r="F100" s="494"/>
      <c r="G100" s="494"/>
      <c r="H100" s="513"/>
      <c r="I100" s="513"/>
      <c r="J100" s="495"/>
    </row>
    <row r="101" spans="1:10">
      <c r="A101" s="496"/>
      <c r="B101" s="353"/>
      <c r="C101" s="278"/>
      <c r="D101" s="352"/>
      <c r="E101" s="352"/>
      <c r="F101" s="352"/>
      <c r="G101" s="352"/>
      <c r="H101" s="512"/>
      <c r="I101" s="512"/>
      <c r="J101" s="497"/>
    </row>
    <row r="102" spans="1:10" ht="15.75">
      <c r="A102" s="317"/>
      <c r="B102" s="397"/>
      <c r="C102" s="641"/>
      <c r="D102" s="150"/>
      <c r="F102" s="189"/>
      <c r="G102" s="395"/>
      <c r="H102" s="543"/>
      <c r="I102" s="395"/>
      <c r="J102" s="53"/>
    </row>
    <row r="103" spans="1:10" ht="15.75">
      <c r="A103" s="317"/>
      <c r="B103" s="397"/>
      <c r="C103" s="464"/>
      <c r="D103" s="150"/>
      <c r="F103" s="189"/>
      <c r="G103" s="395"/>
      <c r="H103" s="543"/>
      <c r="I103" s="395"/>
      <c r="J103" s="53"/>
    </row>
    <row r="104" spans="1:10" ht="15.75">
      <c r="A104" s="317"/>
      <c r="B104" s="397"/>
      <c r="C104" s="464"/>
      <c r="D104" s="150"/>
      <c r="F104" s="189"/>
      <c r="G104" s="395"/>
      <c r="H104" s="543"/>
      <c r="I104" s="395"/>
      <c r="J104" s="53"/>
    </row>
    <row r="105" spans="1:10" ht="17.25">
      <c r="A105" s="317"/>
      <c r="B105" s="397"/>
      <c r="C105" s="464"/>
      <c r="D105" s="150"/>
      <c r="F105" s="189"/>
      <c r="G105" s="395"/>
      <c r="H105" s="543"/>
      <c r="I105" s="395"/>
      <c r="J105" s="662"/>
    </row>
    <row r="107" spans="1:10" ht="16.5" thickBot="1">
      <c r="A107" s="500" t="s">
        <v>28</v>
      </c>
      <c r="B107" s="498"/>
      <c r="C107" s="29"/>
      <c r="D107" s="29"/>
      <c r="E107" s="292"/>
      <c r="F107" s="387"/>
      <c r="G107" s="292"/>
      <c r="H107" s="515"/>
      <c r="I107" s="515"/>
      <c r="J107" s="499">
        <f>SUM(J100:J106)</f>
        <v>0</v>
      </c>
    </row>
    <row r="108" spans="1:10">
      <c r="A108" s="352"/>
      <c r="B108" s="353"/>
      <c r="C108" s="278"/>
      <c r="D108" s="352"/>
      <c r="E108" s="352"/>
      <c r="F108" s="352"/>
      <c r="G108" s="352"/>
      <c r="H108" s="512"/>
      <c r="I108" s="352"/>
      <c r="J108" s="354"/>
    </row>
    <row r="109" spans="1:10" ht="15.75">
      <c r="A109" s="253" t="s">
        <v>326</v>
      </c>
      <c r="B109" s="397" t="s">
        <v>326</v>
      </c>
      <c r="C109" s="456" t="s">
        <v>326</v>
      </c>
      <c r="D109" s="150"/>
      <c r="F109" s="189" t="s">
        <v>326</v>
      </c>
      <c r="G109" s="395" t="s">
        <v>326</v>
      </c>
      <c r="H109" s="543"/>
      <c r="I109" s="395" t="s">
        <v>326</v>
      </c>
      <c r="J109" s="53" t="s">
        <v>326</v>
      </c>
    </row>
    <row r="110" spans="1:10" ht="15.75">
      <c r="A110" s="253" t="s">
        <v>326</v>
      </c>
      <c r="B110" s="188"/>
      <c r="C110" s="322"/>
      <c r="D110" s="150"/>
      <c r="F110" s="189"/>
      <c r="G110" s="188"/>
      <c r="H110" s="544"/>
      <c r="I110" s="188"/>
      <c r="J110" s="53" t="s">
        <v>326</v>
      </c>
    </row>
    <row r="111" spans="1:10" ht="15.75">
      <c r="A111" s="317"/>
      <c r="B111" s="188"/>
      <c r="C111" s="248"/>
      <c r="D111" s="150"/>
      <c r="F111" s="189"/>
      <c r="G111" s="188"/>
      <c r="H111" s="544"/>
      <c r="I111" s="188"/>
      <c r="J111" s="53"/>
    </row>
    <row r="112" spans="1:10" ht="15.75">
      <c r="A112" s="317"/>
      <c r="C112" s="5" t="s">
        <v>321</v>
      </c>
      <c r="D112" s="11"/>
      <c r="F112" s="189"/>
      <c r="G112" s="188"/>
      <c r="H112" s="544"/>
      <c r="I112" s="188"/>
      <c r="J112" s="53"/>
    </row>
    <row r="113" spans="1:11" ht="15.75">
      <c r="A113" s="317"/>
      <c r="C113" s="12"/>
      <c r="D113" s="5" t="s">
        <v>14</v>
      </c>
      <c r="F113" s="189"/>
      <c r="G113" s="188"/>
      <c r="H113" s="544"/>
      <c r="I113" s="188"/>
      <c r="J113" s="53"/>
    </row>
    <row r="114" spans="1:11" ht="15.75">
      <c r="A114" s="317"/>
      <c r="C114" s="12"/>
      <c r="D114" s="10" t="s">
        <v>15</v>
      </c>
      <c r="F114" s="189"/>
      <c r="G114" s="188"/>
      <c r="H114" s="544"/>
      <c r="I114" s="188"/>
      <c r="J114" s="53"/>
    </row>
    <row r="115" spans="1:11">
      <c r="C115" s="73" t="s">
        <v>64</v>
      </c>
      <c r="G115" s="74" t="str">
        <f>+A10</f>
        <v>Morningside</v>
      </c>
      <c r="H115" s="545"/>
    </row>
    <row r="116" spans="1:11" ht="13.5" thickBot="1"/>
    <row r="117" spans="1:11">
      <c r="A117" s="594" t="str">
        <f>+A6</f>
        <v>2013-2014</v>
      </c>
      <c r="B117" s="122"/>
      <c r="C117" s="595" t="s">
        <v>65</v>
      </c>
      <c r="D117" s="122"/>
      <c r="E117" s="122"/>
      <c r="F117" s="596"/>
      <c r="G117" s="122"/>
      <c r="H117" s="597"/>
      <c r="I117" s="122"/>
      <c r="J117" s="122"/>
      <c r="K117" s="161"/>
    </row>
    <row r="118" spans="1:11">
      <c r="A118" s="598" t="s">
        <v>44</v>
      </c>
      <c r="B118" s="211" t="s">
        <v>66</v>
      </c>
      <c r="C118" s="210" t="s">
        <v>45</v>
      </c>
      <c r="D118" s="211" t="s">
        <v>46</v>
      </c>
      <c r="E118" s="211" t="s">
        <v>27</v>
      </c>
      <c r="F118" s="211" t="s">
        <v>67</v>
      </c>
      <c r="G118" s="211" t="s">
        <v>68</v>
      </c>
      <c r="H118" s="519"/>
      <c r="I118" s="211" t="s">
        <v>69</v>
      </c>
      <c r="J118" s="211" t="s">
        <v>68</v>
      </c>
      <c r="K118" s="599" t="s">
        <v>28</v>
      </c>
    </row>
    <row r="119" spans="1:11">
      <c r="A119" s="290"/>
      <c r="B119" s="213" t="s">
        <v>70</v>
      </c>
      <c r="C119" s="104"/>
      <c r="D119" s="104"/>
      <c r="E119" s="104"/>
      <c r="F119" s="213" t="s">
        <v>71</v>
      </c>
      <c r="G119" s="213" t="s">
        <v>72</v>
      </c>
      <c r="H119" s="520"/>
      <c r="I119" s="213" t="s">
        <v>73</v>
      </c>
      <c r="J119" s="213" t="s">
        <v>71</v>
      </c>
      <c r="K119" s="600" t="s">
        <v>74</v>
      </c>
    </row>
    <row r="120" spans="1:11" ht="15.75">
      <c r="A120" s="601"/>
      <c r="B120" s="483"/>
      <c r="C120" s="484"/>
      <c r="D120" s="484"/>
      <c r="E120" s="485"/>
      <c r="F120" s="485"/>
      <c r="G120" s="485"/>
      <c r="H120" s="602"/>
      <c r="I120" s="486"/>
      <c r="J120" s="487"/>
      <c r="K120" s="603"/>
    </row>
    <row r="121" spans="1:11" ht="15.75">
      <c r="A121" s="601" t="s">
        <v>603</v>
      </c>
      <c r="B121" s="483">
        <v>1</v>
      </c>
      <c r="C121" s="484" t="s">
        <v>410</v>
      </c>
      <c r="D121" s="484">
        <v>12</v>
      </c>
      <c r="E121" s="485">
        <v>2</v>
      </c>
      <c r="F121" s="485">
        <v>7</v>
      </c>
      <c r="G121" s="485">
        <v>185</v>
      </c>
      <c r="H121" s="593">
        <f>D121+1</f>
        <v>13</v>
      </c>
      <c r="I121" s="486">
        <f>VLOOKUP(D121,Data!$A$151:$S$178,E121+1)</f>
        <v>11.8</v>
      </c>
      <c r="J121" s="487">
        <f>G121*F121</f>
        <v>1295</v>
      </c>
      <c r="K121" s="603">
        <f>ROUND(I121*J121,0)</f>
        <v>15281</v>
      </c>
    </row>
    <row r="122" spans="1:11" ht="15.75">
      <c r="A122" s="601" t="s">
        <v>472</v>
      </c>
      <c r="B122" s="483">
        <v>1</v>
      </c>
      <c r="C122" s="484" t="s">
        <v>75</v>
      </c>
      <c r="D122" s="484">
        <v>15</v>
      </c>
      <c r="E122" s="485">
        <v>1</v>
      </c>
      <c r="F122" s="485">
        <v>8</v>
      </c>
      <c r="G122" s="485">
        <v>220</v>
      </c>
      <c r="H122" s="593">
        <f>D122+1</f>
        <v>16</v>
      </c>
      <c r="I122" s="486">
        <f>VLOOKUP(D122,Data!$A$151:$S$178,E122+1)</f>
        <v>14</v>
      </c>
      <c r="J122" s="487">
        <f>G122*F122</f>
        <v>1760</v>
      </c>
      <c r="K122" s="603">
        <f>ROUND(I122*J122,0)</f>
        <v>24640</v>
      </c>
    </row>
    <row r="123" spans="1:11" ht="16.5" thickBot="1">
      <c r="A123" s="604" t="s">
        <v>326</v>
      </c>
      <c r="B123" s="374" t="s">
        <v>326</v>
      </c>
      <c r="C123" s="382" t="s">
        <v>326</v>
      </c>
      <c r="D123" s="382"/>
      <c r="E123" s="375" t="s">
        <v>326</v>
      </c>
      <c r="F123" s="375" t="s">
        <v>326</v>
      </c>
      <c r="G123" s="375" t="s">
        <v>326</v>
      </c>
      <c r="H123" s="546"/>
      <c r="I123" s="54" t="s">
        <v>326</v>
      </c>
      <c r="J123" s="376" t="s">
        <v>326</v>
      </c>
      <c r="K123" s="605" t="s">
        <v>326</v>
      </c>
    </row>
    <row r="124" spans="1:11" ht="15.75" thickTop="1" thickBot="1">
      <c r="A124" s="606" t="s">
        <v>76</v>
      </c>
      <c r="B124" s="447" t="str">
        <f>+G115</f>
        <v>Morningside</v>
      </c>
      <c r="C124" s="219"/>
      <c r="D124" s="379">
        <f>SUM(B121:B122)</f>
        <v>2</v>
      </c>
      <c r="E124" s="221" t="s">
        <v>77</v>
      </c>
      <c r="F124" s="219"/>
      <c r="G124" s="219"/>
      <c r="H124" s="514"/>
      <c r="I124" s="219"/>
      <c r="J124" s="219"/>
      <c r="K124" s="607">
        <f>SUM(K120:K123)</f>
        <v>39921</v>
      </c>
    </row>
    <row r="125" spans="1:11" ht="16.5" thickTop="1">
      <c r="A125" s="608" t="s">
        <v>326</v>
      </c>
      <c r="B125" s="483" t="s">
        <v>326</v>
      </c>
      <c r="C125" s="25" t="s">
        <v>326</v>
      </c>
      <c r="D125" s="484"/>
      <c r="E125" s="485" t="s">
        <v>326</v>
      </c>
      <c r="F125" s="485"/>
      <c r="G125" s="485" t="s">
        <v>326</v>
      </c>
      <c r="H125" s="602"/>
      <c r="I125" s="486" t="s">
        <v>326</v>
      </c>
      <c r="J125" s="487" t="s">
        <v>326</v>
      </c>
      <c r="K125" s="603" t="s">
        <v>326</v>
      </c>
    </row>
    <row r="126" spans="1:11" ht="15.75">
      <c r="A126" s="632" t="s">
        <v>435</v>
      </c>
      <c r="B126" s="483">
        <v>1</v>
      </c>
      <c r="C126" s="25" t="s">
        <v>461</v>
      </c>
      <c r="D126" s="484">
        <v>19</v>
      </c>
      <c r="E126" s="485">
        <v>8</v>
      </c>
      <c r="F126" s="485">
        <v>6.5</v>
      </c>
      <c r="G126" s="485">
        <v>181</v>
      </c>
      <c r="H126" s="593">
        <f t="shared" ref="H126:H131" si="2">D126+1</f>
        <v>20</v>
      </c>
      <c r="I126" s="486">
        <f>VLOOKUP(D126,Data!$A$151:$S$178,E126+1)</f>
        <v>12.15</v>
      </c>
      <c r="J126" s="487">
        <f t="shared" ref="J126:J131" si="3">G126*F126</f>
        <v>1176.5</v>
      </c>
      <c r="K126" s="603">
        <f t="shared" ref="K126:K131" si="4">ROUND(I126*J126,0)</f>
        <v>14294</v>
      </c>
    </row>
    <row r="127" spans="1:11" ht="15.75">
      <c r="A127" s="632" t="s">
        <v>424</v>
      </c>
      <c r="B127" s="483">
        <v>1</v>
      </c>
      <c r="C127" s="25" t="s">
        <v>461</v>
      </c>
      <c r="D127" s="484">
        <v>16</v>
      </c>
      <c r="E127" s="485">
        <v>8</v>
      </c>
      <c r="F127" s="485">
        <v>6.5</v>
      </c>
      <c r="G127" s="485">
        <v>181</v>
      </c>
      <c r="H127" s="593">
        <f t="shared" si="2"/>
        <v>17</v>
      </c>
      <c r="I127" s="486">
        <f>VLOOKUP(D127,Data!$A$151:$S$178,E127+1)</f>
        <v>11.63</v>
      </c>
      <c r="J127" s="487">
        <f t="shared" si="3"/>
        <v>1176.5</v>
      </c>
      <c r="K127" s="603">
        <f t="shared" si="4"/>
        <v>13683</v>
      </c>
    </row>
    <row r="128" spans="1:11" ht="15.75">
      <c r="A128" s="632" t="s">
        <v>481</v>
      </c>
      <c r="B128" s="483">
        <v>1.4</v>
      </c>
      <c r="C128" s="25" t="s">
        <v>539</v>
      </c>
      <c r="D128" s="484">
        <v>16</v>
      </c>
      <c r="E128" s="485">
        <v>8</v>
      </c>
      <c r="F128" s="485">
        <v>6.5</v>
      </c>
      <c r="G128" s="485">
        <v>181</v>
      </c>
      <c r="H128" s="593">
        <f t="shared" si="2"/>
        <v>17</v>
      </c>
      <c r="I128" s="486">
        <f>VLOOKUP(D128,Data!$A$151:$S$178,E128+1)</f>
        <v>11.63</v>
      </c>
      <c r="J128" s="487">
        <f t="shared" si="3"/>
        <v>1176.5</v>
      </c>
      <c r="K128" s="603">
        <f t="shared" si="4"/>
        <v>13683</v>
      </c>
    </row>
    <row r="129" spans="1:11" ht="15.75">
      <c r="A129" s="632" t="s">
        <v>604</v>
      </c>
      <c r="B129" s="483">
        <v>1</v>
      </c>
      <c r="C129" s="25" t="s">
        <v>509</v>
      </c>
      <c r="D129" s="484">
        <v>19</v>
      </c>
      <c r="E129" s="485">
        <v>8</v>
      </c>
      <c r="F129" s="485">
        <v>6.5</v>
      </c>
      <c r="G129" s="485">
        <v>181</v>
      </c>
      <c r="H129" s="593">
        <f t="shared" si="2"/>
        <v>20</v>
      </c>
      <c r="I129" s="486">
        <f>VLOOKUP(D129,Data!$A$151:$S$178,E129+1)</f>
        <v>12.15</v>
      </c>
      <c r="J129" s="487">
        <f t="shared" si="3"/>
        <v>1176.5</v>
      </c>
      <c r="K129" s="603">
        <f t="shared" si="4"/>
        <v>14294</v>
      </c>
    </row>
    <row r="130" spans="1:11" ht="15.75">
      <c r="A130" s="632" t="s">
        <v>434</v>
      </c>
      <c r="B130" s="483">
        <v>1</v>
      </c>
      <c r="C130" s="25" t="s">
        <v>461</v>
      </c>
      <c r="D130" s="484">
        <v>18</v>
      </c>
      <c r="E130" s="485">
        <v>8</v>
      </c>
      <c r="F130" s="485">
        <v>6.5</v>
      </c>
      <c r="G130" s="485">
        <v>181</v>
      </c>
      <c r="H130" s="593">
        <f t="shared" si="2"/>
        <v>19</v>
      </c>
      <c r="I130" s="486">
        <f>VLOOKUP(D130,Data!$A$151:$S$178,E130+1)</f>
        <v>11.89</v>
      </c>
      <c r="J130" s="487">
        <f t="shared" si="3"/>
        <v>1176.5</v>
      </c>
      <c r="K130" s="603">
        <f t="shared" si="4"/>
        <v>13989</v>
      </c>
    </row>
    <row r="131" spans="1:11" ht="15.75">
      <c r="A131" s="632" t="s">
        <v>605</v>
      </c>
      <c r="B131" s="483">
        <v>1.4</v>
      </c>
      <c r="C131" s="25" t="s">
        <v>461</v>
      </c>
      <c r="D131" s="484">
        <v>10</v>
      </c>
      <c r="E131" s="485">
        <v>8</v>
      </c>
      <c r="F131" s="485">
        <v>7</v>
      </c>
      <c r="G131" s="485">
        <v>181</v>
      </c>
      <c r="H131" s="593">
        <f t="shared" si="2"/>
        <v>11</v>
      </c>
      <c r="I131" s="486">
        <f>VLOOKUP(D131,Data!$A$151:$S$178,E131+1)</f>
        <v>10.84</v>
      </c>
      <c r="J131" s="487">
        <f t="shared" si="3"/>
        <v>1267</v>
      </c>
      <c r="K131" s="603">
        <f t="shared" si="4"/>
        <v>13734</v>
      </c>
    </row>
    <row r="132" spans="1:11" ht="15.75">
      <c r="A132" s="68"/>
      <c r="B132" s="465"/>
      <c r="C132" s="7"/>
      <c r="D132" s="466"/>
      <c r="E132" s="467"/>
      <c r="F132" s="467" t="s">
        <v>326</v>
      </c>
      <c r="G132" s="467"/>
      <c r="H132" s="547"/>
      <c r="I132" s="588"/>
      <c r="J132" s="468"/>
      <c r="K132" s="609"/>
    </row>
    <row r="133" spans="1:11" ht="15" thickBot="1">
      <c r="A133" s="606" t="s">
        <v>78</v>
      </c>
      <c r="B133" s="25" t="str">
        <f>+B124</f>
        <v>Morningside</v>
      </c>
      <c r="C133" s="99"/>
      <c r="D133" s="380">
        <f>SUM(B125:B132)</f>
        <v>6.8000000000000007</v>
      </c>
      <c r="E133" s="98" t="s">
        <v>79</v>
      </c>
      <c r="F133" s="25"/>
      <c r="G133" s="25"/>
      <c r="H133" s="541"/>
      <c r="I133" s="25"/>
      <c r="J133" s="25"/>
      <c r="K133" s="610">
        <f>SUM(K125:K132)</f>
        <v>83677</v>
      </c>
    </row>
    <row r="134" spans="1:11" ht="15.75" thickTop="1" thickBot="1">
      <c r="A134" s="611"/>
      <c r="B134" s="383"/>
      <c r="C134" s="383"/>
      <c r="D134" s="385"/>
      <c r="E134" s="384" t="s">
        <v>80</v>
      </c>
      <c r="F134" s="383"/>
      <c r="G134" s="383"/>
      <c r="H134" s="548"/>
      <c r="I134" s="383"/>
      <c r="J134" s="383"/>
      <c r="K134" s="612">
        <f>K133+K124</f>
        <v>123598</v>
      </c>
    </row>
    <row r="135" spans="1:11" ht="15" thickTop="1">
      <c r="A135" s="17"/>
      <c r="B135" s="25"/>
      <c r="C135" s="25"/>
      <c r="D135" s="457"/>
      <c r="E135" s="275"/>
      <c r="F135" s="25"/>
      <c r="G135" s="25"/>
      <c r="H135" s="541"/>
      <c r="I135" s="25"/>
      <c r="J135" s="25"/>
      <c r="K135" s="651"/>
    </row>
    <row r="136" spans="1:11" ht="15.75">
      <c r="A136" s="632" t="s">
        <v>533</v>
      </c>
      <c r="B136" s="483">
        <v>1</v>
      </c>
      <c r="C136" s="25" t="s">
        <v>529</v>
      </c>
      <c r="D136" s="484">
        <v>15</v>
      </c>
      <c r="E136" s="485">
        <v>5</v>
      </c>
      <c r="F136" s="485">
        <v>8</v>
      </c>
      <c r="G136" s="485">
        <v>260</v>
      </c>
      <c r="H136" s="593">
        <f>D136+1</f>
        <v>16</v>
      </c>
      <c r="I136" s="486">
        <f>VLOOKUP(D136,Data!$A$151:$S$178,E136+1)</f>
        <v>11.86</v>
      </c>
      <c r="J136" s="487">
        <f>G136*F136</f>
        <v>2080</v>
      </c>
      <c r="K136" s="603">
        <f>ROUND(I136*J136,0)</f>
        <v>24669</v>
      </c>
    </row>
    <row r="137" spans="1:11" ht="15.75">
      <c r="A137" s="17" t="s">
        <v>621</v>
      </c>
      <c r="B137" s="483">
        <v>1</v>
      </c>
      <c r="C137" s="25" t="s">
        <v>529</v>
      </c>
      <c r="D137" s="484">
        <v>9</v>
      </c>
      <c r="E137" s="485">
        <v>5</v>
      </c>
      <c r="F137" s="485">
        <v>8</v>
      </c>
      <c r="G137" s="485">
        <v>260</v>
      </c>
      <c r="H137" s="593">
        <f>D137+1</f>
        <v>10</v>
      </c>
      <c r="I137" s="486">
        <f>VLOOKUP(D137,Data!$A$151:$S$178,E137+1)</f>
        <v>11.22</v>
      </c>
      <c r="J137" s="487">
        <f>G137*F137</f>
        <v>2080</v>
      </c>
      <c r="K137" s="603">
        <f>ROUND(I137*J137,0)</f>
        <v>23338</v>
      </c>
    </row>
    <row r="138" spans="1:11" ht="15.75">
      <c r="A138" s="17" t="s">
        <v>535</v>
      </c>
      <c r="B138" s="483">
        <v>0.5</v>
      </c>
      <c r="C138" s="25" t="s">
        <v>529</v>
      </c>
      <c r="D138" s="484">
        <v>8</v>
      </c>
      <c r="E138" s="485">
        <v>5</v>
      </c>
      <c r="F138" s="485">
        <v>4</v>
      </c>
      <c r="G138" s="485">
        <v>260</v>
      </c>
      <c r="H138" s="593">
        <f>D138+1</f>
        <v>9</v>
      </c>
      <c r="I138" s="486">
        <f>VLOOKUP(D138,Data!$A$151:$S$178,E138+1)</f>
        <v>11.02</v>
      </c>
      <c r="J138" s="487">
        <f>G138*F138</f>
        <v>1040</v>
      </c>
      <c r="K138" s="603">
        <f>ROUND(I138*J138,0)</f>
        <v>11461</v>
      </c>
    </row>
    <row r="139" spans="1:11" ht="16.5" thickBot="1">
      <c r="A139" s="604"/>
      <c r="B139" s="565"/>
      <c r="C139" s="382"/>
      <c r="D139" s="654"/>
      <c r="E139" s="567"/>
      <c r="F139" s="567"/>
      <c r="G139" s="567"/>
      <c r="H139" s="568"/>
      <c r="I139" s="54"/>
      <c r="J139" s="376"/>
      <c r="K139" s="605"/>
    </row>
    <row r="140" spans="1:11" ht="15.75" thickTop="1" thickBot="1">
      <c r="A140" s="613" t="s">
        <v>81</v>
      </c>
      <c r="B140" s="219" t="str">
        <f>+B133</f>
        <v>Morningside</v>
      </c>
      <c r="C140" s="219"/>
      <c r="D140" s="379">
        <f>SUM(B136:B138)</f>
        <v>2.5</v>
      </c>
      <c r="E140" s="221" t="s">
        <v>82</v>
      </c>
      <c r="F140" s="219"/>
      <c r="G140" s="219"/>
      <c r="H140" s="514"/>
      <c r="I140" s="219"/>
      <c r="J140" s="219"/>
      <c r="K140" s="607">
        <f>SUM(K136:K139)</f>
        <v>59468</v>
      </c>
    </row>
    <row r="141" spans="1:11" ht="15.75" thickTop="1" thickBot="1">
      <c r="A141" s="614"/>
      <c r="B141" s="573"/>
      <c r="C141" s="573"/>
      <c r="D141" s="574"/>
      <c r="E141" s="447"/>
      <c r="F141" s="573"/>
      <c r="G141" s="573"/>
      <c r="H141" s="575"/>
      <c r="I141" s="573"/>
      <c r="J141" s="573"/>
      <c r="K141" s="615"/>
    </row>
    <row r="142" spans="1:11" ht="13.5" thickTop="1">
      <c r="A142" s="616" t="s">
        <v>454</v>
      </c>
      <c r="B142" s="25"/>
      <c r="C142" s="25"/>
      <c r="D142" s="457"/>
      <c r="E142" s="25"/>
      <c r="F142" s="25"/>
      <c r="G142" s="25"/>
      <c r="H142" s="541"/>
      <c r="I142" s="25"/>
      <c r="J142" s="25"/>
      <c r="K142" s="289"/>
    </row>
    <row r="143" spans="1:11">
      <c r="A143" s="616"/>
      <c r="B143" s="25"/>
      <c r="C143" s="25"/>
      <c r="D143" s="457"/>
      <c r="E143" s="25"/>
      <c r="F143" s="25"/>
      <c r="G143" s="25"/>
      <c r="H143" s="541"/>
      <c r="I143" s="25"/>
      <c r="J143" s="25"/>
      <c r="K143" s="26"/>
    </row>
    <row r="144" spans="1:11" ht="15.75">
      <c r="A144" s="640" t="s">
        <v>477</v>
      </c>
      <c r="B144" s="25" t="s">
        <v>326</v>
      </c>
      <c r="C144" s="25" t="s">
        <v>478</v>
      </c>
      <c r="D144" s="457">
        <v>15</v>
      </c>
      <c r="E144" s="25">
        <v>28</v>
      </c>
      <c r="F144" s="571">
        <v>7.5</v>
      </c>
      <c r="G144" s="571">
        <v>185</v>
      </c>
      <c r="H144" s="541"/>
      <c r="I144" s="486">
        <v>17.489999999999998</v>
      </c>
      <c r="J144" s="487">
        <f>G144*F144</f>
        <v>1387.5</v>
      </c>
      <c r="K144" s="603">
        <f>ROUND(I144*J144,0)</f>
        <v>24267</v>
      </c>
    </row>
    <row r="145" spans="1:11" ht="15.75">
      <c r="A145" s="632" t="s">
        <v>476</v>
      </c>
      <c r="B145" s="483" t="s">
        <v>326</v>
      </c>
      <c r="C145" s="25" t="s">
        <v>148</v>
      </c>
      <c r="D145" s="484">
        <v>14</v>
      </c>
      <c r="E145" s="485">
        <v>8</v>
      </c>
      <c r="F145" s="485">
        <v>6.5</v>
      </c>
      <c r="G145" s="485">
        <v>181</v>
      </c>
      <c r="H145" s="593">
        <f>D145+1</f>
        <v>15</v>
      </c>
      <c r="I145" s="486">
        <f>VLOOKUP(D145,Data!$A$151:$S$178,E145+1)</f>
        <v>11.38</v>
      </c>
      <c r="J145" s="487">
        <f>G145*F145</f>
        <v>1176.5</v>
      </c>
      <c r="K145" s="609">
        <f>ROUND(I145*J145,0)</f>
        <v>13389</v>
      </c>
    </row>
    <row r="146" spans="1:11" ht="15.75">
      <c r="A146" s="17"/>
      <c r="B146" s="483"/>
      <c r="C146" s="25"/>
      <c r="D146" s="484"/>
      <c r="E146" s="485"/>
      <c r="F146" s="485"/>
      <c r="G146" s="485"/>
      <c r="H146" s="593"/>
      <c r="I146" s="486"/>
      <c r="J146" s="487"/>
      <c r="K146" s="603">
        <f>SUM(K144:K145)</f>
        <v>37656</v>
      </c>
    </row>
    <row r="147" spans="1:11" ht="13.5" thickBot="1">
      <c r="A147" s="617" t="s">
        <v>455</v>
      </c>
      <c r="B147" s="618"/>
      <c r="C147" s="618"/>
      <c r="D147" s="618"/>
      <c r="E147" s="618"/>
      <c r="F147" s="618"/>
      <c r="G147" s="618"/>
      <c r="H147" s="619"/>
      <c r="I147" s="618"/>
      <c r="J147" s="618"/>
      <c r="K147" s="620" t="s">
        <v>326</v>
      </c>
    </row>
    <row r="148" spans="1:11">
      <c r="A148" s="634"/>
      <c r="B148" s="25"/>
      <c r="C148" s="25"/>
      <c r="D148" s="25"/>
      <c r="E148" s="25"/>
      <c r="F148" s="25"/>
      <c r="G148" s="25"/>
      <c r="H148" s="541"/>
      <c r="I148" s="25"/>
      <c r="J148" s="25"/>
      <c r="K148" s="635"/>
    </row>
    <row r="149" spans="1:11" ht="15.75">
      <c r="A149" s="155" t="str">
        <f>+A10</f>
        <v>Morningside</v>
      </c>
      <c r="B149" s="9"/>
      <c r="C149" s="370" t="str">
        <f>+A6</f>
        <v>2013-2014</v>
      </c>
      <c r="D149" s="155" t="s">
        <v>83</v>
      </c>
      <c r="E149" s="9"/>
      <c r="F149" s="9"/>
      <c r="G149" s="9"/>
      <c r="H149" s="549"/>
    </row>
    <row r="150" spans="1:11">
      <c r="A150" s="228" t="s">
        <v>84</v>
      </c>
      <c r="B150" s="228" t="s">
        <v>85</v>
      </c>
      <c r="C150" s="226" t="s">
        <v>20</v>
      </c>
      <c r="D150" s="227"/>
      <c r="E150" s="227"/>
      <c r="F150" s="228" t="s">
        <v>86</v>
      </c>
      <c r="G150" s="229"/>
      <c r="H150" s="550"/>
      <c r="I150" s="228" t="s">
        <v>87</v>
      </c>
    </row>
    <row r="151" spans="1:11" ht="13.5" thickBot="1">
      <c r="A151" s="232" t="s">
        <v>88</v>
      </c>
      <c r="B151" s="232" t="s">
        <v>88</v>
      </c>
      <c r="C151" s="230"/>
      <c r="D151" s="231"/>
      <c r="E151" s="231"/>
      <c r="F151" s="232" t="s">
        <v>89</v>
      </c>
      <c r="G151" s="233"/>
      <c r="H151" s="551"/>
      <c r="I151" s="234" t="s">
        <v>90</v>
      </c>
    </row>
    <row r="152" spans="1:11" ht="13.5" thickTop="1">
      <c r="A152" s="314" t="str">
        <f>$A$42</f>
        <v>0201077</v>
      </c>
      <c r="B152" s="315" t="s">
        <v>21</v>
      </c>
      <c r="C152" s="108" t="s">
        <v>91</v>
      </c>
      <c r="D152" s="110"/>
      <c r="E152" s="110"/>
      <c r="F152" s="235">
        <f>J84</f>
        <v>56951</v>
      </c>
      <c r="G152" s="236"/>
      <c r="H152" s="552"/>
      <c r="I152" s="237"/>
    </row>
    <row r="153" spans="1:11">
      <c r="A153" s="314" t="str">
        <f>$A$42</f>
        <v>0201077</v>
      </c>
      <c r="B153" s="315" t="s">
        <v>21</v>
      </c>
      <c r="C153" s="108" t="s">
        <v>92</v>
      </c>
      <c r="D153" s="110"/>
      <c r="E153" s="110"/>
      <c r="F153" s="235">
        <f>J85</f>
        <v>0</v>
      </c>
      <c r="G153" s="236"/>
      <c r="H153" s="552"/>
      <c r="I153" s="237"/>
    </row>
    <row r="154" spans="1:11">
      <c r="A154" s="314" t="e">
        <f>#REF!</f>
        <v>#REF!</v>
      </c>
      <c r="B154" s="315" t="s">
        <v>21</v>
      </c>
      <c r="C154" s="108" t="s">
        <v>93</v>
      </c>
      <c r="D154" s="110"/>
      <c r="E154" s="110"/>
      <c r="F154" s="235">
        <f>J89</f>
        <v>1200809</v>
      </c>
      <c r="G154" s="236"/>
      <c r="H154" s="552"/>
      <c r="I154" s="237"/>
    </row>
    <row r="155" spans="1:11">
      <c r="A155" s="314" t="str">
        <f>$A$50</f>
        <v>0201059</v>
      </c>
      <c r="B155" s="315" t="s">
        <v>21</v>
      </c>
      <c r="C155" s="108" t="s">
        <v>94</v>
      </c>
      <c r="D155" s="110"/>
      <c r="E155" s="110"/>
      <c r="F155" s="235">
        <f>J87</f>
        <v>56350</v>
      </c>
      <c r="G155" s="236"/>
      <c r="H155" s="552"/>
      <c r="I155" s="237"/>
    </row>
    <row r="156" spans="1:11">
      <c r="A156" s="314" t="str">
        <f>$A$47</f>
        <v>0201031</v>
      </c>
      <c r="B156" s="315" t="s">
        <v>21</v>
      </c>
      <c r="C156" s="108" t="s">
        <v>95</v>
      </c>
      <c r="D156" s="110"/>
      <c r="E156" s="110"/>
      <c r="F156" s="235">
        <f>J86</f>
        <v>58147</v>
      </c>
      <c r="G156" s="236"/>
      <c r="H156" s="552"/>
      <c r="I156" s="237"/>
    </row>
    <row r="157" spans="1:11">
      <c r="A157" s="314" t="str">
        <f>$A$42</f>
        <v>0201077</v>
      </c>
      <c r="B157" s="315" t="s">
        <v>22</v>
      </c>
      <c r="C157" s="108" t="s">
        <v>96</v>
      </c>
      <c r="D157" s="110"/>
      <c r="E157" s="110"/>
      <c r="F157" s="235">
        <f>K124</f>
        <v>39921</v>
      </c>
      <c r="G157" s="236"/>
      <c r="H157" s="552"/>
      <c r="I157" s="237"/>
    </row>
    <row r="158" spans="1:11">
      <c r="A158" s="314" t="e">
        <f>#REF!</f>
        <v>#REF!</v>
      </c>
      <c r="B158" s="315" t="s">
        <v>22</v>
      </c>
      <c r="C158" s="108" t="s">
        <v>97</v>
      </c>
      <c r="D158" s="110"/>
      <c r="E158" s="110"/>
      <c r="F158" s="235">
        <f>K133</f>
        <v>83677</v>
      </c>
      <c r="G158" s="236"/>
      <c r="H158" s="552"/>
      <c r="I158" s="237"/>
    </row>
    <row r="159" spans="1:11">
      <c r="A159" s="333" t="s">
        <v>98</v>
      </c>
      <c r="B159" s="315" t="s">
        <v>22</v>
      </c>
      <c r="C159" s="108" t="s">
        <v>99</v>
      </c>
      <c r="D159" s="110"/>
      <c r="E159" s="110"/>
      <c r="F159" s="235">
        <f>K140</f>
        <v>59468</v>
      </c>
      <c r="G159" s="236"/>
      <c r="H159" s="552"/>
      <c r="I159" s="237"/>
    </row>
    <row r="160" spans="1:11">
      <c r="A160" s="314" t="e">
        <f>#REF!</f>
        <v>#REF!</v>
      </c>
      <c r="B160" s="315"/>
      <c r="C160" s="108" t="s">
        <v>100</v>
      </c>
      <c r="D160" s="110"/>
      <c r="E160" s="110"/>
      <c r="F160" s="235"/>
      <c r="G160" s="236"/>
      <c r="H160" s="552"/>
      <c r="I160" s="237"/>
    </row>
    <row r="161" spans="1:9">
      <c r="A161" s="314" t="e">
        <f>#REF!</f>
        <v>#REF!</v>
      </c>
      <c r="B161" s="315" t="s">
        <v>101</v>
      </c>
      <c r="C161" s="108" t="s">
        <v>102</v>
      </c>
      <c r="D161" s="110"/>
      <c r="E161" s="110"/>
      <c r="F161" s="235">
        <v>0</v>
      </c>
      <c r="G161" s="236"/>
      <c r="H161" s="552"/>
      <c r="I161" s="237"/>
    </row>
    <row r="162" spans="1:9">
      <c r="A162" s="314" t="e">
        <f>#REF!</f>
        <v>#REF!</v>
      </c>
      <c r="B162" s="315" t="s">
        <v>103</v>
      </c>
      <c r="C162" s="108" t="s">
        <v>104</v>
      </c>
      <c r="D162" s="110"/>
      <c r="E162" s="110"/>
      <c r="F162" s="235">
        <v>0</v>
      </c>
      <c r="G162" s="236"/>
      <c r="H162" s="552"/>
      <c r="I162" s="237"/>
    </row>
    <row r="163" spans="1:9">
      <c r="A163" s="314" t="str">
        <f>$A$50</f>
        <v>0201059</v>
      </c>
      <c r="B163" s="315" t="s">
        <v>105</v>
      </c>
      <c r="C163" s="108" t="s">
        <v>106</v>
      </c>
      <c r="D163" s="110"/>
      <c r="E163" s="110"/>
      <c r="F163" s="235">
        <v>0</v>
      </c>
      <c r="G163" s="236"/>
      <c r="H163" s="552"/>
      <c r="I163" s="237"/>
    </row>
    <row r="164" spans="1:9">
      <c r="A164" s="314" t="str">
        <f>$A$50</f>
        <v>0201059</v>
      </c>
      <c r="B164" s="315" t="s">
        <v>107</v>
      </c>
      <c r="C164" s="108" t="s">
        <v>108</v>
      </c>
      <c r="D164" s="110"/>
      <c r="E164" s="110"/>
      <c r="F164" s="235">
        <v>0</v>
      </c>
      <c r="G164" s="236"/>
      <c r="H164" s="552"/>
      <c r="I164" s="237"/>
    </row>
    <row r="165" spans="1:9">
      <c r="A165" s="314" t="str">
        <f>$A$50</f>
        <v>0201059</v>
      </c>
      <c r="B165" s="315" t="s">
        <v>23</v>
      </c>
      <c r="C165" s="108" t="s">
        <v>109</v>
      </c>
      <c r="D165" s="110"/>
      <c r="E165" s="110"/>
      <c r="F165" s="235">
        <v>0</v>
      </c>
      <c r="G165" s="236"/>
      <c r="H165" s="552"/>
      <c r="I165" s="237"/>
    </row>
    <row r="166" spans="1:9">
      <c r="A166" s="314" t="str">
        <f>$A$50</f>
        <v>0201059</v>
      </c>
      <c r="B166" s="315" t="s">
        <v>110</v>
      </c>
      <c r="C166" s="108" t="s">
        <v>111</v>
      </c>
      <c r="D166" s="110"/>
      <c r="E166" s="110"/>
      <c r="F166" s="235">
        <v>0</v>
      </c>
      <c r="G166" s="236"/>
      <c r="H166" s="552"/>
      <c r="I166" s="237"/>
    </row>
    <row r="167" spans="1:9">
      <c r="A167" s="314" t="e">
        <f>#REF!</f>
        <v>#REF!</v>
      </c>
      <c r="B167" s="315" t="s">
        <v>23</v>
      </c>
      <c r="C167" s="108" t="s">
        <v>112</v>
      </c>
      <c r="D167" s="110"/>
      <c r="E167" s="110"/>
      <c r="F167" s="235">
        <f>Data!G68+Data!G71</f>
        <v>49487</v>
      </c>
      <c r="G167" s="236"/>
      <c r="H167" s="552"/>
      <c r="I167" s="237"/>
    </row>
    <row r="168" spans="1:9">
      <c r="A168" s="314" t="e">
        <f>#REF!</f>
        <v>#REF!</v>
      </c>
      <c r="B168" s="315" t="s">
        <v>24</v>
      </c>
      <c r="C168" s="108" t="s">
        <v>113</v>
      </c>
      <c r="D168" s="110"/>
      <c r="E168" s="110"/>
      <c r="F168" s="235">
        <v>0</v>
      </c>
      <c r="G168" s="236"/>
      <c r="H168" s="552"/>
      <c r="I168" s="237"/>
    </row>
    <row r="169" spans="1:9">
      <c r="A169" s="314" t="e">
        <f>#REF!</f>
        <v>#REF!</v>
      </c>
      <c r="B169" s="315" t="s">
        <v>25</v>
      </c>
      <c r="C169" s="108" t="s">
        <v>114</v>
      </c>
      <c r="D169" s="110"/>
      <c r="E169" s="110"/>
      <c r="F169" s="235"/>
      <c r="G169" s="236"/>
      <c r="H169" s="552"/>
      <c r="I169" s="237"/>
    </row>
    <row r="170" spans="1:9">
      <c r="A170" s="369" t="s">
        <v>12</v>
      </c>
      <c r="B170" s="316"/>
      <c r="C170" s="238"/>
      <c r="D170" s="239"/>
      <c r="E170" s="239"/>
      <c r="F170" s="240"/>
      <c r="G170" s="236"/>
      <c r="H170" s="552"/>
      <c r="I170" s="237"/>
    </row>
    <row r="171" spans="1:9">
      <c r="A171" s="274"/>
      <c r="B171" s="315" t="s">
        <v>115</v>
      </c>
      <c r="C171" s="108" t="s">
        <v>379</v>
      </c>
      <c r="D171" s="110"/>
      <c r="E171" s="110"/>
      <c r="F171" s="235">
        <f>ROUND(SUM(F157:F159)*Data!$I$8,0)</f>
        <v>0</v>
      </c>
      <c r="G171" s="236"/>
      <c r="H171" s="552"/>
      <c r="I171" s="237"/>
    </row>
    <row r="172" spans="1:9">
      <c r="A172" s="274"/>
      <c r="B172" s="315" t="s">
        <v>116</v>
      </c>
      <c r="C172" s="108" t="s">
        <v>368</v>
      </c>
      <c r="D172" s="110"/>
      <c r="E172" s="110"/>
      <c r="F172" s="235">
        <f>ROUND(SUM(F152:F156)*Data!$I$10,0)</f>
        <v>0</v>
      </c>
      <c r="G172" s="236"/>
      <c r="H172" s="552"/>
      <c r="I172" s="237"/>
    </row>
    <row r="173" spans="1:9">
      <c r="A173" s="274"/>
      <c r="B173" s="315" t="s">
        <v>116</v>
      </c>
      <c r="C173" s="108" t="s">
        <v>369</v>
      </c>
      <c r="D173" s="110"/>
      <c r="E173" s="110"/>
      <c r="F173" s="235">
        <f>ROUND(SUM(F157:F159)*Data!$I$10,0)</f>
        <v>0</v>
      </c>
      <c r="G173" s="236"/>
      <c r="H173" s="552"/>
      <c r="I173" s="237"/>
    </row>
    <row r="174" spans="1:9">
      <c r="A174" s="274"/>
      <c r="B174" s="315" t="s">
        <v>117</v>
      </c>
      <c r="C174" s="108" t="s">
        <v>370</v>
      </c>
      <c r="D174" s="110"/>
      <c r="E174" s="110"/>
      <c r="F174" s="235">
        <f>ROUND(SUM(F157:F159)*Data!$I$9,0)</f>
        <v>0</v>
      </c>
      <c r="G174" s="236"/>
      <c r="H174" s="552"/>
      <c r="I174" s="237"/>
    </row>
    <row r="175" spans="1:9">
      <c r="A175" s="274"/>
      <c r="B175" s="315" t="s">
        <v>118</v>
      </c>
      <c r="C175" s="108" t="s">
        <v>367</v>
      </c>
      <c r="D175" s="110"/>
      <c r="E175" s="110"/>
      <c r="F175" s="235">
        <f>ROUND(SUM(F152:F156)*Data!$I$11,0)</f>
        <v>0</v>
      </c>
      <c r="G175" s="236"/>
      <c r="H175" s="552"/>
      <c r="I175" s="237"/>
    </row>
    <row r="176" spans="1:9">
      <c r="A176" s="274"/>
      <c r="B176" s="315" t="s">
        <v>118</v>
      </c>
      <c r="C176" s="108" t="s">
        <v>371</v>
      </c>
      <c r="D176" s="110"/>
      <c r="E176" s="110"/>
      <c r="F176" s="235">
        <f>ROUND(SUM(F157:F159)*Data!$I$11,0)</f>
        <v>0</v>
      </c>
      <c r="G176" s="236"/>
      <c r="H176" s="552"/>
      <c r="I176" s="237"/>
    </row>
    <row r="177" spans="1:9">
      <c r="A177" s="274"/>
      <c r="B177" s="315" t="s">
        <v>119</v>
      </c>
      <c r="C177" s="108" t="s">
        <v>372</v>
      </c>
      <c r="D177" s="110"/>
      <c r="E177" s="110"/>
      <c r="F177" s="235">
        <f>(SUM(Data!G52*Data!$I$13)*Data!$I$12)</f>
        <v>0</v>
      </c>
      <c r="G177" s="236"/>
      <c r="H177" s="552"/>
      <c r="I177" s="237"/>
    </row>
    <row r="178" spans="1:9">
      <c r="A178" s="274"/>
      <c r="B178" s="315" t="s">
        <v>119</v>
      </c>
      <c r="C178" s="108" t="s">
        <v>373</v>
      </c>
      <c r="D178" s="110"/>
      <c r="E178" s="110"/>
      <c r="F178" s="235">
        <f>(SUM((Data!G60+G104)*Data!$I$13)*Data!$I$12)</f>
        <v>0</v>
      </c>
      <c r="G178" s="236"/>
      <c r="H178" s="552"/>
      <c r="I178" s="237"/>
    </row>
    <row r="179" spans="1:9">
      <c r="A179" s="241"/>
      <c r="B179" s="109" t="s">
        <v>120</v>
      </c>
      <c r="C179" s="110"/>
      <c r="D179" s="110"/>
      <c r="E179" s="110"/>
      <c r="F179" s="235">
        <f>SUM(F152:F178)</f>
        <v>1604810</v>
      </c>
      <c r="G179" s="236"/>
      <c r="H179" s="552"/>
      <c r="I179" s="237"/>
    </row>
    <row r="181" spans="1:9">
      <c r="A181" s="237"/>
      <c r="B181" s="109" t="s">
        <v>18</v>
      </c>
      <c r="C181" s="110"/>
      <c r="D181" s="110"/>
      <c r="E181" s="110"/>
      <c r="F181" s="235">
        <f>Data!G84</f>
        <v>1604810</v>
      </c>
      <c r="G181" s="236"/>
      <c r="H181" s="552"/>
      <c r="I181" s="235">
        <f>F181</f>
        <v>1604810</v>
      </c>
    </row>
    <row r="182" spans="1:9">
      <c r="A182" s="237"/>
      <c r="B182" s="103" t="s">
        <v>121</v>
      </c>
      <c r="C182" s="104"/>
      <c r="D182" s="104"/>
      <c r="E182" s="104"/>
      <c r="F182" s="235">
        <f>F179</f>
        <v>1604810</v>
      </c>
      <c r="G182" s="236"/>
      <c r="H182" s="552"/>
      <c r="I182" s="237"/>
    </row>
    <row r="183" spans="1:9">
      <c r="A183" s="237"/>
      <c r="B183" s="103" t="s">
        <v>122</v>
      </c>
      <c r="C183" s="104"/>
      <c r="D183" s="104"/>
      <c r="E183" s="104"/>
      <c r="F183" s="235">
        <f>F181-F182</f>
        <v>0</v>
      </c>
      <c r="G183" s="236"/>
      <c r="H183" s="552"/>
      <c r="I183" s="237"/>
    </row>
    <row r="185" spans="1:9">
      <c r="A185" s="70" t="s">
        <v>123</v>
      </c>
    </row>
    <row r="186" spans="1:9">
      <c r="A186" s="70" t="s">
        <v>124</v>
      </c>
    </row>
    <row r="187" spans="1:9">
      <c r="A187" s="70" t="s">
        <v>615</v>
      </c>
    </row>
    <row r="189" spans="1:9">
      <c r="G189" s="7"/>
      <c r="H189" s="541"/>
    </row>
    <row r="190" spans="1:9">
      <c r="A190" s="86" t="s">
        <v>125</v>
      </c>
      <c r="B190" s="87"/>
      <c r="C190" s="87"/>
      <c r="E190" s="86" t="s">
        <v>126</v>
      </c>
      <c r="F190" s="87"/>
    </row>
    <row r="192" spans="1:9">
      <c r="G192" s="7"/>
      <c r="H192" s="541"/>
    </row>
    <row r="193" spans="1:6">
      <c r="A193" s="86" t="s">
        <v>127</v>
      </c>
      <c r="B193" s="87"/>
      <c r="C193" s="87"/>
      <c r="E193" s="86" t="s">
        <v>128</v>
      </c>
      <c r="F193" s="87"/>
    </row>
  </sheetData>
  <phoneticPr fontId="0" type="noConversion"/>
  <pageMargins left="0.5" right="0.1" top="0.25" bottom="0.65" header="0.5" footer="0.5"/>
  <pageSetup scale="86" orientation="landscape" horizontalDpi="300" verticalDpi="300" r:id="rId1"/>
  <headerFooter alignWithMargins="0">
    <oddFooter>&amp;CPage &amp;P&amp;R&amp;A</oddFooter>
  </headerFooter>
  <rowBreaks count="4" manualBreakCount="4">
    <brk id="37" max="16383" man="1"/>
    <brk id="72" max="10" man="1"/>
    <brk id="111" max="16383" man="1"/>
    <brk id="1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78"/>
  <sheetViews>
    <sheetView topLeftCell="A10" zoomScale="85" workbookViewId="0">
      <selection activeCell="O16" sqref="O16"/>
    </sheetView>
  </sheetViews>
  <sheetFormatPr defaultRowHeight="12.75"/>
  <cols>
    <col min="1" max="1" width="25.85546875" customWidth="1"/>
    <col min="2" max="2" width="15" customWidth="1"/>
    <col min="3" max="3" width="18" customWidth="1"/>
    <col min="4" max="4" width="9.28515625" customWidth="1"/>
    <col min="5" max="5" width="10.85546875" customWidth="1"/>
    <col min="6" max="6" width="12.140625" customWidth="1"/>
    <col min="7" max="7" width="12.7109375" customWidth="1"/>
    <col min="8" max="8" width="12.7109375" style="507" hidden="1" customWidth="1"/>
    <col min="9" max="9" width="12.85546875" customWidth="1"/>
    <col min="10" max="10" width="10.42578125" customWidth="1"/>
    <col min="11" max="11" width="10.85546875" customWidth="1"/>
  </cols>
  <sheetData>
    <row r="1" spans="1:12" ht="15.75">
      <c r="C1" s="24" t="str">
        <f>Data!$C$1</f>
        <v>ELIZABETHTOWN INDEPENDENT SCHOOLS</v>
      </c>
      <c r="L1" s="459"/>
    </row>
    <row r="2" spans="1:12" ht="15">
      <c r="D2" s="69"/>
      <c r="J2" s="3"/>
      <c r="K2" s="3"/>
    </row>
    <row r="3" spans="1:12" ht="15.75">
      <c r="A3" s="1"/>
      <c r="C3" s="5" t="s">
        <v>2</v>
      </c>
      <c r="D3" s="4"/>
      <c r="E3" s="6"/>
      <c r="F3" s="2"/>
      <c r="G3" s="2"/>
      <c r="H3" s="553"/>
      <c r="I3" s="3"/>
      <c r="J3" s="3"/>
      <c r="K3" s="3"/>
    </row>
    <row r="4" spans="1:12" ht="15.75">
      <c r="A4" s="1"/>
      <c r="B4" s="12"/>
      <c r="D4" s="5" t="s">
        <v>322</v>
      </c>
      <c r="E4" s="6"/>
      <c r="F4" s="2"/>
      <c r="G4" s="2"/>
      <c r="H4" s="553"/>
      <c r="I4" s="3"/>
      <c r="J4" s="3"/>
      <c r="K4" s="3"/>
    </row>
    <row r="5" spans="1:12" ht="15.75">
      <c r="A5" s="1"/>
      <c r="B5" s="12"/>
      <c r="C5" s="13" t="s">
        <v>323</v>
      </c>
      <c r="D5" s="4"/>
      <c r="E5" s="6"/>
      <c r="F5" s="2"/>
      <c r="G5" s="2"/>
      <c r="H5" s="553"/>
      <c r="I5" s="3"/>
      <c r="J5" s="3"/>
      <c r="K5" s="3"/>
    </row>
    <row r="6" spans="1:12" ht="13.5" thickBot="1">
      <c r="A6" s="242" t="str">
        <f>+Data!I7</f>
        <v>2013-2014</v>
      </c>
      <c r="B6" s="74"/>
      <c r="C6" s="73" t="s">
        <v>129</v>
      </c>
    </row>
    <row r="7" spans="1:12">
      <c r="A7" s="146" t="s">
        <v>6</v>
      </c>
      <c r="B7" s="147" t="s">
        <v>27</v>
      </c>
      <c r="C7" s="147" t="s">
        <v>332</v>
      </c>
      <c r="D7" s="147" t="s">
        <v>335</v>
      </c>
      <c r="E7" s="337" t="s">
        <v>28</v>
      </c>
      <c r="F7" s="147" t="s">
        <v>184</v>
      </c>
      <c r="G7" s="149" t="s">
        <v>30</v>
      </c>
      <c r="H7" s="539"/>
    </row>
    <row r="8" spans="1:12" ht="13.5" thickBot="1">
      <c r="A8" s="151"/>
      <c r="B8" s="152"/>
      <c r="C8" s="153" t="s">
        <v>31</v>
      </c>
      <c r="D8" s="153" t="s">
        <v>336</v>
      </c>
      <c r="E8" s="153" t="s">
        <v>32</v>
      </c>
      <c r="F8" s="153" t="s">
        <v>337</v>
      </c>
      <c r="G8" s="154" t="s">
        <v>34</v>
      </c>
      <c r="H8" s="540"/>
    </row>
    <row r="10" spans="1:12" ht="18.75">
      <c r="A10" s="407" t="str">
        <f>Data!C10</f>
        <v>Helmwood</v>
      </c>
      <c r="B10" s="336" t="s">
        <v>35</v>
      </c>
      <c r="C10" s="156">
        <f>ROUND(E10/F10,1)</f>
        <v>0</v>
      </c>
      <c r="D10" s="414">
        <f>ROUND((E10/48),1)</f>
        <v>0</v>
      </c>
      <c r="E10" s="243">
        <f>Data!$B$17</f>
        <v>0</v>
      </c>
      <c r="F10" s="157">
        <v>21</v>
      </c>
      <c r="G10" s="158" t="e">
        <f>ROUND(E10/C10,2)</f>
        <v>#DIV/0!</v>
      </c>
      <c r="H10" s="554"/>
      <c r="I10" t="s">
        <v>328</v>
      </c>
    </row>
    <row r="11" spans="1:12" ht="16.5">
      <c r="B11" s="336" t="s">
        <v>36</v>
      </c>
      <c r="C11" s="156">
        <f>ROUND(E11/F11,1)</f>
        <v>12</v>
      </c>
      <c r="D11" s="414">
        <f>ROUND(E11/24,1)</f>
        <v>10.5</v>
      </c>
      <c r="E11" s="243">
        <f>SUM(Data!$B$18:$B$20)</f>
        <v>252</v>
      </c>
      <c r="F11" s="157">
        <v>21</v>
      </c>
      <c r="G11" s="158">
        <f>ROUND(E11/C11,2)</f>
        <v>21</v>
      </c>
      <c r="H11" s="554"/>
    </row>
    <row r="12" spans="1:12" ht="16.5">
      <c r="B12" s="336" t="s">
        <v>8</v>
      </c>
      <c r="C12" s="156">
        <f>ROUND(E12/F12,1)</f>
        <v>4</v>
      </c>
      <c r="D12" s="414">
        <f>ROUND(E12/28,1)</f>
        <v>3</v>
      </c>
      <c r="E12" s="243">
        <f>Data!$B$22</f>
        <v>85</v>
      </c>
      <c r="F12" s="157">
        <v>21</v>
      </c>
      <c r="G12" s="158">
        <f>ROUND(E12/C12,2)</f>
        <v>21.25</v>
      </c>
      <c r="H12" s="554"/>
    </row>
    <row r="13" spans="1:12" ht="16.5">
      <c r="B13" s="336" t="s">
        <v>9</v>
      </c>
      <c r="C13" s="156">
        <f>ROUND(E13/F13,1)</f>
        <v>3.2</v>
      </c>
      <c r="D13" s="414">
        <f>ROUND(E13/29,1)</f>
        <v>2.2999999999999998</v>
      </c>
      <c r="E13" s="243">
        <f>Data!$B$23</f>
        <v>67</v>
      </c>
      <c r="F13" s="157">
        <v>21</v>
      </c>
      <c r="G13" s="158">
        <f>ROUND(E13/C13,2)</f>
        <v>20.94</v>
      </c>
      <c r="H13" s="554"/>
    </row>
    <row r="14" spans="1:12" ht="13.5" thickBot="1">
      <c r="B14" s="29"/>
      <c r="D14" s="29"/>
    </row>
    <row r="15" spans="1:12" ht="18">
      <c r="A15" s="410" t="s">
        <v>330</v>
      </c>
      <c r="C15" s="440">
        <f>SUM(D10:D13)</f>
        <v>15.8</v>
      </c>
      <c r="E15" s="526">
        <f>SUM(E10:E14)</f>
        <v>404</v>
      </c>
      <c r="F15" s="245"/>
      <c r="G15" s="161"/>
      <c r="H15" s="541"/>
    </row>
    <row r="16" spans="1:12" ht="18">
      <c r="A16" s="412" t="s">
        <v>329</v>
      </c>
      <c r="B16" s="25"/>
      <c r="C16" s="441">
        <f>(SUM(C10:C13))</f>
        <v>19.2</v>
      </c>
      <c r="D16" s="25"/>
      <c r="E16" s="527">
        <v>20</v>
      </c>
      <c r="F16" s="413"/>
      <c r="G16" s="26"/>
      <c r="H16" s="541"/>
    </row>
    <row r="17" spans="1:8" ht="18.75" thickBot="1">
      <c r="A17" s="430" t="s">
        <v>345</v>
      </c>
      <c r="B17" s="25"/>
      <c r="C17" s="442">
        <v>0</v>
      </c>
      <c r="D17" s="25"/>
      <c r="E17" s="527">
        <f>E15/E16</f>
        <v>20.2</v>
      </c>
      <c r="F17" s="413"/>
      <c r="G17" s="26"/>
      <c r="H17" s="541"/>
    </row>
    <row r="18" spans="1:8" ht="18.75" thickTop="1">
      <c r="A18" s="430" t="s">
        <v>346</v>
      </c>
      <c r="B18" s="25"/>
      <c r="C18" s="441">
        <f>C17+C16</f>
        <v>19.2</v>
      </c>
      <c r="D18" s="25"/>
      <c r="E18" s="527"/>
      <c r="F18" s="413"/>
      <c r="G18" s="26"/>
      <c r="H18" s="541"/>
    </row>
    <row r="19" spans="1:8" ht="18.75" thickBot="1">
      <c r="A19" s="168" t="str">
        <f>$A$10</f>
        <v>Helmwood</v>
      </c>
      <c r="B19" s="169" t="s">
        <v>39</v>
      </c>
      <c r="C19" s="259">
        <f>ROUND(C79,1)</f>
        <v>19</v>
      </c>
      <c r="D19" s="170"/>
      <c r="E19" s="528">
        <f>SUM(E10:E13)</f>
        <v>404</v>
      </c>
      <c r="F19" s="171"/>
      <c r="G19" s="30"/>
      <c r="H19" s="541"/>
    </row>
    <row r="20" spans="1:8" ht="15">
      <c r="A20" s="150"/>
      <c r="B20" s="150"/>
      <c r="C20" s="150"/>
      <c r="D20" s="150"/>
      <c r="E20" s="150"/>
      <c r="F20" s="150"/>
      <c r="G20" s="150"/>
      <c r="H20" s="524"/>
    </row>
    <row r="21" spans="1:8" ht="18">
      <c r="A21" s="247" t="s">
        <v>40</v>
      </c>
      <c r="B21" s="150"/>
      <c r="C21" s="175">
        <f>C19-C15</f>
        <v>3.1999999999999993</v>
      </c>
      <c r="E21" s="150"/>
    </row>
    <row r="22" spans="1:8" ht="15">
      <c r="A22" s="150" t="s">
        <v>320</v>
      </c>
      <c r="B22" s="405">
        <f>C19</f>
        <v>19</v>
      </c>
      <c r="C22" s="404">
        <f>E15/B22</f>
        <v>21.263157894736842</v>
      </c>
      <c r="D22" s="150" t="s">
        <v>325</v>
      </c>
      <c r="E22" s="150"/>
    </row>
    <row r="23" spans="1:8" ht="15.75" thickBot="1">
      <c r="A23" s="150"/>
      <c r="B23" s="405"/>
      <c r="C23" s="404"/>
      <c r="D23" s="150"/>
      <c r="E23" s="150"/>
    </row>
    <row r="24" spans="1:8">
      <c r="A24" s="146" t="s">
        <v>6</v>
      </c>
      <c r="B24" s="147" t="s">
        <v>27</v>
      </c>
      <c r="C24" s="147" t="s">
        <v>333</v>
      </c>
      <c r="D24" s="147"/>
      <c r="E24" s="337" t="s">
        <v>28</v>
      </c>
      <c r="F24" s="147" t="s">
        <v>184</v>
      </c>
      <c r="G24" s="149" t="s">
        <v>338</v>
      </c>
      <c r="H24" s="539"/>
    </row>
    <row r="25" spans="1:8" ht="13.5" thickBot="1">
      <c r="A25" s="151"/>
      <c r="B25" s="152"/>
      <c r="C25" s="153" t="s">
        <v>334</v>
      </c>
      <c r="D25" s="153"/>
      <c r="E25" s="153" t="s">
        <v>32</v>
      </c>
      <c r="F25" s="153" t="s">
        <v>337</v>
      </c>
      <c r="G25" s="154" t="s">
        <v>34</v>
      </c>
      <c r="H25" s="540"/>
    </row>
    <row r="26" spans="1:8">
      <c r="A26" s="17"/>
      <c r="B26" s="25"/>
      <c r="C26" s="25"/>
      <c r="D26" s="25"/>
      <c r="E26" s="25"/>
      <c r="F26" s="25"/>
      <c r="G26" s="26"/>
      <c r="H26" s="541"/>
    </row>
    <row r="27" spans="1:8" ht="18.75">
      <c r="A27" s="415" t="str">
        <f>A10</f>
        <v>Helmwood</v>
      </c>
      <c r="B27" s="416" t="s">
        <v>35</v>
      </c>
      <c r="C27" s="417" t="s">
        <v>326</v>
      </c>
      <c r="D27" s="418"/>
      <c r="E27" s="419" t="s">
        <v>405</v>
      </c>
      <c r="F27" s="420" t="s">
        <v>326</v>
      </c>
      <c r="G27" s="421" t="s">
        <v>326</v>
      </c>
      <c r="H27" s="542"/>
    </row>
    <row r="28" spans="1:8" ht="16.5">
      <c r="A28" s="17"/>
      <c r="B28" s="416" t="s">
        <v>36</v>
      </c>
      <c r="C28" s="417">
        <f>E28/F28</f>
        <v>3.7058823529411766</v>
      </c>
      <c r="D28" s="418"/>
      <c r="E28" s="419">
        <f>SUM(Data!$B$18:$B$20)</f>
        <v>252</v>
      </c>
      <c r="F28" s="420">
        <v>68</v>
      </c>
      <c r="G28" s="421">
        <f>ROUND(E28/C28,2)</f>
        <v>68</v>
      </c>
      <c r="H28" s="542"/>
    </row>
    <row r="29" spans="1:8" ht="16.5">
      <c r="A29" s="17"/>
      <c r="B29" s="416" t="s">
        <v>8</v>
      </c>
      <c r="C29" s="417">
        <f>E29/F29</f>
        <v>1.25</v>
      </c>
      <c r="D29" s="418"/>
      <c r="E29" s="419">
        <f>Data!$B$22</f>
        <v>85</v>
      </c>
      <c r="F29" s="420">
        <v>68</v>
      </c>
      <c r="G29" s="421">
        <f>ROUND(E29/C29,2)</f>
        <v>68</v>
      </c>
      <c r="H29" s="542"/>
    </row>
    <row r="30" spans="1:8" ht="16.5">
      <c r="A30" s="17"/>
      <c r="B30" s="416" t="s">
        <v>9</v>
      </c>
      <c r="C30" s="417">
        <f>E30/F30</f>
        <v>0.98529411764705888</v>
      </c>
      <c r="D30" s="418"/>
      <c r="E30" s="419">
        <f>Data!$B$23</f>
        <v>67</v>
      </c>
      <c r="F30" s="420">
        <v>68</v>
      </c>
      <c r="G30" s="421">
        <f>ROUND(E30/C30,2)</f>
        <v>68</v>
      </c>
      <c r="H30" s="542"/>
    </row>
    <row r="31" spans="1:8" ht="13.5" thickBot="1">
      <c r="A31" s="38"/>
      <c r="B31" s="219"/>
      <c r="C31" s="219"/>
      <c r="D31" s="219"/>
      <c r="E31" s="219"/>
      <c r="F31" s="219"/>
      <c r="G31" s="423"/>
      <c r="H31" s="541"/>
    </row>
    <row r="32" spans="1:8" ht="15.75" thickTop="1">
      <c r="A32" s="412" t="s">
        <v>352</v>
      </c>
      <c r="B32" s="424"/>
      <c r="C32" s="425">
        <f>SUM(C27:C31)</f>
        <v>5.9411764705882355</v>
      </c>
      <c r="D32" s="426"/>
      <c r="E32" s="426"/>
      <c r="F32" s="288"/>
      <c r="G32" s="289"/>
      <c r="H32" s="541"/>
    </row>
    <row r="33" spans="1:10" ht="15.75" thickBot="1">
      <c r="A33" s="430" t="s">
        <v>353</v>
      </c>
      <c r="B33" s="439"/>
      <c r="C33" s="443">
        <v>0</v>
      </c>
      <c r="D33" s="167"/>
      <c r="E33" s="167"/>
      <c r="F33" s="25"/>
      <c r="G33" s="26"/>
      <c r="H33" s="541"/>
    </row>
    <row r="34" spans="1:10" ht="15.75" thickTop="1">
      <c r="A34" s="430" t="s">
        <v>354</v>
      </c>
      <c r="B34" s="439"/>
      <c r="C34" s="428">
        <f>(C33+C32)</f>
        <v>5.9411764705882355</v>
      </c>
      <c r="D34" s="167"/>
      <c r="E34" s="167"/>
      <c r="F34" s="25"/>
      <c r="G34" s="26"/>
      <c r="H34" s="541"/>
    </row>
    <row r="35" spans="1:10" ht="15.75" thickBot="1">
      <c r="A35" s="168" t="str">
        <f>$A$10</f>
        <v>Helmwood</v>
      </c>
      <c r="B35" s="169" t="s">
        <v>339</v>
      </c>
      <c r="C35" s="422">
        <f>D118</f>
        <v>6</v>
      </c>
      <c r="D35" s="173"/>
      <c r="E35" s="173"/>
      <c r="F35" s="29"/>
      <c r="G35" s="30"/>
      <c r="H35" s="541"/>
    </row>
    <row r="36" spans="1:10" ht="19.5" thickBot="1">
      <c r="A36" s="179" t="str">
        <f>A10</f>
        <v>Helmwood</v>
      </c>
      <c r="C36" s="180" t="str">
        <f>+Data!$I$7</f>
        <v>2013-2014</v>
      </c>
      <c r="D36" s="120"/>
      <c r="E36" s="181" t="s">
        <v>41</v>
      </c>
      <c r="F36" s="150"/>
      <c r="G36" s="150"/>
      <c r="H36" s="524"/>
    </row>
    <row r="37" spans="1:10" ht="15.75">
      <c r="A37" s="182" t="s">
        <v>42</v>
      </c>
      <c r="B37" s="183" t="s">
        <v>43</v>
      </c>
      <c r="C37" s="184" t="s">
        <v>44</v>
      </c>
      <c r="D37" s="184"/>
      <c r="E37" s="184"/>
      <c r="F37" s="183" t="s">
        <v>45</v>
      </c>
      <c r="G37" s="183" t="s">
        <v>46</v>
      </c>
      <c r="H37" s="505" t="s">
        <v>446</v>
      </c>
      <c r="I37" s="183" t="s">
        <v>47</v>
      </c>
      <c r="J37" s="409" t="s">
        <v>459</v>
      </c>
    </row>
    <row r="38" spans="1:10" ht="16.5" thickBot="1">
      <c r="A38" s="185" t="s">
        <v>19</v>
      </c>
      <c r="B38" s="186" t="s">
        <v>48</v>
      </c>
      <c r="C38" s="173"/>
      <c r="D38" s="173"/>
      <c r="E38" s="173"/>
      <c r="F38" s="173"/>
      <c r="G38" s="173"/>
      <c r="H38" s="506"/>
      <c r="I38" s="173"/>
      <c r="J38" s="621" t="str">
        <f>+C36</f>
        <v>2013-2014</v>
      </c>
    </row>
    <row r="40" spans="1:10" ht="15.75">
      <c r="A40" s="317" t="s">
        <v>130</v>
      </c>
      <c r="B40" s="188">
        <v>1</v>
      </c>
      <c r="C40" s="464" t="s">
        <v>146</v>
      </c>
      <c r="D40" s="150"/>
      <c r="F40" s="189" t="s">
        <v>11</v>
      </c>
      <c r="G40" s="395">
        <v>18</v>
      </c>
      <c r="H40" s="543">
        <f>G40+1</f>
        <v>19</v>
      </c>
      <c r="I40" s="395">
        <v>1</v>
      </c>
      <c r="J40" s="53">
        <f>VLOOKUP(G40,Data!$B$120:$G$151,I40+1)*B40</f>
        <v>57554</v>
      </c>
    </row>
    <row r="41" spans="1:10" ht="6.75" customHeight="1">
      <c r="A41" s="253"/>
      <c r="B41" s="188"/>
      <c r="C41" s="248"/>
      <c r="D41" s="150"/>
      <c r="F41" s="255"/>
      <c r="I41" s="395"/>
      <c r="J41" s="53"/>
    </row>
    <row r="42" spans="1:10" ht="15.75">
      <c r="A42" s="317" t="s">
        <v>130</v>
      </c>
      <c r="B42" s="188">
        <v>0</v>
      </c>
      <c r="C42" s="248"/>
      <c r="D42" s="150"/>
      <c r="F42" s="255" t="s">
        <v>50</v>
      </c>
      <c r="I42" s="395"/>
      <c r="J42" s="53">
        <f>VLOOKUP(G42,Data!$B$120:$G$151,I42+1)*B42</f>
        <v>0</v>
      </c>
    </row>
    <row r="43" spans="1:10" ht="15.75">
      <c r="A43" s="253" t="s">
        <v>326</v>
      </c>
      <c r="B43" s="188"/>
      <c r="C43" s="248"/>
      <c r="D43" s="150"/>
      <c r="F43" s="189" t="s">
        <v>326</v>
      </c>
      <c r="I43" s="395"/>
      <c r="J43" s="53"/>
    </row>
    <row r="44" spans="1:10" ht="5.25" customHeight="1">
      <c r="A44" s="253"/>
      <c r="B44" s="188"/>
      <c r="C44" s="248"/>
      <c r="D44" s="150"/>
      <c r="F44" s="189"/>
      <c r="I44" s="395"/>
      <c r="J44" s="53"/>
    </row>
    <row r="45" spans="1:10" ht="15.75">
      <c r="A45" s="317" t="s">
        <v>131</v>
      </c>
      <c r="B45" s="188">
        <v>1</v>
      </c>
      <c r="C45" s="464" t="s">
        <v>303</v>
      </c>
      <c r="D45" s="150"/>
      <c r="F45" s="189" t="s">
        <v>52</v>
      </c>
      <c r="G45" s="395">
        <v>16</v>
      </c>
      <c r="H45" s="543">
        <f>G45+1</f>
        <v>17</v>
      </c>
      <c r="I45" s="395">
        <v>1</v>
      </c>
      <c r="J45" s="53">
        <f>VLOOKUP(G45,Data!$B$120:$G$151,I45+1)*B45</f>
        <v>56350</v>
      </c>
    </row>
    <row r="46" spans="1:10" ht="15.75">
      <c r="A46" s="253" t="s">
        <v>326</v>
      </c>
      <c r="B46" s="323" t="s">
        <v>326</v>
      </c>
      <c r="C46" s="191"/>
      <c r="D46" s="150"/>
      <c r="F46" s="189" t="s">
        <v>326</v>
      </c>
      <c r="I46" s="396"/>
      <c r="J46" s="53" t="s">
        <v>326</v>
      </c>
    </row>
    <row r="47" spans="1:10" ht="6" customHeight="1">
      <c r="A47" s="253"/>
      <c r="B47" s="190"/>
      <c r="C47" s="191"/>
      <c r="D47" s="150"/>
      <c r="F47" s="189"/>
      <c r="I47" s="396"/>
      <c r="J47" s="53"/>
    </row>
    <row r="48" spans="1:10" ht="15.75">
      <c r="A48" s="317" t="s">
        <v>132</v>
      </c>
      <c r="B48" s="188">
        <v>1</v>
      </c>
      <c r="C48" s="464" t="s">
        <v>422</v>
      </c>
      <c r="D48" s="150"/>
      <c r="F48" s="189" t="s">
        <v>54</v>
      </c>
      <c r="G48" s="395">
        <v>14</v>
      </c>
      <c r="H48" s="543">
        <f>G48+1</f>
        <v>15</v>
      </c>
      <c r="I48" s="395">
        <v>2</v>
      </c>
      <c r="J48" s="53">
        <f>VLOOKUP(G48,Data!$B$120:$G$151,I48+1)*B48</f>
        <v>50477</v>
      </c>
    </row>
    <row r="49" spans="1:10" ht="6" customHeight="1">
      <c r="A49" s="253"/>
      <c r="B49" s="188"/>
      <c r="C49" s="248"/>
      <c r="D49" s="150"/>
      <c r="F49" s="189"/>
      <c r="I49" s="188"/>
      <c r="J49" s="53"/>
    </row>
    <row r="50" spans="1:10" ht="15.75">
      <c r="A50" s="253" t="s">
        <v>326</v>
      </c>
      <c r="B50" s="188"/>
      <c r="C50" s="248"/>
      <c r="D50" s="150"/>
      <c r="F50" s="189" t="s">
        <v>326</v>
      </c>
      <c r="I50" s="188"/>
      <c r="J50" s="53"/>
    </row>
    <row r="51" spans="1:10" ht="6.75" customHeight="1">
      <c r="A51" s="254"/>
      <c r="B51" s="150"/>
      <c r="C51" s="174"/>
      <c r="D51" s="150"/>
      <c r="F51" s="189"/>
      <c r="I51" s="150"/>
      <c r="J51" s="53"/>
    </row>
    <row r="52" spans="1:10" ht="15.75">
      <c r="A52" s="317" t="s">
        <v>133</v>
      </c>
      <c r="B52" s="188">
        <v>1</v>
      </c>
      <c r="C52" s="464" t="s">
        <v>464</v>
      </c>
      <c r="D52" s="150"/>
      <c r="F52" s="189" t="s">
        <v>57</v>
      </c>
      <c r="G52" s="395">
        <v>18</v>
      </c>
      <c r="H52" s="543">
        <f t="shared" ref="H52:H70" si="0">G52+1</f>
        <v>19</v>
      </c>
      <c r="I52" s="395">
        <v>1</v>
      </c>
      <c r="J52" s="53">
        <f>VLOOKUP(G52,Data!$B$120:$G$151,I52+1)*B52</f>
        <v>57554</v>
      </c>
    </row>
    <row r="53" spans="1:10" ht="15.75">
      <c r="A53" s="317" t="s">
        <v>133</v>
      </c>
      <c r="B53" s="188">
        <v>1</v>
      </c>
      <c r="C53" s="464" t="s">
        <v>451</v>
      </c>
      <c r="D53" s="150"/>
      <c r="E53" t="s">
        <v>326</v>
      </c>
      <c r="F53" s="189" t="s">
        <v>57</v>
      </c>
      <c r="G53" s="395">
        <v>12</v>
      </c>
      <c r="H53" s="543">
        <f t="shared" si="0"/>
        <v>13</v>
      </c>
      <c r="I53" s="395">
        <v>1</v>
      </c>
      <c r="J53" s="53">
        <f>VLOOKUP(G53,Data!$B$120:$G$151,I53+1)*B53</f>
        <v>53232</v>
      </c>
    </row>
    <row r="54" spans="1:10" ht="15.75">
      <c r="A54" s="317" t="s">
        <v>133</v>
      </c>
      <c r="B54" s="188">
        <v>1</v>
      </c>
      <c r="C54" s="464" t="s">
        <v>486</v>
      </c>
      <c r="D54" s="150"/>
      <c r="F54" s="189" t="s">
        <v>57</v>
      </c>
      <c r="G54" s="395">
        <v>24</v>
      </c>
      <c r="H54" s="543">
        <f t="shared" si="0"/>
        <v>25</v>
      </c>
      <c r="I54" s="395">
        <v>1</v>
      </c>
      <c r="J54" s="53">
        <f>VLOOKUP(G54,Data!$B$120:$G$151,I54+1)*B54</f>
        <v>61666</v>
      </c>
    </row>
    <row r="55" spans="1:10" ht="15.75">
      <c r="A55" s="317" t="s">
        <v>133</v>
      </c>
      <c r="B55" s="188">
        <v>1</v>
      </c>
      <c r="C55" s="641" t="s">
        <v>522</v>
      </c>
      <c r="D55" s="150"/>
      <c r="E55" t="s">
        <v>326</v>
      </c>
      <c r="F55" s="189" t="s">
        <v>57</v>
      </c>
      <c r="G55" s="395">
        <v>9</v>
      </c>
      <c r="H55" s="543">
        <f t="shared" si="0"/>
        <v>10</v>
      </c>
      <c r="I55" s="395">
        <v>1</v>
      </c>
      <c r="J55" s="53">
        <f>VLOOKUP(G55,Data!$B$120:$G$151,I55+1)*B55</f>
        <v>49323</v>
      </c>
    </row>
    <row r="56" spans="1:10" ht="15.75">
      <c r="A56" s="317" t="s">
        <v>133</v>
      </c>
      <c r="B56" s="188">
        <v>1</v>
      </c>
      <c r="C56" s="464" t="s">
        <v>407</v>
      </c>
      <c r="D56" s="150"/>
      <c r="E56" t="s">
        <v>326</v>
      </c>
      <c r="F56" s="189" t="s">
        <v>57</v>
      </c>
      <c r="G56" s="395">
        <v>21</v>
      </c>
      <c r="H56" s="543">
        <f t="shared" si="0"/>
        <v>22</v>
      </c>
      <c r="I56" s="395">
        <v>1</v>
      </c>
      <c r="J56" s="53">
        <f>VLOOKUP(G56,Data!$B$120:$G$151,I56+1)*B56</f>
        <v>59743</v>
      </c>
    </row>
    <row r="57" spans="1:10" ht="15.75">
      <c r="A57" s="317" t="s">
        <v>133</v>
      </c>
      <c r="B57" s="188">
        <v>1</v>
      </c>
      <c r="C57" s="464" t="s">
        <v>413</v>
      </c>
      <c r="D57" s="150"/>
      <c r="E57" t="s">
        <v>326</v>
      </c>
      <c r="F57" s="189" t="s">
        <v>57</v>
      </c>
      <c r="G57" s="395">
        <v>12</v>
      </c>
      <c r="H57" s="543">
        <f t="shared" si="0"/>
        <v>13</v>
      </c>
      <c r="I57" s="395">
        <v>2</v>
      </c>
      <c r="J57" s="53">
        <f>VLOOKUP(G57,Data!$B$120:$G$151,I57+1)*B57</f>
        <v>49287</v>
      </c>
    </row>
    <row r="58" spans="1:10" ht="15.75">
      <c r="A58" s="317" t="s">
        <v>133</v>
      </c>
      <c r="B58" s="188">
        <v>1</v>
      </c>
      <c r="C58" s="464" t="s">
        <v>443</v>
      </c>
      <c r="D58" s="464" t="s">
        <v>326</v>
      </c>
      <c r="F58" s="189" t="s">
        <v>57</v>
      </c>
      <c r="G58" s="395">
        <v>14</v>
      </c>
      <c r="H58" s="543">
        <f t="shared" si="0"/>
        <v>15</v>
      </c>
      <c r="I58" s="395">
        <v>1</v>
      </c>
      <c r="J58" s="53">
        <f>VLOOKUP(G58,Data!$B$120:$G$151,I58+1)*B58</f>
        <v>54441</v>
      </c>
    </row>
    <row r="59" spans="1:10" ht="15.75">
      <c r="A59" s="317" t="s">
        <v>133</v>
      </c>
      <c r="B59" s="188">
        <v>1</v>
      </c>
      <c r="C59" s="464" t="s">
        <v>391</v>
      </c>
      <c r="D59" s="150"/>
      <c r="E59" t="s">
        <v>326</v>
      </c>
      <c r="F59" s="189" t="s">
        <v>57</v>
      </c>
      <c r="G59" s="395">
        <v>18</v>
      </c>
      <c r="H59" s="543">
        <f t="shared" si="0"/>
        <v>19</v>
      </c>
      <c r="I59" s="395">
        <v>1</v>
      </c>
      <c r="J59" s="53">
        <f>VLOOKUP(G59,Data!$B$120:$G$151,I59+1)*B59</f>
        <v>57554</v>
      </c>
    </row>
    <row r="60" spans="1:10" ht="15.75">
      <c r="A60" s="317" t="s">
        <v>133</v>
      </c>
      <c r="B60" s="188">
        <v>1</v>
      </c>
      <c r="C60" s="464" t="s">
        <v>134</v>
      </c>
      <c r="D60" s="150"/>
      <c r="F60" s="189" t="s">
        <v>57</v>
      </c>
      <c r="G60" s="395">
        <v>28</v>
      </c>
      <c r="H60" s="543">
        <f t="shared" si="0"/>
        <v>29</v>
      </c>
      <c r="I60" s="395">
        <v>1</v>
      </c>
      <c r="J60" s="53">
        <f>VLOOKUP(G60,Data!$B$120:$G$151,I60+1)*B60</f>
        <v>62266</v>
      </c>
    </row>
    <row r="61" spans="1:10" ht="15.75">
      <c r="A61" s="317" t="s">
        <v>133</v>
      </c>
      <c r="B61" s="188">
        <v>1</v>
      </c>
      <c r="C61" s="641" t="s">
        <v>500</v>
      </c>
      <c r="D61" s="150"/>
      <c r="F61" s="189" t="s">
        <v>57</v>
      </c>
      <c r="G61" s="395">
        <v>13</v>
      </c>
      <c r="H61" s="543">
        <f t="shared" si="0"/>
        <v>14</v>
      </c>
      <c r="I61" s="395">
        <v>2</v>
      </c>
      <c r="J61" s="53">
        <f>VLOOKUP(G61,Data!$B$120:$G$151,I61+1)*B61</f>
        <v>49885</v>
      </c>
    </row>
    <row r="62" spans="1:10" ht="15.75">
      <c r="A62" s="317" t="s">
        <v>133</v>
      </c>
      <c r="B62" s="188">
        <v>1</v>
      </c>
      <c r="C62" s="675" t="s">
        <v>589</v>
      </c>
      <c r="D62" s="150"/>
      <c r="E62" t="s">
        <v>326</v>
      </c>
      <c r="F62" s="189" t="s">
        <v>57</v>
      </c>
      <c r="G62" s="395">
        <v>24</v>
      </c>
      <c r="H62" s="543">
        <f t="shared" si="0"/>
        <v>25</v>
      </c>
      <c r="I62" s="395">
        <v>2</v>
      </c>
      <c r="J62" s="53">
        <f>VLOOKUP(G62,Data!$B$120:$G$151,I62+1)*B62</f>
        <v>57056</v>
      </c>
    </row>
    <row r="63" spans="1:10" ht="15.75">
      <c r="A63" s="317" t="s">
        <v>133</v>
      </c>
      <c r="B63" s="188">
        <v>1</v>
      </c>
      <c r="C63" s="464" t="s">
        <v>135</v>
      </c>
      <c r="D63" s="150"/>
      <c r="E63" t="s">
        <v>326</v>
      </c>
      <c r="F63" s="189" t="s">
        <v>57</v>
      </c>
      <c r="G63" s="395">
        <v>23</v>
      </c>
      <c r="H63" s="543">
        <f t="shared" si="0"/>
        <v>24</v>
      </c>
      <c r="I63" s="395">
        <v>1</v>
      </c>
      <c r="J63" s="53">
        <f>VLOOKUP(G63,Data!$B$120:$G$151,I63+1)*B63</f>
        <v>60550</v>
      </c>
    </row>
    <row r="64" spans="1:10" ht="15.75">
      <c r="A64" s="317" t="s">
        <v>133</v>
      </c>
      <c r="B64" s="188">
        <v>1</v>
      </c>
      <c r="C64" s="464" t="s">
        <v>136</v>
      </c>
      <c r="D64" s="150"/>
      <c r="F64" s="189" t="s">
        <v>57</v>
      </c>
      <c r="G64" s="395">
        <v>23</v>
      </c>
      <c r="H64" s="543">
        <f t="shared" si="0"/>
        <v>24</v>
      </c>
      <c r="I64" s="395">
        <v>1</v>
      </c>
      <c r="J64" s="53">
        <f>VLOOKUP(G64,Data!$B$120:$G$151,I64+1)*B64</f>
        <v>60550</v>
      </c>
    </row>
    <row r="65" spans="1:11" ht="15.75">
      <c r="A65" s="317" t="s">
        <v>133</v>
      </c>
      <c r="B65" s="188">
        <v>1</v>
      </c>
      <c r="C65" s="464" t="s">
        <v>436</v>
      </c>
      <c r="D65" s="150"/>
      <c r="F65" s="189" t="s">
        <v>57</v>
      </c>
      <c r="G65" s="395">
        <v>16</v>
      </c>
      <c r="H65" s="543">
        <f t="shared" si="0"/>
        <v>17</v>
      </c>
      <c r="I65" s="395">
        <v>1</v>
      </c>
      <c r="J65" s="53">
        <f>VLOOKUP(G65,Data!$B$120:$G$151,I65+1)*B65</f>
        <v>56350</v>
      </c>
    </row>
    <row r="66" spans="1:11" ht="15.75">
      <c r="A66" s="317" t="s">
        <v>133</v>
      </c>
      <c r="B66" s="188">
        <v>1</v>
      </c>
      <c r="C66" s="464" t="s">
        <v>512</v>
      </c>
      <c r="D66" s="150"/>
      <c r="F66" s="189" t="s">
        <v>57</v>
      </c>
      <c r="G66" s="395">
        <v>4</v>
      </c>
      <c r="H66" s="543">
        <f>G66+1</f>
        <v>5</v>
      </c>
      <c r="I66" s="395">
        <v>3</v>
      </c>
      <c r="J66" s="53">
        <f>VLOOKUP(G66,Data!$B$120:$G$151,I66+1)*B66</f>
        <v>39103</v>
      </c>
    </row>
    <row r="67" spans="1:11" ht="15.75">
      <c r="A67" s="317" t="s">
        <v>133</v>
      </c>
      <c r="B67" s="188">
        <v>1</v>
      </c>
      <c r="C67" s="675" t="s">
        <v>588</v>
      </c>
      <c r="D67" s="150"/>
      <c r="E67" t="s">
        <v>326</v>
      </c>
      <c r="F67" s="189" t="s">
        <v>57</v>
      </c>
      <c r="G67" s="395">
        <v>28</v>
      </c>
      <c r="H67" s="543">
        <f t="shared" si="0"/>
        <v>29</v>
      </c>
      <c r="I67" s="395">
        <v>2</v>
      </c>
      <c r="J67" s="53">
        <f>VLOOKUP(G67,Data!$B$120:$G$151,I67+1)*B67</f>
        <v>57656</v>
      </c>
    </row>
    <row r="68" spans="1:11" ht="15.75">
      <c r="A68" s="317" t="s">
        <v>133</v>
      </c>
      <c r="B68" s="188">
        <v>1</v>
      </c>
      <c r="C68" s="464" t="s">
        <v>423</v>
      </c>
      <c r="D68" s="150"/>
      <c r="E68" t="s">
        <v>326</v>
      </c>
      <c r="F68" s="189" t="s">
        <v>57</v>
      </c>
      <c r="G68" s="395">
        <v>13</v>
      </c>
      <c r="H68" s="543">
        <f t="shared" si="0"/>
        <v>14</v>
      </c>
      <c r="I68" s="395">
        <v>1</v>
      </c>
      <c r="J68" s="53">
        <f>VLOOKUP(G68,Data!$B$120:$G$151,I68+1)*B68</f>
        <v>53835</v>
      </c>
    </row>
    <row r="69" spans="1:11" ht="15.75">
      <c r="A69" s="317" t="s">
        <v>133</v>
      </c>
      <c r="B69" s="188">
        <v>1</v>
      </c>
      <c r="C69" s="464" t="s">
        <v>302</v>
      </c>
      <c r="D69" s="150"/>
      <c r="F69" s="189" t="s">
        <v>57</v>
      </c>
      <c r="G69" s="395">
        <v>16</v>
      </c>
      <c r="H69" s="543">
        <f t="shared" si="0"/>
        <v>17</v>
      </c>
      <c r="I69" s="395">
        <v>2</v>
      </c>
      <c r="J69" s="53">
        <f>VLOOKUP(G69,Data!$B$120:$G$151,I69+1)*B69</f>
        <v>52418</v>
      </c>
    </row>
    <row r="70" spans="1:11" ht="15.75">
      <c r="A70" s="317" t="s">
        <v>133</v>
      </c>
      <c r="B70" s="188">
        <v>1</v>
      </c>
      <c r="C70" s="464" t="s">
        <v>301</v>
      </c>
      <c r="D70" s="150"/>
      <c r="E70" t="s">
        <v>326</v>
      </c>
      <c r="F70" s="189" t="s">
        <v>57</v>
      </c>
      <c r="G70" s="395">
        <v>18</v>
      </c>
      <c r="H70" s="543">
        <f t="shared" si="0"/>
        <v>19</v>
      </c>
      <c r="I70" s="395">
        <v>2</v>
      </c>
      <c r="J70" s="53">
        <f>VLOOKUP(G70,Data!$B$120:$G$151,I70+1)*B70</f>
        <v>53623</v>
      </c>
      <c r="K70" t="s">
        <v>326</v>
      </c>
    </row>
    <row r="71" spans="1:11" ht="15.75">
      <c r="A71" s="317"/>
      <c r="B71" s="188"/>
      <c r="C71" s="579"/>
      <c r="D71" s="150"/>
      <c r="F71" s="189"/>
      <c r="G71" s="395"/>
      <c r="H71" s="543"/>
      <c r="I71" s="395"/>
      <c r="J71" s="53"/>
    </row>
    <row r="72" spans="1:11" ht="15.75">
      <c r="B72" s="73" t="s">
        <v>60</v>
      </c>
      <c r="C72" s="579"/>
      <c r="E72" s="193"/>
      <c r="F72" s="74" t="str">
        <f>C36</f>
        <v>2013-2014</v>
      </c>
      <c r="I72" s="188"/>
    </row>
    <row r="73" spans="1:11" ht="15" thickBot="1">
      <c r="C73" s="579"/>
      <c r="E73" s="193"/>
    </row>
    <row r="74" spans="1:11" ht="15" thickTop="1">
      <c r="A74" s="356" t="s">
        <v>11</v>
      </c>
      <c r="B74" s="195"/>
      <c r="C74" s="642">
        <f>B40</f>
        <v>1</v>
      </c>
      <c r="D74" s="197"/>
      <c r="E74" s="198"/>
      <c r="F74" s="197"/>
      <c r="G74" s="197"/>
      <c r="H74" s="509"/>
      <c r="I74" s="197"/>
      <c r="J74" s="199">
        <f>J40</f>
        <v>57554</v>
      </c>
    </row>
    <row r="75" spans="1:11" ht="15.75">
      <c r="A75" s="357" t="s">
        <v>61</v>
      </c>
      <c r="B75" s="79"/>
      <c r="C75" s="643">
        <f>SUM(B42:B43)</f>
        <v>0</v>
      </c>
      <c r="D75" s="201"/>
      <c r="E75" s="201"/>
      <c r="F75" s="201"/>
      <c r="G75" s="201"/>
      <c r="H75" s="510"/>
      <c r="I75" s="188"/>
      <c r="J75" s="202">
        <f>SUM(J42:J43)</f>
        <v>0</v>
      </c>
    </row>
    <row r="76" spans="1:11">
      <c r="A76" s="357" t="s">
        <v>62</v>
      </c>
      <c r="B76" s="79"/>
      <c r="C76" s="643">
        <f>SUM(B45:B46)</f>
        <v>1</v>
      </c>
      <c r="D76" s="201"/>
      <c r="E76" s="201"/>
      <c r="F76" s="201"/>
      <c r="G76" s="201"/>
      <c r="H76" s="510"/>
      <c r="I76" s="201"/>
      <c r="J76" s="202">
        <f>SUM(J45:J46)</f>
        <v>56350</v>
      </c>
    </row>
    <row r="77" spans="1:11">
      <c r="A77" s="357" t="s">
        <v>63</v>
      </c>
      <c r="B77" s="79"/>
      <c r="C77" s="643">
        <f>SUM(B48:B48)</f>
        <v>1</v>
      </c>
      <c r="D77" s="201"/>
      <c r="E77" s="201"/>
      <c r="F77" s="201"/>
      <c r="G77" s="201"/>
      <c r="H77" s="510"/>
      <c r="I77" s="201"/>
      <c r="J77" s="202">
        <f>SUM(J48:J48)</f>
        <v>50477</v>
      </c>
    </row>
    <row r="78" spans="1:11">
      <c r="A78" s="357" t="s">
        <v>55</v>
      </c>
      <c r="B78" s="79"/>
      <c r="C78" s="643">
        <f>SUM(B50:B50)</f>
        <v>0</v>
      </c>
      <c r="D78" s="201"/>
      <c r="E78" s="201"/>
      <c r="F78" s="201"/>
      <c r="G78" s="201"/>
      <c r="H78" s="510"/>
      <c r="I78" s="201"/>
      <c r="J78" s="202">
        <f>SUM(J50:J50)</f>
        <v>0</v>
      </c>
    </row>
    <row r="79" spans="1:11" ht="13.5" thickBot="1">
      <c r="A79" s="358" t="s">
        <v>57</v>
      </c>
      <c r="B79" s="204"/>
      <c r="C79" s="380">
        <f>SUM(B51:B71)</f>
        <v>19</v>
      </c>
      <c r="D79" s="206"/>
      <c r="E79" s="206"/>
      <c r="F79" s="206"/>
      <c r="G79" s="206"/>
      <c r="H79" s="511"/>
      <c r="I79" s="206"/>
      <c r="J79" s="207">
        <f>SUM(J51:J71)</f>
        <v>1046092</v>
      </c>
    </row>
    <row r="80" spans="1:11" ht="14.25" thickTop="1" thickBot="1">
      <c r="A80" s="358" t="s">
        <v>28</v>
      </c>
      <c r="B80" s="204"/>
      <c r="C80" s="380">
        <f>SUM(C74:C79)</f>
        <v>22</v>
      </c>
      <c r="D80" s="206"/>
      <c r="E80" s="206"/>
      <c r="F80" s="206"/>
      <c r="G80" s="206"/>
      <c r="H80" s="511"/>
      <c r="I80" s="206"/>
      <c r="J80" s="207">
        <f>SUM(J74:J79)</f>
        <v>1210473</v>
      </c>
    </row>
    <row r="81" spans="1:10" ht="13.5" thickTop="1">
      <c r="A81" s="353"/>
      <c r="B81" s="353"/>
      <c r="C81" s="644"/>
      <c r="D81" s="352"/>
      <c r="E81" s="352"/>
      <c r="F81" s="352"/>
      <c r="G81" s="352"/>
      <c r="H81" s="512"/>
      <c r="I81" s="352"/>
      <c r="J81" s="354"/>
    </row>
    <row r="82" spans="1:10" ht="13.5" thickBot="1">
      <c r="A82" s="353"/>
      <c r="B82" s="353"/>
      <c r="C82" s="644"/>
      <c r="D82" s="352"/>
      <c r="E82" s="352"/>
      <c r="F82" s="352"/>
      <c r="G82" s="352"/>
      <c r="H82" s="512"/>
      <c r="I82" s="352"/>
      <c r="J82" s="354"/>
    </row>
    <row r="83" spans="1:10">
      <c r="A83" s="491" t="s">
        <v>454</v>
      </c>
      <c r="B83" s="492"/>
      <c r="C83" s="645"/>
      <c r="D83" s="494"/>
      <c r="E83" s="494"/>
      <c r="F83" s="494"/>
      <c r="G83" s="494"/>
      <c r="H83" s="513"/>
      <c r="I83" s="513"/>
      <c r="J83" s="495"/>
    </row>
    <row r="84" spans="1:10" ht="15.75">
      <c r="A84" s="317" t="s">
        <v>489</v>
      </c>
      <c r="B84" s="188">
        <v>1</v>
      </c>
      <c r="C84" s="673" t="s">
        <v>587</v>
      </c>
      <c r="D84" s="150"/>
      <c r="E84" t="s">
        <v>326</v>
      </c>
      <c r="F84" s="189" t="s">
        <v>487</v>
      </c>
      <c r="G84" s="395">
        <v>21</v>
      </c>
      <c r="H84" s="543">
        <f>G84+1</f>
        <v>22</v>
      </c>
      <c r="I84" s="395">
        <v>1</v>
      </c>
      <c r="J84" s="53">
        <f>VLOOKUP(G84,Data!$B$120:$G$151,I84+1)*B84</f>
        <v>59743</v>
      </c>
    </row>
    <row r="85" spans="1:10" ht="16.5" thickBot="1">
      <c r="A85" s="500" t="s">
        <v>28</v>
      </c>
      <c r="B85" s="498"/>
      <c r="C85" s="646"/>
      <c r="D85" s="29"/>
      <c r="E85" s="292"/>
      <c r="F85" s="387"/>
      <c r="G85" s="292"/>
      <c r="H85" s="515"/>
      <c r="I85" s="515"/>
      <c r="J85" s="499">
        <f>SUM(J83:J84)</f>
        <v>59743</v>
      </c>
    </row>
    <row r="86" spans="1:10" ht="15.75">
      <c r="A86" s="501"/>
      <c r="B86" s="502"/>
      <c r="C86" s="25"/>
      <c r="D86" s="25"/>
      <c r="E86" s="302"/>
      <c r="F86" s="503"/>
      <c r="G86" s="302"/>
      <c r="H86" s="516"/>
      <c r="I86" s="516"/>
      <c r="J86" s="504"/>
    </row>
    <row r="87" spans="1:10" ht="13.5" thickBot="1">
      <c r="A87" s="352"/>
      <c r="B87" s="353"/>
      <c r="C87" s="278"/>
      <c r="D87" s="352"/>
      <c r="E87" s="352"/>
      <c r="F87" s="352"/>
      <c r="G87" s="352"/>
      <c r="H87" s="512"/>
      <c r="I87" s="512"/>
      <c r="J87" s="354"/>
    </row>
    <row r="88" spans="1:10">
      <c r="A88" s="491" t="s">
        <v>460</v>
      </c>
      <c r="B88" s="492"/>
      <c r="C88" s="493"/>
      <c r="D88" s="494"/>
      <c r="E88" s="494"/>
      <c r="F88" s="494"/>
      <c r="G88" s="494"/>
      <c r="H88" s="513"/>
      <c r="I88" s="513"/>
      <c r="J88" s="495"/>
    </row>
    <row r="89" spans="1:10">
      <c r="A89" s="496"/>
      <c r="B89" s="353"/>
      <c r="C89" s="278"/>
      <c r="D89" s="352"/>
      <c r="E89" s="352"/>
      <c r="F89" s="352"/>
      <c r="G89" s="352"/>
      <c r="H89" s="512"/>
      <c r="I89" s="512"/>
      <c r="J89" s="354"/>
    </row>
    <row r="91" spans="1:10" ht="15.75">
      <c r="A91" s="317" t="s">
        <v>133</v>
      </c>
      <c r="B91" s="188">
        <v>1</v>
      </c>
      <c r="C91" s="675" t="s">
        <v>569</v>
      </c>
      <c r="D91" s="150"/>
      <c r="E91" t="s">
        <v>326</v>
      </c>
      <c r="F91" s="189" t="s">
        <v>57</v>
      </c>
      <c r="G91" s="395">
        <v>8</v>
      </c>
      <c r="H91" s="543">
        <f>G91+1</f>
        <v>9</v>
      </c>
      <c r="I91" s="395">
        <v>3</v>
      </c>
      <c r="J91" s="53">
        <f>VLOOKUP(G91,Data!$B$120:$G$151,I91+1)*B91</f>
        <v>41507</v>
      </c>
    </row>
    <row r="93" spans="1:10" ht="16.5" thickBot="1">
      <c r="A93" s="500" t="s">
        <v>28</v>
      </c>
      <c r="B93" s="498"/>
      <c r="C93" s="29"/>
      <c r="D93" s="29"/>
      <c r="E93" s="292"/>
      <c r="F93" s="387"/>
      <c r="G93" s="292"/>
      <c r="H93" s="515"/>
      <c r="I93" s="515"/>
      <c r="J93" s="499">
        <f>SUM(J88:J92)</f>
        <v>41507</v>
      </c>
    </row>
    <row r="94" spans="1:10">
      <c r="A94" s="355"/>
      <c r="B94" s="353"/>
      <c r="C94" s="278"/>
      <c r="D94" s="352"/>
      <c r="E94" s="352"/>
      <c r="F94" s="352"/>
      <c r="G94" s="352"/>
      <c r="H94" s="512"/>
      <c r="I94" s="352"/>
      <c r="J94" s="354"/>
    </row>
    <row r="96" spans="1:10" ht="15.75">
      <c r="B96" s="5" t="s">
        <v>2</v>
      </c>
      <c r="C96" s="11"/>
    </row>
    <row r="97" spans="1:11" ht="15.75">
      <c r="B97" s="12"/>
      <c r="C97" s="5" t="s">
        <v>14</v>
      </c>
    </row>
    <row r="98" spans="1:11" ht="15.75">
      <c r="B98" s="12"/>
      <c r="C98" s="10" t="s">
        <v>15</v>
      </c>
    </row>
    <row r="99" spans="1:11">
      <c r="B99" s="73" t="s">
        <v>64</v>
      </c>
      <c r="G99" s="74" t="str">
        <f>+A10</f>
        <v>Helmwood</v>
      </c>
      <c r="H99" s="545"/>
    </row>
    <row r="100" spans="1:11" ht="13.5" thickBot="1"/>
    <row r="101" spans="1:11">
      <c r="A101" s="594" t="str">
        <f>+A6</f>
        <v>2013-2014</v>
      </c>
      <c r="B101" s="122"/>
      <c r="C101" s="595" t="s">
        <v>65</v>
      </c>
      <c r="D101" s="122"/>
      <c r="E101" s="122"/>
      <c r="F101" s="596"/>
      <c r="G101" s="122"/>
      <c r="H101" s="597"/>
      <c r="I101" s="122"/>
      <c r="J101" s="122"/>
      <c r="K101" s="161"/>
    </row>
    <row r="102" spans="1:11">
      <c r="A102" s="598" t="s">
        <v>44</v>
      </c>
      <c r="B102" s="211" t="s">
        <v>66</v>
      </c>
      <c r="C102" s="210" t="s">
        <v>45</v>
      </c>
      <c r="D102" s="211" t="s">
        <v>46</v>
      </c>
      <c r="E102" s="211" t="s">
        <v>27</v>
      </c>
      <c r="F102" s="211" t="s">
        <v>67</v>
      </c>
      <c r="G102" s="211" t="s">
        <v>68</v>
      </c>
      <c r="H102" s="519"/>
      <c r="I102" s="211" t="s">
        <v>69</v>
      </c>
      <c r="J102" s="211" t="s">
        <v>68</v>
      </c>
      <c r="K102" s="599" t="s">
        <v>28</v>
      </c>
    </row>
    <row r="103" spans="1:11">
      <c r="A103" s="290"/>
      <c r="B103" s="213" t="s">
        <v>70</v>
      </c>
      <c r="C103" s="104"/>
      <c r="D103" s="104"/>
      <c r="E103" s="104"/>
      <c r="F103" s="213" t="s">
        <v>71</v>
      </c>
      <c r="G103" s="213" t="s">
        <v>72</v>
      </c>
      <c r="H103" s="520"/>
      <c r="I103" s="213" t="s">
        <v>73</v>
      </c>
      <c r="J103" s="213" t="s">
        <v>71</v>
      </c>
      <c r="K103" s="600" t="s">
        <v>74</v>
      </c>
    </row>
    <row r="104" spans="1:11">
      <c r="A104" s="17"/>
      <c r="B104" s="488"/>
      <c r="C104" s="25"/>
      <c r="D104" s="25"/>
      <c r="E104" s="25"/>
      <c r="F104" s="488"/>
      <c r="G104" s="488"/>
      <c r="H104" s="555"/>
      <c r="I104" s="488"/>
      <c r="J104" s="488"/>
      <c r="K104" s="296"/>
    </row>
    <row r="105" spans="1:11" ht="15.75">
      <c r="A105" s="601" t="s">
        <v>563</v>
      </c>
      <c r="B105" s="483">
        <v>1</v>
      </c>
      <c r="C105" s="484" t="s">
        <v>75</v>
      </c>
      <c r="D105" s="484">
        <v>12</v>
      </c>
      <c r="E105" s="485">
        <v>1</v>
      </c>
      <c r="F105" s="485">
        <v>8</v>
      </c>
      <c r="G105" s="485">
        <v>220</v>
      </c>
      <c r="H105" s="593">
        <f>D105+1</f>
        <v>13</v>
      </c>
      <c r="I105" s="486">
        <f>VLOOKUP(D105,Data!$A$151:$S$178,E105+1)</f>
        <v>13.44</v>
      </c>
      <c r="J105" s="487">
        <f>G105*F105</f>
        <v>1760</v>
      </c>
      <c r="K105" s="603">
        <f>ROUND(I105*J105,0)</f>
        <v>23654</v>
      </c>
    </row>
    <row r="106" spans="1:11" ht="15.75">
      <c r="A106" s="601" t="s">
        <v>602</v>
      </c>
      <c r="B106" s="483">
        <v>1</v>
      </c>
      <c r="C106" s="484" t="s">
        <v>515</v>
      </c>
      <c r="D106" s="484">
        <v>19</v>
      </c>
      <c r="E106" s="485">
        <v>2</v>
      </c>
      <c r="F106" s="485">
        <v>7</v>
      </c>
      <c r="G106" s="485">
        <v>185</v>
      </c>
      <c r="H106" s="593">
        <f>D106+1</f>
        <v>20</v>
      </c>
      <c r="I106" s="486">
        <f>VLOOKUP(D106,Data!$A$151:$S$178,E106+1)</f>
        <v>12.58</v>
      </c>
      <c r="J106" s="487">
        <f>G106*F106</f>
        <v>1295</v>
      </c>
      <c r="K106" s="603">
        <f>ROUND(I106*J106,0)</f>
        <v>16291</v>
      </c>
    </row>
    <row r="107" spans="1:11" ht="16.5" thickBot="1">
      <c r="A107" s="604" t="s">
        <v>326</v>
      </c>
      <c r="B107" s="374" t="s">
        <v>326</v>
      </c>
      <c r="C107" s="382" t="s">
        <v>326</v>
      </c>
      <c r="D107" s="382" t="s">
        <v>326</v>
      </c>
      <c r="E107" s="375" t="s">
        <v>326</v>
      </c>
      <c r="F107" s="375" t="s">
        <v>326</v>
      </c>
      <c r="G107" s="375" t="s">
        <v>326</v>
      </c>
      <c r="H107" s="546"/>
      <c r="I107" s="54" t="s">
        <v>326</v>
      </c>
      <c r="J107" s="376" t="s">
        <v>326</v>
      </c>
      <c r="K107" s="605" t="s">
        <v>326</v>
      </c>
    </row>
    <row r="108" spans="1:11" ht="15.75" thickTop="1" thickBot="1">
      <c r="A108" s="606" t="s">
        <v>76</v>
      </c>
      <c r="B108" s="447" t="str">
        <f>+G99</f>
        <v>Helmwood</v>
      </c>
      <c r="C108" s="219"/>
      <c r="D108" s="379">
        <f>SUM(B105:B107)</f>
        <v>2</v>
      </c>
      <c r="E108" s="221" t="s">
        <v>77</v>
      </c>
      <c r="F108" s="219"/>
      <c r="G108" s="219"/>
      <c r="H108" s="514"/>
      <c r="I108" s="219"/>
      <c r="J108" s="219"/>
      <c r="K108" s="607">
        <f>SUM(K105:K107)</f>
        <v>39945</v>
      </c>
    </row>
    <row r="109" spans="1:11" ht="13.5" thickTop="1">
      <c r="A109" s="17"/>
      <c r="B109" s="25"/>
      <c r="C109" s="25"/>
      <c r="D109" s="25"/>
      <c r="E109" s="25"/>
      <c r="F109" s="25"/>
      <c r="G109" s="25"/>
      <c r="H109" s="541"/>
      <c r="I109" s="25"/>
      <c r="J109" s="25"/>
      <c r="K109" s="26"/>
    </row>
    <row r="110" spans="1:11" ht="15.75">
      <c r="A110" s="601" t="s">
        <v>306</v>
      </c>
      <c r="B110" s="483">
        <v>1</v>
      </c>
      <c r="C110" s="622" t="s">
        <v>148</v>
      </c>
      <c r="D110" s="484">
        <v>21</v>
      </c>
      <c r="E110" s="485">
        <v>8</v>
      </c>
      <c r="F110" s="485">
        <v>6.5</v>
      </c>
      <c r="G110" s="485">
        <v>181</v>
      </c>
      <c r="H110" s="593">
        <f t="shared" ref="H110:H116" si="1">D110+1</f>
        <v>22</v>
      </c>
      <c r="I110" s="486">
        <f>VLOOKUP(D110,Data!$A$151:$S$178,E110+1)</f>
        <v>12.15</v>
      </c>
      <c r="J110" s="487">
        <f t="shared" ref="J110:J114" si="2">G110*F110</f>
        <v>1176.5</v>
      </c>
      <c r="K110" s="603">
        <f t="shared" ref="K110:K114" si="3">ROUND(I110*J110,0)</f>
        <v>14294</v>
      </c>
    </row>
    <row r="111" spans="1:11" ht="15.75">
      <c r="A111" s="636" t="s">
        <v>304</v>
      </c>
      <c r="B111" s="483">
        <v>1</v>
      </c>
      <c r="C111" s="622" t="s">
        <v>509</v>
      </c>
      <c r="D111" s="484">
        <v>16</v>
      </c>
      <c r="E111" s="485">
        <v>8</v>
      </c>
      <c r="F111" s="485">
        <v>6.5</v>
      </c>
      <c r="G111" s="485">
        <v>181</v>
      </c>
      <c r="H111" s="593">
        <f t="shared" si="1"/>
        <v>17</v>
      </c>
      <c r="I111" s="486">
        <f>VLOOKUP(D111,Data!$A$151:$S$178,E111+1)</f>
        <v>11.63</v>
      </c>
      <c r="J111" s="487">
        <f>G111*F111</f>
        <v>1176.5</v>
      </c>
      <c r="K111" s="603">
        <f>ROUND(I111*J111,0)</f>
        <v>13683</v>
      </c>
    </row>
    <row r="112" spans="1:11" ht="15.75">
      <c r="A112" s="636" t="s">
        <v>577</v>
      </c>
      <c r="B112" s="483">
        <v>1</v>
      </c>
      <c r="C112" s="622" t="s">
        <v>437</v>
      </c>
      <c r="D112" s="484">
        <v>15</v>
      </c>
      <c r="E112" s="485">
        <v>8</v>
      </c>
      <c r="F112" s="485">
        <v>5</v>
      </c>
      <c r="G112" s="485">
        <v>181</v>
      </c>
      <c r="H112" s="593">
        <f t="shared" si="1"/>
        <v>16</v>
      </c>
      <c r="I112" s="486">
        <f>VLOOKUP(D112,Data!$A$151:$S$178,E112+1)</f>
        <v>11.63</v>
      </c>
      <c r="J112" s="487">
        <f>G112*F112</f>
        <v>905</v>
      </c>
      <c r="K112" s="603">
        <f>ROUND(I112*J112,0)</f>
        <v>10525</v>
      </c>
    </row>
    <row r="113" spans="1:12" ht="15.75">
      <c r="A113" s="636" t="s">
        <v>305</v>
      </c>
      <c r="B113" s="483">
        <v>1</v>
      </c>
      <c r="C113" s="622" t="s">
        <v>509</v>
      </c>
      <c r="D113" s="484">
        <v>21</v>
      </c>
      <c r="E113" s="485">
        <v>8</v>
      </c>
      <c r="F113" s="485">
        <v>6.5</v>
      </c>
      <c r="G113" s="485">
        <v>181</v>
      </c>
      <c r="H113" s="593">
        <f t="shared" si="1"/>
        <v>22</v>
      </c>
      <c r="I113" s="486">
        <f>VLOOKUP(D113,Data!$A$151:$S$178,E113+1)</f>
        <v>12.15</v>
      </c>
      <c r="J113" s="487">
        <f t="shared" si="2"/>
        <v>1176.5</v>
      </c>
      <c r="K113" s="603">
        <f t="shared" si="3"/>
        <v>14294</v>
      </c>
    </row>
    <row r="114" spans="1:12" ht="15.75">
      <c r="A114" s="601" t="s">
        <v>319</v>
      </c>
      <c r="B114" s="483">
        <v>1</v>
      </c>
      <c r="C114" s="622" t="s">
        <v>148</v>
      </c>
      <c r="D114" s="484">
        <v>21</v>
      </c>
      <c r="E114" s="485">
        <v>8</v>
      </c>
      <c r="F114" s="485">
        <v>6.5</v>
      </c>
      <c r="G114" s="485">
        <v>181</v>
      </c>
      <c r="H114" s="593">
        <f t="shared" si="1"/>
        <v>22</v>
      </c>
      <c r="I114" s="486">
        <f>VLOOKUP(D114,Data!$A$151:$S$178,E114+1)</f>
        <v>12.15</v>
      </c>
      <c r="J114" s="487">
        <f t="shared" si="2"/>
        <v>1176.5</v>
      </c>
      <c r="K114" s="603">
        <f t="shared" si="3"/>
        <v>14294</v>
      </c>
    </row>
    <row r="115" spans="1:12" ht="15.75">
      <c r="A115" s="636" t="s">
        <v>365</v>
      </c>
      <c r="B115" s="483">
        <v>1</v>
      </c>
      <c r="C115" s="622" t="s">
        <v>508</v>
      </c>
      <c r="D115" s="484">
        <v>18</v>
      </c>
      <c r="E115" s="485">
        <v>8</v>
      </c>
      <c r="F115" s="485">
        <v>6.5</v>
      </c>
      <c r="G115" s="485">
        <v>181</v>
      </c>
      <c r="H115" s="593">
        <f t="shared" si="1"/>
        <v>19</v>
      </c>
      <c r="I115" s="486">
        <f>VLOOKUP(D115,Data!$A$151:$S$178,E115+1)</f>
        <v>11.89</v>
      </c>
      <c r="J115" s="487">
        <f>G115*F115</f>
        <v>1176.5</v>
      </c>
      <c r="K115" s="603">
        <f>ROUND(I115*J115,0)</f>
        <v>13989</v>
      </c>
    </row>
    <row r="116" spans="1:12" ht="15.75">
      <c r="A116" s="601" t="s">
        <v>326</v>
      </c>
      <c r="B116" s="483" t="s">
        <v>326</v>
      </c>
      <c r="C116" s="622" t="s">
        <v>326</v>
      </c>
      <c r="D116" s="484" t="s">
        <v>326</v>
      </c>
      <c r="E116" s="485" t="s">
        <v>326</v>
      </c>
      <c r="F116" s="485" t="s">
        <v>326</v>
      </c>
      <c r="G116" s="485" t="s">
        <v>326</v>
      </c>
      <c r="H116" s="593" t="e">
        <f t="shared" si="1"/>
        <v>#VALUE!</v>
      </c>
      <c r="I116" s="486" t="s">
        <v>326</v>
      </c>
      <c r="J116" s="487" t="s">
        <v>326</v>
      </c>
      <c r="K116" s="603" t="s">
        <v>326</v>
      </c>
      <c r="L116" s="572" t="s">
        <v>326</v>
      </c>
    </row>
    <row r="117" spans="1:12" ht="15.75" thickBot="1">
      <c r="A117" s="38"/>
      <c r="B117" s="221"/>
      <c r="C117" s="219"/>
      <c r="D117" s="378"/>
      <c r="E117" s="257"/>
      <c r="F117" s="257"/>
      <c r="G117" s="257"/>
      <c r="H117" s="522"/>
      <c r="I117" s="257"/>
      <c r="J117" s="257"/>
      <c r="K117" s="623"/>
    </row>
    <row r="118" spans="1:12" ht="15.75" thickTop="1" thickBot="1">
      <c r="A118" s="606" t="s">
        <v>78</v>
      </c>
      <c r="B118" s="25" t="str">
        <f>+B108</f>
        <v>Helmwood</v>
      </c>
      <c r="C118" s="99"/>
      <c r="D118" s="380">
        <f>SUM(B109:B117)</f>
        <v>6</v>
      </c>
      <c r="E118" s="98" t="s">
        <v>79</v>
      </c>
      <c r="F118" s="25"/>
      <c r="G118" s="25"/>
      <c r="H118" s="541"/>
      <c r="I118" s="25"/>
      <c r="J118" s="25"/>
      <c r="K118" s="610">
        <f>SUM(K109:K117)</f>
        <v>81079</v>
      </c>
    </row>
    <row r="119" spans="1:12" ht="15.75" thickTop="1" thickBot="1">
      <c r="A119" s="611"/>
      <c r="B119" s="383"/>
      <c r="C119" s="383"/>
      <c r="D119" s="385"/>
      <c r="E119" s="384" t="s">
        <v>80</v>
      </c>
      <c r="F119" s="383"/>
      <c r="G119" s="383"/>
      <c r="H119" s="548"/>
      <c r="I119" s="383"/>
      <c r="J119" s="383"/>
      <c r="K119" s="612">
        <f>K118+K108</f>
        <v>121024</v>
      </c>
    </row>
    <row r="120" spans="1:12" ht="15" thickTop="1">
      <c r="A120" s="17"/>
      <c r="B120" s="25"/>
      <c r="C120" s="25"/>
      <c r="D120" s="457"/>
      <c r="E120" s="275"/>
      <c r="F120" s="25"/>
      <c r="G120" s="25"/>
      <c r="H120" s="541"/>
      <c r="I120" s="25"/>
      <c r="J120" s="25"/>
      <c r="K120" s="651"/>
    </row>
    <row r="121" spans="1:12" ht="15.75">
      <c r="A121" s="601" t="s">
        <v>536</v>
      </c>
      <c r="B121" s="483">
        <v>0.5</v>
      </c>
      <c r="C121" s="622" t="s">
        <v>529</v>
      </c>
      <c r="D121" s="484">
        <v>15</v>
      </c>
      <c r="E121" s="485">
        <v>5</v>
      </c>
      <c r="F121" s="485">
        <v>4</v>
      </c>
      <c r="G121" s="485">
        <v>260</v>
      </c>
      <c r="H121" s="593">
        <f>D121+1</f>
        <v>16</v>
      </c>
      <c r="I121" s="486">
        <f>VLOOKUP(D121,Data!$A$151:$S$178,E121+1)</f>
        <v>11.86</v>
      </c>
      <c r="J121" s="487">
        <f>G121*F121</f>
        <v>1040</v>
      </c>
      <c r="K121" s="603">
        <f>ROUND(I121*J121,0)</f>
        <v>12334</v>
      </c>
    </row>
    <row r="122" spans="1:12" ht="15.75">
      <c r="A122" s="601" t="s">
        <v>537</v>
      </c>
      <c r="B122" s="483">
        <v>1</v>
      </c>
      <c r="C122" s="622" t="s">
        <v>529</v>
      </c>
      <c r="D122" s="484">
        <v>25</v>
      </c>
      <c r="E122" s="485">
        <v>5</v>
      </c>
      <c r="F122" s="485">
        <v>8</v>
      </c>
      <c r="G122" s="485">
        <v>260</v>
      </c>
      <c r="H122" s="593">
        <f>D122+1</f>
        <v>26</v>
      </c>
      <c r="I122" s="486">
        <f>VLOOKUP(D122,Data!$A$151:$S$178,E122+1)</f>
        <v>12.26</v>
      </c>
      <c r="J122" s="487">
        <f>G122*F122</f>
        <v>2080</v>
      </c>
      <c r="K122" s="603">
        <f>ROUND(I122*J122,0)</f>
        <v>25501</v>
      </c>
    </row>
    <row r="123" spans="1:12" ht="15.75">
      <c r="A123" s="601" t="s">
        <v>538</v>
      </c>
      <c r="B123" s="483">
        <v>1</v>
      </c>
      <c r="C123" s="622" t="s">
        <v>529</v>
      </c>
      <c r="D123" s="484">
        <v>15</v>
      </c>
      <c r="E123" s="485">
        <v>5</v>
      </c>
      <c r="F123" s="485">
        <v>8</v>
      </c>
      <c r="G123" s="485">
        <v>260</v>
      </c>
      <c r="H123" s="593">
        <f>D123+1</f>
        <v>16</v>
      </c>
      <c r="I123" s="486">
        <f>VLOOKUP(D123,Data!$A$151:$S$178,E123+1)</f>
        <v>11.86</v>
      </c>
      <c r="J123" s="487">
        <f>G123*F123</f>
        <v>2080</v>
      </c>
      <c r="K123" s="603">
        <f>ROUND(I123*J123,0)</f>
        <v>24669</v>
      </c>
    </row>
    <row r="124" spans="1:12" ht="13.5" thickBot="1">
      <c r="A124" s="38"/>
      <c r="B124" s="219"/>
      <c r="C124" s="219"/>
      <c r="D124" s="381"/>
      <c r="E124" s="219"/>
      <c r="F124" s="219"/>
      <c r="G124" s="219"/>
      <c r="H124" s="514"/>
      <c r="I124" s="219"/>
      <c r="J124" s="219"/>
      <c r="K124" s="423"/>
    </row>
    <row r="125" spans="1:12" ht="15.75" thickTop="1" thickBot="1">
      <c r="A125" s="624" t="s">
        <v>81</v>
      </c>
      <c r="B125" s="25" t="str">
        <f>+B118</f>
        <v>Helmwood</v>
      </c>
      <c r="C125" s="99"/>
      <c r="D125" s="380">
        <f>SUM(B121:B123)</f>
        <v>2.5</v>
      </c>
      <c r="E125" s="98" t="s">
        <v>82</v>
      </c>
      <c r="F125" s="25"/>
      <c r="G125" s="25"/>
      <c r="H125" s="541"/>
      <c r="I125" s="25"/>
      <c r="J125" s="25"/>
      <c r="K125" s="610">
        <f>SUM(K121:K124)</f>
        <v>62504</v>
      </c>
    </row>
    <row r="126" spans="1:12" ht="14.25" thickTop="1" thickBot="1">
      <c r="A126" s="611"/>
      <c r="B126" s="383"/>
      <c r="C126" s="383"/>
      <c r="D126" s="383"/>
      <c r="E126" s="383"/>
      <c r="F126" s="383"/>
      <c r="G126" s="383"/>
      <c r="H126" s="548"/>
      <c r="I126" s="383"/>
      <c r="J126" s="383"/>
      <c r="K126" s="625"/>
    </row>
    <row r="127" spans="1:12" ht="13.5" thickTop="1">
      <c r="A127" s="616" t="s">
        <v>454</v>
      </c>
      <c r="B127" s="25"/>
      <c r="C127" s="25"/>
      <c r="D127" s="25"/>
      <c r="E127" s="25"/>
      <c r="F127" s="25"/>
      <c r="G127" s="25"/>
      <c r="H127" s="541"/>
      <c r="I127" s="25"/>
      <c r="J127" s="25"/>
      <c r="K127" s="289"/>
    </row>
    <row r="128" spans="1:12" ht="15.75">
      <c r="A128" s="674" t="s">
        <v>601</v>
      </c>
      <c r="B128" s="25">
        <v>1</v>
      </c>
      <c r="C128" s="25" t="s">
        <v>487</v>
      </c>
      <c r="D128" s="25">
        <v>7</v>
      </c>
      <c r="E128" s="25">
        <v>8</v>
      </c>
      <c r="F128" s="571">
        <v>6.5</v>
      </c>
      <c r="G128" s="571">
        <v>181</v>
      </c>
      <c r="H128" s="541"/>
      <c r="I128" s="486">
        <f>VLOOKUP(D128,Data!$A$151:$S$178,E128+1)</f>
        <v>10.56</v>
      </c>
      <c r="J128" s="487">
        <f>G128*F128</f>
        <v>1176.5</v>
      </c>
      <c r="K128" s="603">
        <f>ROUND(I128*J128,0)</f>
        <v>12424</v>
      </c>
    </row>
    <row r="129" spans="1:13" ht="15.75">
      <c r="A129" s="636" t="s">
        <v>492</v>
      </c>
      <c r="B129" s="483">
        <v>1</v>
      </c>
      <c r="C129" s="622" t="s">
        <v>478</v>
      </c>
      <c r="D129" s="484">
        <v>8</v>
      </c>
      <c r="E129" s="485">
        <v>28</v>
      </c>
      <c r="F129" s="485">
        <v>7</v>
      </c>
      <c r="G129" s="485">
        <v>185</v>
      </c>
      <c r="H129" s="593"/>
      <c r="I129" s="486">
        <v>16.41</v>
      </c>
      <c r="J129" s="487">
        <f>G129*F129</f>
        <v>1295</v>
      </c>
      <c r="K129" s="609">
        <f>ROUND(I129*J129,0)</f>
        <v>21251</v>
      </c>
    </row>
    <row r="130" spans="1:13" ht="15" thickBot="1">
      <c r="A130" s="626" t="s">
        <v>453</v>
      </c>
      <c r="B130" s="29"/>
      <c r="C130" s="29"/>
      <c r="D130" s="29"/>
      <c r="E130" s="29"/>
      <c r="F130" s="29"/>
      <c r="G130" s="29"/>
      <c r="H130" s="535"/>
      <c r="I130" s="29"/>
      <c r="J130" s="29"/>
      <c r="K130" s="627">
        <f>SUM(K128:K129)</f>
        <v>33675</v>
      </c>
    </row>
    <row r="132" spans="1:13" ht="15.75">
      <c r="A132" s="155" t="str">
        <f>+A10</f>
        <v>Helmwood</v>
      </c>
      <c r="B132" s="9"/>
      <c r="C132" s="370" t="str">
        <f>+A6</f>
        <v>2013-2014</v>
      </c>
      <c r="D132" s="155" t="s">
        <v>83</v>
      </c>
      <c r="E132" s="9"/>
      <c r="F132" s="9"/>
      <c r="G132" s="9"/>
      <c r="H132" s="549"/>
    </row>
    <row r="134" spans="1:13">
      <c r="A134" s="228" t="s">
        <v>84</v>
      </c>
      <c r="B134" s="228" t="s">
        <v>85</v>
      </c>
      <c r="C134" s="226" t="s">
        <v>20</v>
      </c>
      <c r="D134" s="227"/>
      <c r="E134" s="227"/>
      <c r="F134" s="228" t="s">
        <v>86</v>
      </c>
      <c r="G134" s="229"/>
      <c r="H134" s="550"/>
      <c r="I134" s="228" t="s">
        <v>87</v>
      </c>
    </row>
    <row r="135" spans="1:13" ht="13.5" thickBot="1">
      <c r="A135" s="232" t="s">
        <v>88</v>
      </c>
      <c r="B135" s="232" t="s">
        <v>88</v>
      </c>
      <c r="C135" s="230"/>
      <c r="D135" s="231"/>
      <c r="E135" s="231"/>
      <c r="F135" s="232" t="s">
        <v>89</v>
      </c>
      <c r="G135" s="233"/>
      <c r="H135" s="551"/>
      <c r="I135" s="234" t="s">
        <v>90</v>
      </c>
    </row>
    <row r="136" spans="1:13" ht="13.5" thickTop="1">
      <c r="A136" s="314" t="str">
        <f>$A$40</f>
        <v>0151077</v>
      </c>
      <c r="B136" s="315" t="s">
        <v>21</v>
      </c>
      <c r="C136" s="108" t="s">
        <v>91</v>
      </c>
      <c r="D136" s="110"/>
      <c r="E136" s="110"/>
      <c r="F136" s="235">
        <f>J74</f>
        <v>57554</v>
      </c>
      <c r="G136" s="236"/>
      <c r="H136" s="552"/>
      <c r="I136" s="237"/>
    </row>
    <row r="137" spans="1:13">
      <c r="A137" s="314" t="str">
        <f>$A$40</f>
        <v>0151077</v>
      </c>
      <c r="B137" s="315" t="s">
        <v>21</v>
      </c>
      <c r="C137" s="108" t="s">
        <v>92</v>
      </c>
      <c r="D137" s="110"/>
      <c r="E137" s="110"/>
      <c r="F137" s="235">
        <f>J75</f>
        <v>0</v>
      </c>
      <c r="G137" s="236"/>
      <c r="H137" s="552"/>
      <c r="I137" s="237"/>
    </row>
    <row r="138" spans="1:13">
      <c r="A138" s="314" t="e">
        <f>#REF!</f>
        <v>#REF!</v>
      </c>
      <c r="B138" s="315" t="s">
        <v>21</v>
      </c>
      <c r="C138" s="108" t="s">
        <v>93</v>
      </c>
      <c r="D138" s="110"/>
      <c r="E138" s="110"/>
      <c r="F138" s="235">
        <f>J79</f>
        <v>1046092</v>
      </c>
      <c r="G138" s="236"/>
      <c r="H138" s="552"/>
      <c r="I138" s="237"/>
    </row>
    <row r="139" spans="1:13">
      <c r="A139" s="314" t="str">
        <f>$A$48</f>
        <v>0151059</v>
      </c>
      <c r="B139" s="315" t="s">
        <v>21</v>
      </c>
      <c r="C139" s="108" t="s">
        <v>94</v>
      </c>
      <c r="D139" s="110"/>
      <c r="E139" s="110"/>
      <c r="F139" s="235">
        <f>J77</f>
        <v>50477</v>
      </c>
      <c r="G139" s="236"/>
      <c r="H139" s="552"/>
      <c r="I139" s="237"/>
    </row>
    <row r="140" spans="1:13">
      <c r="A140" s="314" t="str">
        <f>$A$45</f>
        <v>0151031</v>
      </c>
      <c r="B140" s="315" t="s">
        <v>21</v>
      </c>
      <c r="C140" s="108" t="s">
        <v>95</v>
      </c>
      <c r="D140" s="110"/>
      <c r="E140" s="110"/>
      <c r="F140" s="235">
        <f>J76</f>
        <v>56350</v>
      </c>
      <c r="G140" s="236"/>
      <c r="H140" s="552"/>
      <c r="I140" s="237"/>
      <c r="L140" s="142"/>
      <c r="M140" s="249"/>
    </row>
    <row r="141" spans="1:13">
      <c r="A141" s="314" t="str">
        <f>$A$40</f>
        <v>0151077</v>
      </c>
      <c r="B141" s="315" t="s">
        <v>22</v>
      </c>
      <c r="C141" s="108" t="s">
        <v>96</v>
      </c>
      <c r="D141" s="110"/>
      <c r="E141" s="110"/>
      <c r="F141" s="235">
        <f>K108</f>
        <v>39945</v>
      </c>
      <c r="G141" s="236"/>
      <c r="H141" s="552"/>
      <c r="I141" s="237"/>
    </row>
    <row r="142" spans="1:13">
      <c r="A142" s="314" t="e">
        <f>#REF!</f>
        <v>#REF!</v>
      </c>
      <c r="B142" s="315" t="s">
        <v>22</v>
      </c>
      <c r="C142" s="108" t="s">
        <v>97</v>
      </c>
      <c r="D142" s="110"/>
      <c r="E142" s="110"/>
      <c r="F142" s="235">
        <f>K118</f>
        <v>81079</v>
      </c>
      <c r="G142" s="236"/>
      <c r="H142" s="552"/>
      <c r="I142" s="237"/>
    </row>
    <row r="143" spans="1:13">
      <c r="A143" s="333" t="s">
        <v>137</v>
      </c>
      <c r="B143" s="315" t="s">
        <v>22</v>
      </c>
      <c r="C143" s="108" t="s">
        <v>99</v>
      </c>
      <c r="D143" s="110"/>
      <c r="E143" s="110"/>
      <c r="F143" s="235">
        <f>K125</f>
        <v>62504</v>
      </c>
      <c r="G143" s="236"/>
      <c r="H143" s="552"/>
      <c r="I143" s="237"/>
      <c r="L143" s="142"/>
      <c r="M143" s="249"/>
    </row>
    <row r="144" spans="1:13">
      <c r="A144" s="314" t="e">
        <f>#REF!</f>
        <v>#REF!</v>
      </c>
      <c r="B144" s="315"/>
      <c r="C144" s="108" t="s">
        <v>100</v>
      </c>
      <c r="D144" s="110"/>
      <c r="E144" s="110"/>
      <c r="F144" s="235"/>
      <c r="G144" s="236"/>
      <c r="H144" s="552"/>
      <c r="I144" s="237"/>
    </row>
    <row r="145" spans="1:13">
      <c r="A145" s="314" t="e">
        <f>#REF!</f>
        <v>#REF!</v>
      </c>
      <c r="B145" s="315" t="s">
        <v>101</v>
      </c>
      <c r="C145" s="108" t="s">
        <v>102</v>
      </c>
      <c r="D145" s="110"/>
      <c r="E145" s="110"/>
      <c r="F145" s="235">
        <v>0</v>
      </c>
      <c r="G145" s="236"/>
      <c r="H145" s="552"/>
      <c r="I145" s="237"/>
    </row>
    <row r="146" spans="1:13">
      <c r="A146" s="314" t="e">
        <f>#REF!</f>
        <v>#REF!</v>
      </c>
      <c r="B146" s="315" t="s">
        <v>103</v>
      </c>
      <c r="C146" s="108" t="s">
        <v>104</v>
      </c>
      <c r="D146" s="110"/>
      <c r="E146" s="110"/>
      <c r="F146" s="235">
        <v>0</v>
      </c>
      <c r="G146" s="236"/>
      <c r="H146" s="552"/>
      <c r="I146" s="237"/>
    </row>
    <row r="147" spans="1:13">
      <c r="A147" s="314" t="str">
        <f>$A$48</f>
        <v>0151059</v>
      </c>
      <c r="B147" s="315" t="s">
        <v>105</v>
      </c>
      <c r="C147" s="108" t="s">
        <v>106</v>
      </c>
      <c r="D147" s="110"/>
      <c r="E147" s="110"/>
      <c r="F147" s="235">
        <v>0</v>
      </c>
      <c r="G147" s="236"/>
      <c r="H147" s="552"/>
      <c r="I147" s="237"/>
    </row>
    <row r="148" spans="1:13">
      <c r="A148" s="314" t="str">
        <f>$A$48</f>
        <v>0151059</v>
      </c>
      <c r="B148" s="315" t="s">
        <v>107</v>
      </c>
      <c r="C148" s="108" t="s">
        <v>108</v>
      </c>
      <c r="D148" s="110"/>
      <c r="E148" s="110"/>
      <c r="F148" s="235">
        <v>0</v>
      </c>
      <c r="G148" s="236"/>
      <c r="H148" s="552"/>
      <c r="I148" s="237"/>
    </row>
    <row r="149" spans="1:13">
      <c r="A149" s="314" t="str">
        <f>$A$48</f>
        <v>0151059</v>
      </c>
      <c r="B149" s="315" t="s">
        <v>23</v>
      </c>
      <c r="C149" s="108" t="s">
        <v>109</v>
      </c>
      <c r="D149" s="110"/>
      <c r="E149" s="110"/>
      <c r="F149" s="235">
        <v>0</v>
      </c>
      <c r="G149" s="236"/>
      <c r="H149" s="552"/>
      <c r="I149" s="237"/>
    </row>
    <row r="150" spans="1:13">
      <c r="A150" s="314" t="str">
        <f>$A$48</f>
        <v>0151059</v>
      </c>
      <c r="B150" s="315" t="s">
        <v>110</v>
      </c>
      <c r="C150" s="108" t="s">
        <v>111</v>
      </c>
      <c r="D150" s="110"/>
      <c r="E150" s="110"/>
      <c r="F150" s="235">
        <v>0</v>
      </c>
      <c r="G150" s="236"/>
      <c r="H150" s="552"/>
      <c r="I150" s="237"/>
    </row>
    <row r="151" spans="1:13">
      <c r="A151" s="314" t="e">
        <f>#REF!</f>
        <v>#REF!</v>
      </c>
      <c r="B151" s="315" t="s">
        <v>23</v>
      </c>
      <c r="C151" s="108" t="s">
        <v>112</v>
      </c>
      <c r="D151" s="110"/>
      <c r="E151" s="110"/>
      <c r="F151" s="235">
        <f>Data!F68+Data!F71</f>
        <v>40635</v>
      </c>
      <c r="G151" s="236"/>
      <c r="H151" s="552"/>
      <c r="I151" s="237"/>
      <c r="L151" s="142"/>
      <c r="M151" s="249"/>
    </row>
    <row r="152" spans="1:13">
      <c r="A152" s="314" t="e">
        <f>#REF!</f>
        <v>#REF!</v>
      </c>
      <c r="B152" s="315" t="s">
        <v>24</v>
      </c>
      <c r="C152" s="108" t="s">
        <v>113</v>
      </c>
      <c r="D152" s="110"/>
      <c r="E152" s="110"/>
      <c r="F152" s="235">
        <v>0</v>
      </c>
      <c r="G152" s="236"/>
      <c r="H152" s="552"/>
      <c r="I152" s="237"/>
    </row>
    <row r="153" spans="1:13">
      <c r="A153" s="314" t="e">
        <f>#REF!</f>
        <v>#REF!</v>
      </c>
      <c r="B153" s="315" t="s">
        <v>25</v>
      </c>
      <c r="C153" s="108" t="s">
        <v>114</v>
      </c>
      <c r="D153" s="110"/>
      <c r="E153" s="110"/>
      <c r="F153" s="235"/>
      <c r="G153" s="236"/>
      <c r="H153" s="552"/>
      <c r="I153" s="237"/>
    </row>
    <row r="154" spans="1:13">
      <c r="A154" s="369" t="s">
        <v>12</v>
      </c>
      <c r="B154" s="316"/>
      <c r="C154" s="238"/>
      <c r="D154" s="239"/>
      <c r="E154" s="239"/>
      <c r="F154" s="240"/>
      <c r="G154" s="236"/>
      <c r="H154" s="552"/>
      <c r="I154" s="237"/>
    </row>
    <row r="155" spans="1:13">
      <c r="A155" s="274"/>
      <c r="B155" s="315" t="s">
        <v>115</v>
      </c>
      <c r="C155" s="108" t="s">
        <v>379</v>
      </c>
      <c r="D155" s="110"/>
      <c r="E155" s="110"/>
      <c r="F155" s="235">
        <f>ROUND(SUM(F141:F143)*Data!$I$8,0)</f>
        <v>0</v>
      </c>
      <c r="G155" s="236"/>
      <c r="H155" s="552"/>
      <c r="I155" s="237"/>
    </row>
    <row r="156" spans="1:13">
      <c r="A156" s="274"/>
      <c r="B156" s="315" t="s">
        <v>116</v>
      </c>
      <c r="C156" s="108" t="s">
        <v>368</v>
      </c>
      <c r="D156" s="110"/>
      <c r="E156" s="110"/>
      <c r="F156" s="235">
        <f>ROUND(SUM(F136:F140)*Data!$I$10,0)</f>
        <v>0</v>
      </c>
      <c r="G156" s="236"/>
      <c r="H156" s="552"/>
      <c r="I156" s="237"/>
    </row>
    <row r="157" spans="1:13">
      <c r="A157" s="274"/>
      <c r="B157" s="315" t="s">
        <v>116</v>
      </c>
      <c r="C157" s="108" t="s">
        <v>369</v>
      </c>
      <c r="D157" s="110"/>
      <c r="E157" s="110"/>
      <c r="F157" s="235">
        <f>ROUND(SUM(F141:F143)*Data!$I$10,0)</f>
        <v>0</v>
      </c>
      <c r="G157" s="236"/>
      <c r="H157" s="552"/>
      <c r="I157" s="237"/>
    </row>
    <row r="158" spans="1:13">
      <c r="A158" s="274"/>
      <c r="B158" s="315" t="s">
        <v>117</v>
      </c>
      <c r="C158" s="108" t="s">
        <v>370</v>
      </c>
      <c r="D158" s="110"/>
      <c r="E158" s="110"/>
      <c r="F158" s="235">
        <f>ROUND(SUM(F141:F143)*Data!$I$9,0)</f>
        <v>0</v>
      </c>
      <c r="G158" s="236"/>
      <c r="H158" s="552"/>
      <c r="I158" s="237"/>
    </row>
    <row r="159" spans="1:13">
      <c r="A159" s="274"/>
      <c r="B159" s="315" t="s">
        <v>118</v>
      </c>
      <c r="C159" s="108" t="s">
        <v>367</v>
      </c>
      <c r="D159" s="110"/>
      <c r="E159" s="110"/>
      <c r="F159" s="235">
        <f>ROUND(SUM(F136:F140)*Data!$I$11,0)</f>
        <v>0</v>
      </c>
      <c r="G159" s="236"/>
      <c r="H159" s="552"/>
      <c r="I159" s="237"/>
    </row>
    <row r="160" spans="1:13">
      <c r="A160" s="274"/>
      <c r="B160" s="315" t="s">
        <v>118</v>
      </c>
      <c r="C160" s="108" t="s">
        <v>371</v>
      </c>
      <c r="D160" s="110"/>
      <c r="E160" s="110"/>
      <c r="F160" s="235">
        <f>ROUND(SUM(F141:F143)*Data!$I$11,0)</f>
        <v>0</v>
      </c>
      <c r="G160" s="236"/>
      <c r="H160" s="552"/>
      <c r="I160" s="237"/>
    </row>
    <row r="161" spans="1:13">
      <c r="A161" s="274"/>
      <c r="B161" s="315" t="s">
        <v>119</v>
      </c>
      <c r="C161" s="108" t="s">
        <v>372</v>
      </c>
      <c r="D161" s="110"/>
      <c r="E161" s="110"/>
      <c r="F161" s="235">
        <f>(SUM(Data!F52*Data!$I$13)*Data!$I$12)</f>
        <v>0</v>
      </c>
      <c r="G161" s="236"/>
      <c r="H161" s="552"/>
      <c r="I161" s="237"/>
      <c r="L161" s="142"/>
    </row>
    <row r="162" spans="1:13">
      <c r="A162" s="274"/>
      <c r="B162" s="315" t="s">
        <v>119</v>
      </c>
      <c r="C162" s="108" t="s">
        <v>373</v>
      </c>
      <c r="D162" s="110"/>
      <c r="E162" s="110"/>
      <c r="F162" s="235">
        <f>(SUM((Data!F60+Data!F62)*Data!$I$13)*Data!$I$12)</f>
        <v>0</v>
      </c>
      <c r="G162" s="236"/>
      <c r="H162" s="552"/>
      <c r="I162" s="237"/>
      <c r="L162" s="142"/>
    </row>
    <row r="164" spans="1:13">
      <c r="A164" s="241"/>
      <c r="B164" s="109" t="s">
        <v>120</v>
      </c>
      <c r="C164" s="110"/>
      <c r="D164" s="110"/>
      <c r="E164" s="110"/>
      <c r="F164" s="235">
        <f>SUM(F136:F163)</f>
        <v>1434636</v>
      </c>
      <c r="G164" s="236"/>
      <c r="H164" s="552"/>
      <c r="I164" s="237"/>
      <c r="L164" s="249"/>
      <c r="M164" s="249"/>
    </row>
    <row r="166" spans="1:13">
      <c r="A166" s="237"/>
      <c r="B166" s="109" t="s">
        <v>18</v>
      </c>
      <c r="C166" s="110"/>
      <c r="D166" s="110"/>
      <c r="E166" s="110"/>
      <c r="F166" s="235">
        <f>Data!F84</f>
        <v>1434636</v>
      </c>
      <c r="G166" s="236"/>
      <c r="H166" s="552"/>
      <c r="I166" s="235">
        <f>F166</f>
        <v>1434636</v>
      </c>
    </row>
    <row r="167" spans="1:13">
      <c r="A167" s="237"/>
      <c r="B167" s="103" t="s">
        <v>121</v>
      </c>
      <c r="C167" s="104"/>
      <c r="D167" s="104"/>
      <c r="E167" s="104"/>
      <c r="F167" s="235">
        <f>F164</f>
        <v>1434636</v>
      </c>
      <c r="G167" s="236"/>
      <c r="H167" s="552"/>
      <c r="I167" s="237"/>
    </row>
    <row r="168" spans="1:13">
      <c r="A168" s="237"/>
      <c r="B168" s="103" t="s">
        <v>122</v>
      </c>
      <c r="C168" s="104"/>
      <c r="D168" s="104"/>
      <c r="E168" s="104"/>
      <c r="F168" s="235">
        <f>F166-F167</f>
        <v>0</v>
      </c>
      <c r="G168" s="236"/>
      <c r="H168" s="552"/>
      <c r="I168" s="237"/>
    </row>
    <row r="170" spans="1:13">
      <c r="A170" s="70" t="s">
        <v>123</v>
      </c>
    </row>
    <row r="171" spans="1:13">
      <c r="A171" s="70" t="s">
        <v>124</v>
      </c>
    </row>
    <row r="172" spans="1:13">
      <c r="A172" s="70" t="s">
        <v>615</v>
      </c>
    </row>
    <row r="174" spans="1:13">
      <c r="G174" s="7"/>
      <c r="H174" s="541"/>
    </row>
    <row r="175" spans="1:13">
      <c r="A175" s="86" t="s">
        <v>125</v>
      </c>
      <c r="B175" s="87"/>
      <c r="C175" s="87"/>
      <c r="E175" s="86" t="s">
        <v>126</v>
      </c>
      <c r="F175" s="87"/>
    </row>
    <row r="177" spans="1:8">
      <c r="G177" s="7"/>
      <c r="H177" s="541"/>
    </row>
    <row r="178" spans="1:8">
      <c r="A178" s="86" t="s">
        <v>127</v>
      </c>
      <c r="B178" s="87"/>
      <c r="C178" s="87"/>
      <c r="E178" s="86" t="s">
        <v>128</v>
      </c>
      <c r="F178" s="87"/>
    </row>
  </sheetData>
  <sortState ref="A52:J71">
    <sortCondition ref="C52:C71"/>
  </sortState>
  <phoneticPr fontId="0" type="noConversion"/>
  <pageMargins left="0.5" right="0.1" top="0.25" bottom="0.65" header="0.5" footer="0.5"/>
  <pageSetup scale="85" orientation="landscape" horizontalDpi="300" verticalDpi="300" r:id="rId1"/>
  <headerFooter alignWithMargins="0">
    <oddFooter>&amp;CPage &amp;P&amp;R&amp;A</oddFooter>
  </headerFooter>
  <rowBreaks count="4" manualBreakCount="4">
    <brk id="35" max="16383" man="1"/>
    <brk id="70" max="9" man="1"/>
    <brk id="95" max="9" man="1"/>
    <brk id="1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6"/>
  <sheetViews>
    <sheetView topLeftCell="A13" zoomScale="85" workbookViewId="0">
      <selection activeCell="N85" sqref="N85"/>
    </sheetView>
  </sheetViews>
  <sheetFormatPr defaultRowHeight="12.75"/>
  <cols>
    <col min="1" max="1" width="24.140625" customWidth="1"/>
    <col min="2" max="2" width="19.140625" customWidth="1"/>
    <col min="3" max="3" width="16.5703125" customWidth="1"/>
    <col min="4" max="4" width="7.85546875" customWidth="1"/>
    <col min="5" max="5" width="10.85546875" customWidth="1"/>
    <col min="6" max="6" width="14.7109375" customWidth="1"/>
    <col min="7" max="7" width="10" customWidth="1"/>
    <col min="8" max="8" width="10" style="507" hidden="1" customWidth="1"/>
    <col min="9" max="9" width="11.85546875" customWidth="1"/>
    <col min="10" max="10" width="12.85546875" customWidth="1"/>
    <col min="11" max="11" width="9.85546875" customWidth="1"/>
  </cols>
  <sheetData>
    <row r="1" spans="1:12" ht="15.75">
      <c r="C1" s="24" t="str">
        <f>Data!$C$1</f>
        <v>ELIZABETHTOWN INDEPENDENT SCHOOLS</v>
      </c>
      <c r="L1" s="459"/>
    </row>
    <row r="2" spans="1:12" ht="15">
      <c r="D2" s="69"/>
      <c r="J2" s="3"/>
      <c r="K2" s="3"/>
    </row>
    <row r="3" spans="1:12" ht="15.75">
      <c r="A3" s="1"/>
      <c r="C3" s="5" t="s">
        <v>2</v>
      </c>
      <c r="D3" s="11"/>
      <c r="E3" s="6"/>
      <c r="F3" s="2"/>
      <c r="G3" s="2"/>
      <c r="H3" s="553"/>
      <c r="I3" s="3"/>
      <c r="J3" s="3"/>
      <c r="K3" s="3"/>
    </row>
    <row r="4" spans="1:12" ht="15.75">
      <c r="A4" s="1"/>
      <c r="C4" s="12"/>
      <c r="D4" s="5" t="s">
        <v>3</v>
      </c>
      <c r="E4" s="6"/>
      <c r="F4" s="2"/>
      <c r="G4" s="2"/>
      <c r="H4" s="553"/>
      <c r="I4" s="3"/>
      <c r="J4" s="3"/>
      <c r="K4" s="3"/>
    </row>
    <row r="5" spans="1:12" ht="15.75">
      <c r="A5" s="1"/>
      <c r="C5" s="12"/>
      <c r="D5" s="13" t="s">
        <v>4</v>
      </c>
      <c r="E5" s="6"/>
      <c r="F5" s="2"/>
      <c r="G5" s="2"/>
      <c r="H5" s="553"/>
      <c r="I5" s="3"/>
      <c r="J5" s="3"/>
      <c r="K5" s="3"/>
    </row>
    <row r="6" spans="1:12" ht="13.5" thickBot="1">
      <c r="A6" s="242" t="str">
        <f>+Data!I7</f>
        <v>2013-2014</v>
      </c>
      <c r="B6" s="242"/>
      <c r="C6" s="338" t="s">
        <v>138</v>
      </c>
    </row>
    <row r="7" spans="1:12">
      <c r="A7" s="146" t="s">
        <v>6</v>
      </c>
      <c r="B7" s="148"/>
      <c r="C7" s="147" t="s">
        <v>27</v>
      </c>
      <c r="D7" s="147" t="s">
        <v>28</v>
      </c>
      <c r="E7" s="147" t="s">
        <v>335</v>
      </c>
      <c r="F7" s="147" t="s">
        <v>139</v>
      </c>
      <c r="G7" s="147" t="s">
        <v>184</v>
      </c>
      <c r="H7" s="556"/>
      <c r="I7" s="149" t="s">
        <v>30</v>
      </c>
    </row>
    <row r="8" spans="1:12" ht="13.5" thickBot="1">
      <c r="A8" s="151"/>
      <c r="B8" s="152"/>
      <c r="C8" s="152"/>
      <c r="D8" s="153" t="s">
        <v>140</v>
      </c>
      <c r="E8" s="153" t="s">
        <v>336</v>
      </c>
      <c r="F8" s="153" t="s">
        <v>32</v>
      </c>
      <c r="G8" s="153" t="s">
        <v>337</v>
      </c>
      <c r="H8" s="533"/>
      <c r="I8" s="154" t="s">
        <v>34</v>
      </c>
    </row>
    <row r="10" spans="1:12" ht="18.75">
      <c r="A10" s="407" t="str">
        <f>Data!$C$9</f>
        <v>T. K. Stone M/S</v>
      </c>
      <c r="B10" s="244"/>
      <c r="C10" s="244" t="s">
        <v>347</v>
      </c>
      <c r="D10" s="156">
        <f>ROUND(F10/G10,1)</f>
        <v>8.1999999999999993</v>
      </c>
      <c r="E10">
        <f>ROUND(F10/29,1)</f>
        <v>6.5</v>
      </c>
      <c r="F10" s="243">
        <f>Data!$E$24</f>
        <v>188</v>
      </c>
      <c r="G10" s="157">
        <v>23</v>
      </c>
      <c r="H10" s="557"/>
      <c r="I10" s="158">
        <f>ROUND(F10/D10,2)</f>
        <v>22.93</v>
      </c>
    </row>
    <row r="11" spans="1:12" ht="16.5">
      <c r="A11" s="155"/>
      <c r="B11" s="244"/>
      <c r="C11" s="244" t="s">
        <v>348</v>
      </c>
      <c r="D11" s="156">
        <f>ROUND(F11/G11,1)</f>
        <v>8</v>
      </c>
      <c r="E11">
        <f>ROUND(F11/31,1)</f>
        <v>6</v>
      </c>
      <c r="F11" s="243">
        <f>Data!$E$25</f>
        <v>185</v>
      </c>
      <c r="G11" s="157">
        <v>23</v>
      </c>
      <c r="H11" s="557"/>
      <c r="I11" s="158">
        <f>ROUND(F11/D11,2)</f>
        <v>23.13</v>
      </c>
    </row>
    <row r="12" spans="1:12" ht="16.5">
      <c r="B12" s="244"/>
      <c r="C12" s="244" t="s">
        <v>349</v>
      </c>
      <c r="D12" s="156">
        <f>ROUND(F12/G12,1)</f>
        <v>8.3000000000000007</v>
      </c>
      <c r="E12">
        <f>ROUND(F12/31,1)</f>
        <v>6.2</v>
      </c>
      <c r="F12" s="243">
        <f>Data!$E$26</f>
        <v>192</v>
      </c>
      <c r="G12" s="157">
        <v>23</v>
      </c>
      <c r="H12" s="557"/>
      <c r="I12" s="158">
        <f>ROUND(F12/D12,2)</f>
        <v>23.13</v>
      </c>
    </row>
    <row r="13" spans="1:12" ht="13.5" thickBot="1">
      <c r="B13" s="29"/>
      <c r="C13" s="29"/>
      <c r="D13" s="29"/>
      <c r="E13" s="29"/>
    </row>
    <row r="14" spans="1:12" ht="18">
      <c r="A14" s="410" t="s">
        <v>37</v>
      </c>
      <c r="D14" s="435">
        <f>ROUND(SUM(E9:E13)*D15,1)</f>
        <v>23</v>
      </c>
      <c r="F14" s="159"/>
      <c r="G14" s="245">
        <f>Data!E38</f>
        <v>565</v>
      </c>
      <c r="H14" s="558"/>
      <c r="I14" s="161"/>
    </row>
    <row r="15" spans="1:12" ht="18">
      <c r="A15" s="162" t="s">
        <v>344</v>
      </c>
      <c r="B15" s="163"/>
      <c r="C15" s="163"/>
      <c r="D15" s="432">
        <v>1.23</v>
      </c>
      <c r="E15" s="429"/>
      <c r="F15" s="164"/>
      <c r="G15" s="165"/>
      <c r="H15" s="559"/>
      <c r="I15" s="26"/>
    </row>
    <row r="16" spans="1:12" ht="18">
      <c r="A16" s="412" t="s">
        <v>329</v>
      </c>
      <c r="B16" s="163"/>
      <c r="C16" s="163"/>
      <c r="D16" s="435">
        <f>SUM(D9:D13)</f>
        <v>24.5</v>
      </c>
      <c r="E16" s="429"/>
      <c r="F16" s="164"/>
      <c r="G16" s="165"/>
      <c r="H16" s="559"/>
      <c r="I16" s="26"/>
    </row>
    <row r="17" spans="1:10" ht="18">
      <c r="A17" s="430" t="s">
        <v>345</v>
      </c>
      <c r="B17" s="163"/>
      <c r="C17" s="163"/>
      <c r="D17" s="435">
        <v>0</v>
      </c>
      <c r="E17" s="429"/>
      <c r="F17" s="164"/>
      <c r="G17" s="165"/>
      <c r="H17" s="559"/>
      <c r="I17" s="26"/>
    </row>
    <row r="18" spans="1:10" ht="18.75" thickBot="1">
      <c r="A18" s="430" t="s">
        <v>444</v>
      </c>
      <c r="B18" s="163"/>
      <c r="C18" s="163"/>
      <c r="D18" s="436">
        <v>0</v>
      </c>
      <c r="E18" s="429"/>
      <c r="F18" s="164"/>
      <c r="G18" s="165"/>
      <c r="H18" s="559"/>
      <c r="I18" s="26"/>
    </row>
    <row r="19" spans="1:10" ht="18.75" thickTop="1">
      <c r="A19" s="430" t="s">
        <v>442</v>
      </c>
      <c r="B19" s="163"/>
      <c r="C19" s="163"/>
      <c r="D19" s="435">
        <f>D17+D16+D18</f>
        <v>24.5</v>
      </c>
      <c r="E19" s="164"/>
      <c r="F19" s="164"/>
      <c r="G19" s="165"/>
      <c r="H19" s="559"/>
      <c r="I19" s="26"/>
    </row>
    <row r="20" spans="1:10" ht="18.75" thickBot="1">
      <c r="A20" s="168" t="str">
        <f>A10</f>
        <v>T. K. Stone M/S</v>
      </c>
      <c r="B20" s="169"/>
      <c r="C20" s="169" t="s">
        <v>39</v>
      </c>
      <c r="D20" s="437">
        <f>ROUND(C80,1)</f>
        <v>24.4</v>
      </c>
      <c r="E20" s="170"/>
      <c r="F20" s="388"/>
      <c r="G20" s="171"/>
      <c r="H20" s="560"/>
      <c r="I20" s="30"/>
    </row>
    <row r="21" spans="1:10" ht="15">
      <c r="A21" s="150"/>
      <c r="B21" s="150"/>
      <c r="C21" s="150"/>
      <c r="D21" s="458"/>
      <c r="E21" s="150"/>
      <c r="F21" s="150"/>
      <c r="G21" s="150"/>
      <c r="H21" s="524"/>
    </row>
    <row r="22" spans="1:10" ht="18">
      <c r="A22" s="247" t="s">
        <v>40</v>
      </c>
      <c r="B22" s="150"/>
      <c r="C22" s="175">
        <f>D20-D14</f>
        <v>1.3999999999999986</v>
      </c>
      <c r="E22" s="150"/>
      <c r="F22" s="176"/>
      <c r="G22" s="150"/>
      <c r="H22" s="524"/>
    </row>
    <row r="23" spans="1:10" ht="18">
      <c r="A23" s="150" t="s">
        <v>320</v>
      </c>
      <c r="B23" s="405">
        <f>D20</f>
        <v>24.4</v>
      </c>
      <c r="C23" s="404">
        <f>G14/D19</f>
        <v>23.061224489795919</v>
      </c>
      <c r="D23" s="150"/>
      <c r="E23" s="150"/>
      <c r="F23" s="150"/>
      <c r="G23" s="150"/>
      <c r="H23" s="524"/>
      <c r="I23" s="178"/>
    </row>
    <row r="24" spans="1:10" ht="15">
      <c r="A24" s="150"/>
      <c r="B24" s="150"/>
      <c r="C24" s="150"/>
      <c r="D24" s="150"/>
      <c r="E24" s="150"/>
      <c r="F24" s="150"/>
      <c r="G24" s="150"/>
      <c r="H24" s="524"/>
    </row>
    <row r="25" spans="1:10" ht="19.5" thickBot="1">
      <c r="A25" s="179" t="str">
        <f>A10</f>
        <v>T. K. Stone M/S</v>
      </c>
      <c r="C25" s="180" t="str">
        <f>+Data!$I$7</f>
        <v>2013-2014</v>
      </c>
      <c r="D25" s="120"/>
      <c r="E25" s="181" t="s">
        <v>41</v>
      </c>
      <c r="F25" s="150"/>
      <c r="G25" s="150"/>
      <c r="H25" s="524"/>
    </row>
    <row r="26" spans="1:10" ht="15.75">
      <c r="A26" s="182" t="s">
        <v>42</v>
      </c>
      <c r="B26" s="183" t="s">
        <v>43</v>
      </c>
      <c r="C26" s="184" t="s">
        <v>44</v>
      </c>
      <c r="D26" s="184"/>
      <c r="E26" s="184"/>
      <c r="F26" s="183" t="s">
        <v>45</v>
      </c>
      <c r="G26" s="183" t="s">
        <v>46</v>
      </c>
      <c r="H26" s="505" t="s">
        <v>446</v>
      </c>
      <c r="I26" s="183" t="s">
        <v>47</v>
      </c>
      <c r="J26" s="409" t="s">
        <v>459</v>
      </c>
    </row>
    <row r="27" spans="1:10" ht="16.5" thickBot="1">
      <c r="A27" s="185" t="s">
        <v>19</v>
      </c>
      <c r="B27" s="186" t="s">
        <v>48</v>
      </c>
      <c r="C27" s="173"/>
      <c r="D27" s="173"/>
      <c r="E27" s="173"/>
      <c r="F27" s="173"/>
      <c r="G27" s="173"/>
      <c r="H27" s="506"/>
      <c r="I27" s="173"/>
      <c r="J27" s="187" t="str">
        <f>+C25</f>
        <v>2013-2014</v>
      </c>
    </row>
    <row r="29" spans="1:10" ht="15.75">
      <c r="A29" s="317" t="s">
        <v>141</v>
      </c>
      <c r="B29" s="397">
        <v>1</v>
      </c>
      <c r="C29" s="464" t="s">
        <v>142</v>
      </c>
      <c r="D29" s="150"/>
      <c r="F29" s="189" t="s">
        <v>11</v>
      </c>
      <c r="G29" s="395">
        <v>33</v>
      </c>
      <c r="H29" s="543">
        <f>G29+1</f>
        <v>34</v>
      </c>
      <c r="I29" s="482">
        <v>1</v>
      </c>
      <c r="J29" s="53">
        <f>VLOOKUP(G29,Data!$B$120:$G$151,I29+1)*B29</f>
        <v>62266</v>
      </c>
    </row>
    <row r="30" spans="1:10" ht="6" customHeight="1">
      <c r="A30" s="253"/>
      <c r="B30" s="397"/>
      <c r="C30" s="248"/>
      <c r="D30" s="150"/>
      <c r="F30" s="189"/>
      <c r="G30" t="s">
        <v>326</v>
      </c>
      <c r="I30" s="482"/>
      <c r="J30" s="53"/>
    </row>
    <row r="31" spans="1:10" ht="15.75">
      <c r="A31" s="317" t="s">
        <v>141</v>
      </c>
      <c r="B31" s="397">
        <v>1</v>
      </c>
      <c r="C31" s="675" t="s">
        <v>484</v>
      </c>
      <c r="D31" s="150"/>
      <c r="F31" s="255" t="s">
        <v>50</v>
      </c>
      <c r="G31" s="395">
        <v>16</v>
      </c>
      <c r="H31" s="543">
        <f>G31+1</f>
        <v>17</v>
      </c>
      <c r="I31" s="482">
        <v>1</v>
      </c>
      <c r="J31" s="53">
        <f>VLOOKUP(G31,Data!$B$120:$G$151,I31+1)*B31</f>
        <v>56350</v>
      </c>
    </row>
    <row r="32" spans="1:10" ht="15.75">
      <c r="A32" s="253" t="s">
        <v>326</v>
      </c>
      <c r="B32" s="397"/>
      <c r="C32" s="248"/>
      <c r="D32" s="150"/>
      <c r="F32" s="189" t="s">
        <v>326</v>
      </c>
      <c r="I32" s="482"/>
      <c r="J32" s="53"/>
    </row>
    <row r="33" spans="1:10" ht="6" customHeight="1">
      <c r="A33" s="253"/>
      <c r="B33" s="397"/>
      <c r="C33" s="248"/>
      <c r="D33" s="150"/>
      <c r="F33" s="189"/>
      <c r="I33" s="482"/>
      <c r="J33" s="53"/>
    </row>
    <row r="34" spans="1:10" ht="15.75">
      <c r="A34" s="317" t="s">
        <v>143</v>
      </c>
      <c r="B34" s="397">
        <v>1</v>
      </c>
      <c r="C34" s="464" t="s">
        <v>513</v>
      </c>
      <c r="D34" s="150"/>
      <c r="F34" s="189" t="s">
        <v>52</v>
      </c>
      <c r="G34" s="395">
        <v>18</v>
      </c>
      <c r="H34" s="543">
        <f>G34+1</f>
        <v>19</v>
      </c>
      <c r="I34" s="482">
        <v>1</v>
      </c>
      <c r="J34" s="53">
        <f>VLOOKUP(G34,Data!$B$120:$G$151,I34+1)*B34</f>
        <v>57554</v>
      </c>
    </row>
    <row r="35" spans="1:10" ht="15.75">
      <c r="A35" s="253" t="s">
        <v>326</v>
      </c>
      <c r="B35" s="397" t="s">
        <v>326</v>
      </c>
      <c r="C35" s="248"/>
      <c r="D35" s="150"/>
      <c r="F35" s="189" t="s">
        <v>326</v>
      </c>
      <c r="G35" t="s">
        <v>326</v>
      </c>
      <c r="I35" s="188"/>
      <c r="J35" s="53" t="s">
        <v>326</v>
      </c>
    </row>
    <row r="36" spans="1:10" ht="5.25" customHeight="1">
      <c r="A36" s="253"/>
      <c r="B36" s="190"/>
      <c r="C36" s="191"/>
      <c r="D36" s="150"/>
      <c r="F36" s="189"/>
      <c r="I36" s="192"/>
      <c r="J36" s="53"/>
    </row>
    <row r="37" spans="1:10" ht="15.75">
      <c r="A37" s="317" t="s">
        <v>144</v>
      </c>
      <c r="B37" s="397">
        <v>1</v>
      </c>
      <c r="C37" s="464" t="s">
        <v>466</v>
      </c>
      <c r="D37" s="150"/>
      <c r="F37" s="189" t="s">
        <v>54</v>
      </c>
      <c r="G37" s="395">
        <v>12</v>
      </c>
      <c r="H37" s="543">
        <f>G37+1</f>
        <v>13</v>
      </c>
      <c r="I37" s="395">
        <v>2</v>
      </c>
      <c r="J37" s="53">
        <f>VLOOKUP(G37,Data!$B$120:$G$151,I37+1)*B37</f>
        <v>49287</v>
      </c>
    </row>
    <row r="38" spans="1:10" ht="15.75">
      <c r="A38" s="253" t="s">
        <v>326</v>
      </c>
      <c r="B38" s="188"/>
      <c r="C38" s="248"/>
      <c r="D38" s="150"/>
      <c r="F38" s="189" t="s">
        <v>326</v>
      </c>
      <c r="I38" s="188"/>
      <c r="J38" s="53"/>
    </row>
    <row r="39" spans="1:10" ht="4.5" customHeight="1">
      <c r="A39" s="254"/>
      <c r="B39" s="150"/>
      <c r="C39" s="174"/>
      <c r="D39" s="150"/>
      <c r="F39" s="189"/>
      <c r="I39" s="150"/>
      <c r="J39" s="53"/>
    </row>
    <row r="40" spans="1:10" ht="15.75">
      <c r="A40" s="317" t="s">
        <v>145</v>
      </c>
      <c r="B40" s="397">
        <v>1</v>
      </c>
      <c r="C40" s="464" t="s">
        <v>540</v>
      </c>
      <c r="D40" s="150"/>
      <c r="F40" s="189" t="s">
        <v>57</v>
      </c>
      <c r="G40" s="395">
        <v>5</v>
      </c>
      <c r="H40" s="543">
        <f t="shared" ref="H40:H52" si="0">G40+1</f>
        <v>6</v>
      </c>
      <c r="I40" s="395">
        <v>2</v>
      </c>
      <c r="J40" s="53">
        <f>VLOOKUP(G40,Data!$B$120:$G$151,I40+1)*B40</f>
        <v>43090</v>
      </c>
    </row>
    <row r="41" spans="1:10" ht="15.75">
      <c r="A41" s="317" t="s">
        <v>145</v>
      </c>
      <c r="B41" s="397">
        <v>1</v>
      </c>
      <c r="C41" s="675" t="s">
        <v>566</v>
      </c>
      <c r="D41" s="150"/>
      <c r="F41" s="189" t="s">
        <v>57</v>
      </c>
      <c r="G41" s="395">
        <v>2</v>
      </c>
      <c r="H41" s="543">
        <f t="shared" si="0"/>
        <v>3</v>
      </c>
      <c r="I41" s="395">
        <v>3</v>
      </c>
      <c r="J41" s="53">
        <f>VLOOKUP(G41,Data!$B$120:$G$151,I41+1)*B41</f>
        <v>37257</v>
      </c>
    </row>
    <row r="42" spans="1:10" ht="15.75">
      <c r="A42" s="317" t="s">
        <v>145</v>
      </c>
      <c r="B42" s="397">
        <v>0.6</v>
      </c>
      <c r="C42" s="464" t="s">
        <v>483</v>
      </c>
      <c r="D42" s="150"/>
      <c r="F42" s="189" t="s">
        <v>57</v>
      </c>
      <c r="G42" s="395">
        <v>10</v>
      </c>
      <c r="H42" s="543">
        <f t="shared" si="0"/>
        <v>11</v>
      </c>
      <c r="I42" s="395">
        <v>2</v>
      </c>
      <c r="J42" s="53">
        <f>VLOOKUP(G42,Data!$B$120:$G$151,I42+1)*B42</f>
        <v>28851</v>
      </c>
    </row>
    <row r="43" spans="1:10" ht="15.75">
      <c r="A43" s="317" t="s">
        <v>145</v>
      </c>
      <c r="B43" s="397">
        <v>1</v>
      </c>
      <c r="C43" s="464" t="s">
        <v>411</v>
      </c>
      <c r="D43" s="150"/>
      <c r="F43" s="189" t="s">
        <v>57</v>
      </c>
      <c r="G43" s="395">
        <v>22</v>
      </c>
      <c r="H43" s="543">
        <f t="shared" si="0"/>
        <v>23</v>
      </c>
      <c r="I43" s="395">
        <v>1</v>
      </c>
      <c r="J43" s="53">
        <f>VLOOKUP(G43,Data!$B$120:$G$151,I43+1)*B43</f>
        <v>59947</v>
      </c>
    </row>
    <row r="44" spans="1:10" ht="15.75">
      <c r="A44" s="317" t="s">
        <v>145</v>
      </c>
      <c r="B44" s="397">
        <v>1</v>
      </c>
      <c r="C44" s="464" t="s">
        <v>425</v>
      </c>
      <c r="D44" s="150"/>
      <c r="F44" s="189" t="s">
        <v>57</v>
      </c>
      <c r="G44" s="395">
        <v>20</v>
      </c>
      <c r="H44" s="543">
        <f t="shared" si="0"/>
        <v>21</v>
      </c>
      <c r="I44" s="395">
        <v>1</v>
      </c>
      <c r="J44" s="53">
        <f>VLOOKUP(G44,Data!$B$120:$G$151,I44+1)*B44</f>
        <v>59405</v>
      </c>
    </row>
    <row r="45" spans="1:10" ht="15.75">
      <c r="A45" s="317" t="s">
        <v>145</v>
      </c>
      <c r="B45" s="397">
        <v>1</v>
      </c>
      <c r="C45" s="464" t="s">
        <v>465</v>
      </c>
      <c r="D45" s="579"/>
      <c r="E45" s="193"/>
      <c r="F45" s="189" t="s">
        <v>57</v>
      </c>
      <c r="G45" s="395">
        <v>18</v>
      </c>
      <c r="H45" s="395">
        <f t="shared" si="0"/>
        <v>19</v>
      </c>
      <c r="I45" s="395">
        <v>2</v>
      </c>
      <c r="J45" s="53">
        <f>VLOOKUP(G45,Data!$B$120:$G$151,I45+1)*B45</f>
        <v>53623</v>
      </c>
    </row>
    <row r="46" spans="1:10" ht="15.75">
      <c r="A46" s="317" t="s">
        <v>145</v>
      </c>
      <c r="B46" s="397">
        <v>1</v>
      </c>
      <c r="C46" s="464" t="s">
        <v>438</v>
      </c>
      <c r="D46" s="150"/>
      <c r="F46" s="189" t="s">
        <v>57</v>
      </c>
      <c r="G46" s="395">
        <v>14</v>
      </c>
      <c r="H46" s="543">
        <f t="shared" si="0"/>
        <v>15</v>
      </c>
      <c r="I46" s="395">
        <v>2</v>
      </c>
      <c r="J46" s="638">
        <f>VLOOKUP(G46,Data!$B$120:$G$151,I46+1)*B46</f>
        <v>50477</v>
      </c>
    </row>
    <row r="47" spans="1:10" ht="15.75">
      <c r="A47" s="317" t="s">
        <v>145</v>
      </c>
      <c r="B47" s="397">
        <v>1</v>
      </c>
      <c r="C47" s="464" t="s">
        <v>414</v>
      </c>
      <c r="D47" s="150"/>
      <c r="F47" s="189" t="s">
        <v>57</v>
      </c>
      <c r="G47" s="395">
        <v>28</v>
      </c>
      <c r="H47" s="543">
        <f t="shared" si="0"/>
        <v>29</v>
      </c>
      <c r="I47" s="395">
        <v>2</v>
      </c>
      <c r="J47" s="53">
        <f>VLOOKUP(G47,Data!$B$120:$G$151,I47+1)*B47</f>
        <v>57656</v>
      </c>
    </row>
    <row r="48" spans="1:10" ht="15.75">
      <c r="A48" s="317" t="s">
        <v>145</v>
      </c>
      <c r="B48" s="397">
        <v>1</v>
      </c>
      <c r="C48" s="464" t="s">
        <v>439</v>
      </c>
      <c r="D48" s="150"/>
      <c r="F48" s="189" t="s">
        <v>57</v>
      </c>
      <c r="G48" s="395">
        <v>20</v>
      </c>
      <c r="H48" s="543">
        <f t="shared" si="0"/>
        <v>21</v>
      </c>
      <c r="I48" s="395">
        <v>1</v>
      </c>
      <c r="J48" s="53">
        <f>VLOOKUP(G48,Data!$B$120:$G$151,I48+1)*B48</f>
        <v>59405</v>
      </c>
    </row>
    <row r="49" spans="1:10" ht="15.75">
      <c r="A49" s="317" t="s">
        <v>145</v>
      </c>
      <c r="B49" s="397">
        <v>1</v>
      </c>
      <c r="C49" s="464" t="s">
        <v>426</v>
      </c>
      <c r="E49" s="193"/>
      <c r="F49" s="189" t="s">
        <v>57</v>
      </c>
      <c r="G49" s="395">
        <v>29</v>
      </c>
      <c r="H49" s="543">
        <f t="shared" si="0"/>
        <v>30</v>
      </c>
      <c r="I49" s="395">
        <v>1</v>
      </c>
      <c r="J49" s="53">
        <f>VLOOKUP(G49,Data!$B$120:$G$151,I49+1)*B49</f>
        <v>62266</v>
      </c>
    </row>
    <row r="50" spans="1:10" ht="15.75">
      <c r="A50" s="481">
        <v>351118</v>
      </c>
      <c r="B50" s="397">
        <v>1</v>
      </c>
      <c r="C50" s="464" t="s">
        <v>471</v>
      </c>
      <c r="D50" s="150"/>
      <c r="F50" s="189" t="s">
        <v>57</v>
      </c>
      <c r="G50" s="395">
        <v>5</v>
      </c>
      <c r="H50" s="543">
        <f t="shared" si="0"/>
        <v>6</v>
      </c>
      <c r="I50" s="395">
        <v>3</v>
      </c>
      <c r="J50" s="53">
        <f>VLOOKUP(G50,Data!$B$120:$G$151,I50+1)*B50</f>
        <v>39699</v>
      </c>
    </row>
    <row r="51" spans="1:10" ht="15.75">
      <c r="A51" s="317" t="s">
        <v>145</v>
      </c>
      <c r="B51" s="397">
        <v>1</v>
      </c>
      <c r="C51" s="675" t="s">
        <v>600</v>
      </c>
      <c r="D51" s="150"/>
      <c r="F51" s="189" t="s">
        <v>57</v>
      </c>
      <c r="G51" s="395">
        <v>12</v>
      </c>
      <c r="H51" s="543">
        <f t="shared" si="0"/>
        <v>13</v>
      </c>
      <c r="I51" s="395">
        <v>1</v>
      </c>
      <c r="J51" s="53">
        <f>VLOOKUP(G51,Data!$B$120:$G$151,I51+1)*B51</f>
        <v>53232</v>
      </c>
    </row>
    <row r="52" spans="1:10" ht="15.75">
      <c r="A52" s="317" t="s">
        <v>145</v>
      </c>
      <c r="B52" s="397">
        <v>1</v>
      </c>
      <c r="C52" s="464" t="s">
        <v>383</v>
      </c>
      <c r="D52" s="150"/>
      <c r="F52" s="189" t="s">
        <v>57</v>
      </c>
      <c r="G52" s="395">
        <v>25</v>
      </c>
      <c r="H52" s="543">
        <f t="shared" si="0"/>
        <v>26</v>
      </c>
      <c r="I52" s="395">
        <v>2</v>
      </c>
      <c r="J52" s="53">
        <f>VLOOKUP(G52,Data!$B$120:$G$151,I52+1)*B52</f>
        <v>57656</v>
      </c>
    </row>
    <row r="53" spans="1:10" ht="15.75">
      <c r="A53" s="317" t="s">
        <v>145</v>
      </c>
      <c r="B53" s="397">
        <v>1</v>
      </c>
      <c r="C53" s="464" t="s">
        <v>527</v>
      </c>
      <c r="E53" s="193"/>
      <c r="F53" s="189" t="s">
        <v>57</v>
      </c>
      <c r="G53" s="395">
        <v>5</v>
      </c>
      <c r="H53" s="543">
        <f t="shared" ref="H53:H58" si="1">G53+1</f>
        <v>6</v>
      </c>
      <c r="I53" s="395">
        <v>3</v>
      </c>
      <c r="J53" s="53">
        <f>VLOOKUP(G53,Data!$B$120:$G$151,I53+1)*B53</f>
        <v>39699</v>
      </c>
    </row>
    <row r="54" spans="1:10" ht="15.75">
      <c r="A54" s="317" t="s">
        <v>145</v>
      </c>
      <c r="B54" s="397">
        <v>1</v>
      </c>
      <c r="C54" s="464" t="s">
        <v>300</v>
      </c>
      <c r="D54" s="150"/>
      <c r="F54" s="189" t="s">
        <v>57</v>
      </c>
      <c r="G54" s="395">
        <v>16</v>
      </c>
      <c r="H54" s="543">
        <f t="shared" si="1"/>
        <v>17</v>
      </c>
      <c r="I54" s="395">
        <v>1</v>
      </c>
      <c r="J54" s="53">
        <f>VLOOKUP(G54,Data!$B$120:$G$151,I54+1)*B54</f>
        <v>56350</v>
      </c>
    </row>
    <row r="55" spans="1:10" ht="15.75">
      <c r="A55" s="317" t="s">
        <v>145</v>
      </c>
      <c r="B55" s="397">
        <v>1</v>
      </c>
      <c r="C55" s="464" t="s">
        <v>147</v>
      </c>
      <c r="D55" s="150"/>
      <c r="F55" s="189" t="s">
        <v>57</v>
      </c>
      <c r="G55" s="395">
        <v>19</v>
      </c>
      <c r="H55" s="543">
        <f t="shared" si="1"/>
        <v>20</v>
      </c>
      <c r="I55" s="395">
        <v>1</v>
      </c>
      <c r="J55" s="53">
        <f>VLOOKUP(G55,Data!$B$120:$G$151,I55+1)*B55</f>
        <v>58147</v>
      </c>
    </row>
    <row r="56" spans="1:10" ht="15.75">
      <c r="A56" s="317" t="s">
        <v>145</v>
      </c>
      <c r="B56" s="397">
        <v>1</v>
      </c>
      <c r="C56" s="464" t="s">
        <v>388</v>
      </c>
      <c r="D56" s="150"/>
      <c r="F56" s="189" t="s">
        <v>57</v>
      </c>
      <c r="G56" s="395">
        <v>24</v>
      </c>
      <c r="H56" s="543">
        <f t="shared" si="1"/>
        <v>25</v>
      </c>
      <c r="I56" s="395">
        <v>2</v>
      </c>
      <c r="J56" s="53">
        <f>VLOOKUP(G56,Data!$B$120:$G$151,I56+1)*B56</f>
        <v>57056</v>
      </c>
    </row>
    <row r="57" spans="1:10" ht="15.75">
      <c r="A57" s="317" t="s">
        <v>145</v>
      </c>
      <c r="B57" s="397">
        <v>1</v>
      </c>
      <c r="C57" s="464" t="s">
        <v>318</v>
      </c>
      <c r="D57" s="150"/>
      <c r="F57" s="189" t="s">
        <v>57</v>
      </c>
      <c r="G57" s="395">
        <v>25</v>
      </c>
      <c r="H57" s="543">
        <f t="shared" si="1"/>
        <v>26</v>
      </c>
      <c r="I57" s="395">
        <v>1</v>
      </c>
      <c r="J57" s="504">
        <f>VLOOKUP(G57,Data!$B$120:$G$151,I57+1)*B57</f>
        <v>62266</v>
      </c>
    </row>
    <row r="58" spans="1:10" ht="15.75">
      <c r="A58" s="317" t="s">
        <v>145</v>
      </c>
      <c r="B58" s="397">
        <v>1</v>
      </c>
      <c r="C58" s="464" t="s">
        <v>523</v>
      </c>
      <c r="D58" s="150"/>
      <c r="F58" s="189" t="s">
        <v>57</v>
      </c>
      <c r="G58" s="395">
        <v>3</v>
      </c>
      <c r="H58" s="543">
        <f t="shared" si="1"/>
        <v>4</v>
      </c>
      <c r="I58" s="395">
        <v>3</v>
      </c>
      <c r="J58" s="504">
        <f>VLOOKUP(G58,Data!$B$120:$G$151,I58+1)*B58</f>
        <v>37860</v>
      </c>
    </row>
    <row r="60" spans="1:10" ht="13.5" thickBot="1">
      <c r="C60" s="579"/>
    </row>
    <row r="61" spans="1:10" ht="15.75">
      <c r="A61" s="182" t="s">
        <v>42</v>
      </c>
      <c r="B61" s="183" t="s">
        <v>43</v>
      </c>
      <c r="C61" s="184" t="s">
        <v>44</v>
      </c>
      <c r="D61" s="184"/>
      <c r="E61" s="184"/>
      <c r="F61" s="183" t="s">
        <v>45</v>
      </c>
      <c r="G61" s="183" t="s">
        <v>46</v>
      </c>
      <c r="H61" s="505"/>
      <c r="I61" s="183" t="s">
        <v>47</v>
      </c>
      <c r="J61" s="409" t="s">
        <v>459</v>
      </c>
    </row>
    <row r="62" spans="1:10" ht="16.5" thickBot="1">
      <c r="A62" s="185" t="s">
        <v>19</v>
      </c>
      <c r="B62" s="186" t="s">
        <v>48</v>
      </c>
      <c r="C62" s="173"/>
      <c r="D62" s="173"/>
      <c r="E62" s="173"/>
      <c r="F62" s="173"/>
      <c r="G62" s="173"/>
      <c r="H62" s="506"/>
      <c r="I62" s="173"/>
      <c r="J62" s="187" t="str">
        <f>+C25</f>
        <v>2013-2014</v>
      </c>
    </row>
    <row r="63" spans="1:10" ht="15.75">
      <c r="A63" s="481"/>
      <c r="B63" s="481"/>
      <c r="C63" s="167"/>
      <c r="D63" s="167"/>
      <c r="E63" s="167"/>
      <c r="F63" s="167"/>
      <c r="G63" s="167"/>
      <c r="H63" s="561"/>
      <c r="I63" s="167"/>
      <c r="J63" s="489"/>
    </row>
    <row r="64" spans="1:10" ht="15.75">
      <c r="A64" s="317" t="s">
        <v>145</v>
      </c>
      <c r="B64" s="397">
        <v>1</v>
      </c>
      <c r="C64" s="675" t="s">
        <v>611</v>
      </c>
      <c r="E64" s="193"/>
      <c r="F64" s="189" t="s">
        <v>57</v>
      </c>
      <c r="G64" s="395">
        <v>21</v>
      </c>
      <c r="H64" s="543">
        <f>G64+1</f>
        <v>22</v>
      </c>
      <c r="I64" s="395">
        <v>1</v>
      </c>
      <c r="J64" s="53">
        <f>VLOOKUP(G64,Data!$B$120:$G$151,I64+1)*B64</f>
        <v>59743</v>
      </c>
    </row>
    <row r="65" spans="1:10" ht="15.75">
      <c r="A65" s="317" t="s">
        <v>145</v>
      </c>
      <c r="B65" s="397">
        <v>1</v>
      </c>
      <c r="C65" s="464" t="s">
        <v>520</v>
      </c>
      <c r="E65" s="193"/>
      <c r="F65" s="189" t="s">
        <v>57</v>
      </c>
      <c r="G65" s="395">
        <v>19</v>
      </c>
      <c r="H65" s="543">
        <f>G65+1</f>
        <v>20</v>
      </c>
      <c r="I65" s="395">
        <v>2</v>
      </c>
      <c r="J65" s="53">
        <f>VLOOKUP(G65,Data!$B$120:$G$151,I65+1)*B65</f>
        <v>54218</v>
      </c>
    </row>
    <row r="66" spans="1:10" ht="15.75">
      <c r="A66" s="577">
        <v>351118</v>
      </c>
      <c r="B66" s="591">
        <v>0.2</v>
      </c>
      <c r="C66" s="581" t="s">
        <v>412</v>
      </c>
      <c r="D66" s="167"/>
      <c r="E66" s="25"/>
      <c r="F66" s="503" t="s">
        <v>57</v>
      </c>
      <c r="G66" s="592">
        <v>26</v>
      </c>
      <c r="H66" s="593"/>
      <c r="I66" s="592">
        <v>2</v>
      </c>
      <c r="J66" s="638">
        <f>VLOOKUP(G66,Data!$B$120:$G$151,I66+1)*B66</f>
        <v>11531.2</v>
      </c>
    </row>
    <row r="67" spans="1:10" ht="15.75">
      <c r="A67" s="317" t="s">
        <v>145</v>
      </c>
      <c r="B67" s="591">
        <v>0.6</v>
      </c>
      <c r="C67" s="581" t="s">
        <v>384</v>
      </c>
      <c r="D67" s="167"/>
      <c r="E67" s="25"/>
      <c r="F67" s="503" t="s">
        <v>57</v>
      </c>
      <c r="G67" s="592">
        <v>23</v>
      </c>
      <c r="H67" s="593"/>
      <c r="I67" s="592">
        <v>2</v>
      </c>
      <c r="J67" s="53">
        <f>VLOOKUP(G67,Data!$B$120:$G$151,I67+1)*B67</f>
        <v>33958.799999999996</v>
      </c>
    </row>
    <row r="68" spans="1:10" ht="15.75">
      <c r="A68" s="317" t="s">
        <v>145</v>
      </c>
      <c r="B68" s="397">
        <v>1</v>
      </c>
      <c r="C68" s="464" t="s">
        <v>427</v>
      </c>
      <c r="D68" s="150"/>
      <c r="F68" s="189" t="s">
        <v>57</v>
      </c>
      <c r="G68" s="395">
        <v>11</v>
      </c>
      <c r="H68" s="543">
        <f>G68+1</f>
        <v>12</v>
      </c>
      <c r="I68" s="395">
        <v>2</v>
      </c>
      <c r="J68" s="53">
        <f>VLOOKUP(G68,Data!$B$120:$G$151,I68+1)*B68</f>
        <v>48679</v>
      </c>
    </row>
    <row r="69" spans="1:10" ht="15.75">
      <c r="A69" s="317" t="s">
        <v>145</v>
      </c>
      <c r="B69" s="397">
        <v>1</v>
      </c>
      <c r="C69" s="464" t="s">
        <v>408</v>
      </c>
      <c r="E69" s="193"/>
      <c r="F69" s="189" t="s">
        <v>57</v>
      </c>
      <c r="G69" s="395">
        <v>15</v>
      </c>
      <c r="H69" s="543">
        <f>G69+1</f>
        <v>16</v>
      </c>
      <c r="I69" s="395">
        <v>1</v>
      </c>
      <c r="J69" s="53">
        <f>VLOOKUP(G69,Data!$B$120:$G$151,I69+1)*B69</f>
        <v>55748</v>
      </c>
    </row>
    <row r="70" spans="1:10" ht="15.75">
      <c r="A70" s="317" t="s">
        <v>145</v>
      </c>
      <c r="B70" s="397">
        <v>1</v>
      </c>
      <c r="C70" s="464" t="s">
        <v>386</v>
      </c>
      <c r="E70" s="193"/>
      <c r="F70" s="189" t="s">
        <v>57</v>
      </c>
      <c r="G70" s="395">
        <v>25</v>
      </c>
      <c r="H70" s="543">
        <f>G70+1</f>
        <v>26</v>
      </c>
      <c r="I70" s="395">
        <v>2</v>
      </c>
      <c r="J70" s="638">
        <f>VLOOKUP(G70,Data!$B$120:$G$151,I70+1)*B70</f>
        <v>57656</v>
      </c>
    </row>
    <row r="71" spans="1:10" ht="15.75">
      <c r="A71" s="317"/>
      <c r="B71" s="397"/>
      <c r="E71" s="193"/>
      <c r="F71" s="189"/>
      <c r="G71" s="395"/>
      <c r="H71" s="543"/>
      <c r="I71" s="395"/>
      <c r="J71" s="53"/>
    </row>
    <row r="72" spans="1:10" ht="15.75">
      <c r="A72" s="317"/>
      <c r="B72" s="397"/>
      <c r="E72" s="193"/>
      <c r="F72" s="189"/>
      <c r="G72" s="395"/>
      <c r="H72" s="543"/>
      <c r="I72" s="395"/>
      <c r="J72" s="53"/>
    </row>
    <row r="73" spans="1:10">
      <c r="A73" s="352"/>
      <c r="B73" s="73" t="s">
        <v>60</v>
      </c>
      <c r="D73" s="201"/>
      <c r="E73" s="201"/>
      <c r="F73" s="74" t="str">
        <f>C25</f>
        <v>2013-2014</v>
      </c>
      <c r="G73" s="201"/>
      <c r="H73" s="510"/>
      <c r="I73" s="201"/>
    </row>
    <row r="74" spans="1:10" ht="16.5" thickBot="1">
      <c r="A74" s="206"/>
      <c r="B74" s="397"/>
      <c r="D74" s="201"/>
      <c r="E74" s="201"/>
      <c r="G74" s="201"/>
      <c r="H74" s="510"/>
      <c r="I74" s="201"/>
    </row>
    <row r="75" spans="1:10" ht="13.5" thickTop="1">
      <c r="A75" s="194"/>
      <c r="B75" s="401" t="s">
        <v>11</v>
      </c>
      <c r="C75" s="398">
        <f>B29</f>
        <v>1</v>
      </c>
      <c r="D75" s="399"/>
      <c r="E75" s="399"/>
      <c r="F75" s="399"/>
      <c r="G75" s="399"/>
      <c r="H75" s="562"/>
      <c r="I75" s="399"/>
      <c r="J75" s="400">
        <f>J29</f>
        <v>62266</v>
      </c>
    </row>
    <row r="76" spans="1:10">
      <c r="A76" s="200"/>
      <c r="B76" s="353" t="s">
        <v>61</v>
      </c>
      <c r="C76" s="278">
        <f>SUM(B31:B32)</f>
        <v>1</v>
      </c>
      <c r="D76" s="352"/>
      <c r="E76" s="352"/>
      <c r="F76" s="352"/>
      <c r="G76" s="352"/>
      <c r="H76" s="512"/>
      <c r="I76" s="352"/>
      <c r="J76" s="202">
        <f>SUM(J31:J32)</f>
        <v>56350</v>
      </c>
    </row>
    <row r="77" spans="1:10">
      <c r="A77" s="200"/>
      <c r="B77" s="353" t="s">
        <v>62</v>
      </c>
      <c r="C77" s="278">
        <f>SUM(B34:B35)</f>
        <v>1</v>
      </c>
      <c r="D77" s="352"/>
      <c r="E77" s="352"/>
      <c r="F77" s="352"/>
      <c r="G77" s="352"/>
      <c r="H77" s="512"/>
      <c r="I77" s="352"/>
      <c r="J77" s="202">
        <f>SUM(J34:J35)</f>
        <v>57554</v>
      </c>
    </row>
    <row r="78" spans="1:10">
      <c r="A78" s="200"/>
      <c r="B78" s="353" t="s">
        <v>63</v>
      </c>
      <c r="C78" s="278">
        <f>SUM(B37:B38)</f>
        <v>1</v>
      </c>
      <c r="D78" s="352"/>
      <c r="E78" s="352"/>
      <c r="F78" s="352"/>
      <c r="G78" s="352"/>
      <c r="H78" s="512"/>
      <c r="I78" s="352"/>
      <c r="J78" s="202">
        <f>SUM(J37:J38)</f>
        <v>49287</v>
      </c>
    </row>
    <row r="79" spans="1:10">
      <c r="A79" s="200"/>
      <c r="B79" s="353" t="s">
        <v>55</v>
      </c>
      <c r="C79" s="278">
        <v>0</v>
      </c>
      <c r="D79" s="352"/>
      <c r="E79" s="352"/>
      <c r="F79" s="352"/>
      <c r="G79" s="352"/>
      <c r="H79" s="512"/>
      <c r="I79" s="352"/>
      <c r="J79" s="202">
        <v>0</v>
      </c>
    </row>
    <row r="80" spans="1:10" ht="13.5" thickBot="1">
      <c r="A80" s="203"/>
      <c r="B80" s="204" t="s">
        <v>57</v>
      </c>
      <c r="C80" s="205">
        <f>SUM(B40:B70)</f>
        <v>24.400000000000002</v>
      </c>
      <c r="D80" s="206"/>
      <c r="E80" s="206"/>
      <c r="F80" s="206"/>
      <c r="G80" s="206"/>
      <c r="H80" s="511"/>
      <c r="I80" s="206"/>
      <c r="J80" s="207">
        <f>SUM(J40:J70)</f>
        <v>1295476</v>
      </c>
    </row>
    <row r="81" spans="1:10" ht="14.25" thickTop="1" thickBot="1">
      <c r="A81" s="203"/>
      <c r="B81" s="204" t="s">
        <v>28</v>
      </c>
      <c r="C81" s="205">
        <f>SUM(C53:C80)</f>
        <v>28.400000000000002</v>
      </c>
      <c r="D81" s="206"/>
      <c r="E81" s="206"/>
      <c r="F81" s="206"/>
      <c r="G81" s="206"/>
      <c r="H81" s="511"/>
      <c r="I81" s="206"/>
      <c r="J81" s="207">
        <f>SUM(J74:J80)</f>
        <v>1520933</v>
      </c>
    </row>
    <row r="82" spans="1:10" ht="13.5" thickTop="1">
      <c r="A82" s="352"/>
      <c r="B82" s="353"/>
      <c r="C82" s="278"/>
      <c r="D82" s="352"/>
      <c r="E82" s="352"/>
      <c r="F82" s="352"/>
      <c r="G82" s="352"/>
      <c r="H82" s="512"/>
      <c r="I82" s="352"/>
      <c r="J82" s="354"/>
    </row>
    <row r="83" spans="1:10" ht="13.5" thickBot="1">
      <c r="A83" s="352"/>
      <c r="B83" s="353"/>
      <c r="C83" s="278"/>
      <c r="D83" s="352"/>
      <c r="E83" s="352"/>
      <c r="F83" s="352"/>
      <c r="G83" s="352"/>
      <c r="H83" s="512"/>
      <c r="I83" s="352"/>
      <c r="J83" s="354"/>
    </row>
    <row r="84" spans="1:10">
      <c r="A84" s="491" t="s">
        <v>447</v>
      </c>
      <c r="B84" s="492"/>
      <c r="C84" s="493"/>
      <c r="D84" s="494"/>
      <c r="E84" s="494"/>
      <c r="F84" s="494"/>
      <c r="G84" s="494"/>
      <c r="H84" s="513"/>
      <c r="I84" s="513"/>
      <c r="J84" s="495"/>
    </row>
    <row r="86" spans="1:10" ht="15.75">
      <c r="A86" s="317" t="s">
        <v>475</v>
      </c>
      <c r="B86" s="397">
        <v>1</v>
      </c>
      <c r="C86" s="641" t="s">
        <v>507</v>
      </c>
      <c r="D86" s="150"/>
      <c r="F86" s="189" t="s">
        <v>487</v>
      </c>
      <c r="G86" s="395">
        <v>14</v>
      </c>
      <c r="H86" s="543">
        <f>G86+1</f>
        <v>15</v>
      </c>
      <c r="I86" s="395">
        <v>1</v>
      </c>
      <c r="J86" s="53">
        <f>VLOOKUP(G86,Data!$B$120:$G$151,I86+1)*B86</f>
        <v>54441</v>
      </c>
    </row>
    <row r="87" spans="1:10" ht="15.75">
      <c r="A87" s="317" t="s">
        <v>145</v>
      </c>
      <c r="B87" s="397">
        <v>0.8</v>
      </c>
      <c r="C87" s="581" t="s">
        <v>521</v>
      </c>
      <c r="D87" s="167"/>
      <c r="E87" s="25"/>
      <c r="F87" s="503" t="s">
        <v>488</v>
      </c>
      <c r="G87" s="592">
        <v>6</v>
      </c>
      <c r="H87" s="593"/>
      <c r="I87" s="592">
        <v>2</v>
      </c>
      <c r="J87" s="633">
        <f>VLOOKUP(G87,Data!$B$120:$G$151,I87+1)*B87</f>
        <v>34956.800000000003</v>
      </c>
    </row>
    <row r="88" spans="1:10" ht="16.5" thickBot="1">
      <c r="A88" s="500" t="s">
        <v>28</v>
      </c>
      <c r="B88" s="498"/>
      <c r="C88" s="29"/>
      <c r="D88" s="29"/>
      <c r="E88" s="292"/>
      <c r="F88" s="387"/>
      <c r="G88" s="292"/>
      <c r="H88" s="515"/>
      <c r="I88" s="515"/>
      <c r="J88" s="499">
        <f>SUM(J86:J87)</f>
        <v>89397.8</v>
      </c>
    </row>
    <row r="89" spans="1:10" ht="15.75">
      <c r="A89" s="501"/>
      <c r="B89" s="502"/>
      <c r="C89" s="25"/>
      <c r="D89" s="25"/>
      <c r="E89" s="302"/>
      <c r="F89" s="503"/>
      <c r="G89" s="302"/>
      <c r="H89" s="516"/>
      <c r="I89" s="516"/>
      <c r="J89" s="504"/>
    </row>
    <row r="90" spans="1:10" ht="13.5" thickBot="1">
      <c r="A90" s="352"/>
      <c r="B90" s="353"/>
      <c r="C90" s="278"/>
      <c r="D90" s="352"/>
      <c r="E90" s="352"/>
      <c r="F90" s="352"/>
      <c r="G90" s="352"/>
      <c r="H90" s="512"/>
      <c r="I90" s="512"/>
      <c r="J90" s="354"/>
    </row>
    <row r="91" spans="1:10">
      <c r="A91" s="491" t="s">
        <v>448</v>
      </c>
      <c r="B91" s="492"/>
      <c r="C91" s="493"/>
      <c r="D91" s="494"/>
      <c r="E91" s="494"/>
      <c r="F91" s="494"/>
      <c r="G91" s="494"/>
      <c r="H91" s="513"/>
      <c r="I91" s="513"/>
      <c r="J91" s="495"/>
    </row>
    <row r="92" spans="1:10">
      <c r="A92" s="496"/>
      <c r="B92" s="353"/>
      <c r="C92" s="278"/>
      <c r="D92" s="352"/>
      <c r="E92" s="352"/>
      <c r="F92" s="352"/>
      <c r="G92" s="352"/>
      <c r="H92" s="512"/>
      <c r="I92" s="512"/>
      <c r="J92" s="497"/>
    </row>
    <row r="93" spans="1:10" ht="15.75">
      <c r="A93" s="317" t="s">
        <v>145</v>
      </c>
      <c r="B93" s="397">
        <v>1</v>
      </c>
      <c r="C93" s="664" t="s">
        <v>610</v>
      </c>
      <c r="D93" s="167"/>
      <c r="E93" s="25"/>
      <c r="F93" s="503" t="s">
        <v>57</v>
      </c>
      <c r="G93" s="592">
        <v>1</v>
      </c>
      <c r="H93" s="593"/>
      <c r="I93" s="592">
        <v>2</v>
      </c>
      <c r="J93" s="504">
        <f>VLOOKUP(G93,Data!$B$120:$G$151,I93+1)*B93</f>
        <v>39330</v>
      </c>
    </row>
    <row r="95" spans="1:10" ht="13.5" thickBot="1">
      <c r="A95" s="38"/>
      <c r="B95" s="219"/>
      <c r="C95" s="219"/>
      <c r="D95" s="219"/>
      <c r="E95" s="219"/>
      <c r="F95" s="219"/>
      <c r="G95" s="219"/>
      <c r="H95" s="514"/>
      <c r="I95" s="514"/>
      <c r="J95" s="423"/>
    </row>
    <row r="96" spans="1:10" ht="17.25" thickTop="1" thickBot="1">
      <c r="A96" s="500" t="s">
        <v>28</v>
      </c>
      <c r="B96" s="498"/>
      <c r="C96" s="29"/>
      <c r="D96" s="29"/>
      <c r="E96" s="292"/>
      <c r="F96" s="387"/>
      <c r="G96" s="292"/>
      <c r="H96" s="515"/>
      <c r="I96" s="515"/>
      <c r="J96" s="499">
        <f>SUM(J91:J95)</f>
        <v>39330</v>
      </c>
    </row>
    <row r="97" spans="1:11">
      <c r="A97" s="352"/>
      <c r="B97" s="353"/>
      <c r="C97" s="278"/>
      <c r="D97" s="352"/>
      <c r="E97" s="352"/>
      <c r="F97" s="352"/>
      <c r="G97" s="352"/>
      <c r="H97" s="512"/>
      <c r="I97" s="352"/>
      <c r="J97" s="354"/>
    </row>
    <row r="98" spans="1:11" ht="15.75">
      <c r="A98" s="253" t="s">
        <v>326</v>
      </c>
      <c r="B98" s="397" t="s">
        <v>326</v>
      </c>
      <c r="C98" t="s">
        <v>326</v>
      </c>
      <c r="D98" s="150"/>
      <c r="F98" s="189" t="s">
        <v>326</v>
      </c>
      <c r="G98" s="395"/>
      <c r="H98" s="543"/>
      <c r="I98" s="395"/>
      <c r="J98" s="53" t="s">
        <v>326</v>
      </c>
    </row>
    <row r="99" spans="1:11" ht="15.75">
      <c r="C99" s="5" t="s">
        <v>2</v>
      </c>
      <c r="D99" s="11"/>
    </row>
    <row r="100" spans="1:11" ht="15.75">
      <c r="C100" s="12"/>
      <c r="D100" s="5" t="s">
        <v>14</v>
      </c>
    </row>
    <row r="101" spans="1:11" ht="15.75">
      <c r="C101" s="12"/>
      <c r="D101" s="10" t="s">
        <v>15</v>
      </c>
    </row>
    <row r="102" spans="1:11">
      <c r="B102" s="73" t="s">
        <v>64</v>
      </c>
      <c r="G102" s="74" t="str">
        <f>+A10</f>
        <v>T. K. Stone M/S</v>
      </c>
      <c r="H102" s="545"/>
    </row>
    <row r="103" spans="1:11" ht="13.5" thickBot="1"/>
    <row r="104" spans="1:11">
      <c r="A104" s="594" t="str">
        <f>+A6</f>
        <v>2013-2014</v>
      </c>
      <c r="B104" s="122"/>
      <c r="C104" s="595" t="s">
        <v>65</v>
      </c>
      <c r="D104" s="122"/>
      <c r="E104" s="122"/>
      <c r="F104" s="596"/>
      <c r="G104" s="122"/>
      <c r="H104" s="597"/>
      <c r="I104" s="122"/>
      <c r="J104" s="122"/>
      <c r="K104" s="161"/>
    </row>
    <row r="105" spans="1:11">
      <c r="A105" s="598" t="s">
        <v>44</v>
      </c>
      <c r="B105" s="211" t="s">
        <v>66</v>
      </c>
      <c r="C105" s="210" t="s">
        <v>45</v>
      </c>
      <c r="D105" s="211" t="s">
        <v>46</v>
      </c>
      <c r="E105" s="211" t="s">
        <v>27</v>
      </c>
      <c r="F105" s="211" t="s">
        <v>67</v>
      </c>
      <c r="G105" s="211" t="s">
        <v>68</v>
      </c>
      <c r="H105" s="519"/>
      <c r="I105" s="211" t="s">
        <v>69</v>
      </c>
      <c r="J105" s="211" t="s">
        <v>68</v>
      </c>
      <c r="K105" s="599" t="s">
        <v>28</v>
      </c>
    </row>
    <row r="106" spans="1:11">
      <c r="A106" s="290"/>
      <c r="B106" s="213" t="s">
        <v>70</v>
      </c>
      <c r="C106" s="104"/>
      <c r="D106" s="104"/>
      <c r="E106" s="104"/>
      <c r="F106" s="213" t="s">
        <v>71</v>
      </c>
      <c r="G106" s="213" t="s">
        <v>72</v>
      </c>
      <c r="H106" s="520"/>
      <c r="I106" s="213" t="s">
        <v>73</v>
      </c>
      <c r="J106" s="213" t="s">
        <v>71</v>
      </c>
      <c r="K106" s="600" t="s">
        <v>74</v>
      </c>
    </row>
    <row r="107" spans="1:11">
      <c r="A107" s="17"/>
      <c r="B107" s="25"/>
      <c r="C107" s="25"/>
      <c r="D107" s="628"/>
      <c r="E107" s="25"/>
      <c r="F107" s="25"/>
      <c r="G107" s="25"/>
      <c r="H107" s="541"/>
      <c r="I107" s="25"/>
      <c r="J107" s="25"/>
      <c r="K107" s="26"/>
    </row>
    <row r="108" spans="1:11" ht="15.75">
      <c r="A108" s="601" t="s">
        <v>409</v>
      </c>
      <c r="B108" s="483">
        <v>1</v>
      </c>
      <c r="C108" s="484" t="s">
        <v>75</v>
      </c>
      <c r="D108" s="484">
        <v>19</v>
      </c>
      <c r="E108" s="485">
        <v>1</v>
      </c>
      <c r="F108" s="485">
        <v>8</v>
      </c>
      <c r="G108" s="485">
        <v>220</v>
      </c>
      <c r="H108" s="593">
        <f>D108+1</f>
        <v>20</v>
      </c>
      <c r="I108" s="486">
        <f>VLOOKUP(D108,Data!$A$151:$S$178,E108+1)</f>
        <v>14.55</v>
      </c>
      <c r="J108" s="487">
        <f>G108*F108</f>
        <v>1760</v>
      </c>
      <c r="K108" s="603">
        <f>ROUND(I108*J108,0)</f>
        <v>25608</v>
      </c>
    </row>
    <row r="109" spans="1:11" ht="15.75">
      <c r="A109" s="601" t="s">
        <v>469</v>
      </c>
      <c r="B109" s="483">
        <v>1</v>
      </c>
      <c r="C109" s="484" t="s">
        <v>515</v>
      </c>
      <c r="D109" s="484">
        <v>15</v>
      </c>
      <c r="E109" s="485">
        <v>2</v>
      </c>
      <c r="F109" s="485">
        <v>7</v>
      </c>
      <c r="G109" s="485">
        <v>185</v>
      </c>
      <c r="H109" s="593">
        <f>D109+1</f>
        <v>16</v>
      </c>
      <c r="I109" s="486">
        <f>VLOOKUP(D109,Data!$A$151:$S$178,E109+1)</f>
        <v>12.17</v>
      </c>
      <c r="J109" s="487">
        <f>G109*F109</f>
        <v>1295</v>
      </c>
      <c r="K109" s="603">
        <f>ROUND(I109*J109,0)</f>
        <v>15760</v>
      </c>
    </row>
    <row r="110" spans="1:11" ht="15.75">
      <c r="A110" s="601"/>
      <c r="B110" s="483"/>
      <c r="C110" s="484"/>
      <c r="D110" s="484"/>
      <c r="E110" s="485"/>
      <c r="F110" s="485"/>
      <c r="G110" s="485"/>
      <c r="H110" s="602"/>
      <c r="I110" s="486"/>
      <c r="J110" s="487"/>
      <c r="K110" s="603"/>
    </row>
    <row r="111" spans="1:11" ht="15.75">
      <c r="A111" s="601"/>
      <c r="B111" s="483"/>
      <c r="C111" s="484"/>
      <c r="D111" s="484"/>
      <c r="E111" s="485"/>
      <c r="F111" s="485"/>
      <c r="G111" s="485"/>
      <c r="H111" s="602"/>
      <c r="I111" s="486"/>
      <c r="J111" s="487"/>
      <c r="K111" s="603"/>
    </row>
    <row r="112" spans="1:11" ht="15.75" thickBot="1">
      <c r="A112" s="38" t="s">
        <v>326</v>
      </c>
      <c r="B112" s="221"/>
      <c r="C112" s="219"/>
      <c r="D112" s="386"/>
      <c r="E112" s="257"/>
      <c r="F112" s="257"/>
      <c r="G112" s="257"/>
      <c r="H112" s="522"/>
      <c r="I112" s="257"/>
      <c r="J112" s="257"/>
      <c r="K112" s="623"/>
    </row>
    <row r="113" spans="1:11" ht="15.75" thickTop="1" thickBot="1">
      <c r="A113" s="606" t="s">
        <v>76</v>
      </c>
      <c r="B113" s="275" t="str">
        <f>+G102</f>
        <v>T. K. Stone M/S</v>
      </c>
      <c r="C113" s="219"/>
      <c r="D113" s="379">
        <f>SUM(B107:B112)</f>
        <v>2</v>
      </c>
      <c r="E113" s="221" t="s">
        <v>77</v>
      </c>
      <c r="F113" s="219"/>
      <c r="G113" s="219"/>
      <c r="H113" s="514"/>
      <c r="I113" s="219"/>
      <c r="J113" s="219"/>
      <c r="K113" s="607">
        <f>SUM(K107:K112)</f>
        <v>41368</v>
      </c>
    </row>
    <row r="114" spans="1:11" ht="16.5" thickTop="1">
      <c r="A114" s="608"/>
      <c r="B114" s="222"/>
      <c r="C114" s="223"/>
      <c r="D114" s="484"/>
      <c r="E114" s="485"/>
      <c r="F114" s="485"/>
      <c r="G114" s="485"/>
      <c r="H114" s="602"/>
      <c r="I114" s="629"/>
      <c r="J114" s="487"/>
      <c r="K114" s="603"/>
    </row>
    <row r="115" spans="1:11" ht="15.75">
      <c r="A115" s="601" t="s">
        <v>440</v>
      </c>
      <c r="B115" s="483">
        <v>1.2</v>
      </c>
      <c r="C115" s="484" t="s">
        <v>148</v>
      </c>
      <c r="D115" s="484">
        <v>18</v>
      </c>
      <c r="E115" s="485">
        <v>8</v>
      </c>
      <c r="F115" s="485">
        <v>6</v>
      </c>
      <c r="G115" s="485">
        <v>181</v>
      </c>
      <c r="H115" s="593">
        <f>D115+1</f>
        <v>19</v>
      </c>
      <c r="I115" s="486">
        <f>VLOOKUP(D115,Data!$A$151:$S$178,E115+1)</f>
        <v>11.89</v>
      </c>
      <c r="J115" s="487">
        <f>G115*F115</f>
        <v>1086</v>
      </c>
      <c r="K115" s="603">
        <f>ROUND(I115*J115,0)</f>
        <v>12913</v>
      </c>
    </row>
    <row r="116" spans="1:11" ht="15.75">
      <c r="A116" s="601" t="s">
        <v>416</v>
      </c>
      <c r="B116" s="483">
        <v>1</v>
      </c>
      <c r="C116" s="484" t="s">
        <v>148</v>
      </c>
      <c r="D116" s="484">
        <v>19</v>
      </c>
      <c r="E116" s="485">
        <v>8</v>
      </c>
      <c r="F116" s="485">
        <v>7</v>
      </c>
      <c r="G116" s="485">
        <v>181</v>
      </c>
      <c r="H116" s="593">
        <f>D116+1</f>
        <v>20</v>
      </c>
      <c r="I116" s="486">
        <f>VLOOKUP(D116,Data!$A$151:$S$178,E116+1)</f>
        <v>12.15</v>
      </c>
      <c r="J116" s="487">
        <f>G116*F116</f>
        <v>1267</v>
      </c>
      <c r="K116" s="603">
        <f>ROUND(I116*J116,0)</f>
        <v>15394</v>
      </c>
    </row>
    <row r="117" spans="1:11" ht="15.75" thickBot="1">
      <c r="A117" s="38"/>
      <c r="B117" s="221"/>
      <c r="C117" s="219"/>
      <c r="D117" s="378"/>
      <c r="E117" s="257"/>
      <c r="F117" s="257"/>
      <c r="G117" s="257"/>
      <c r="H117" s="522"/>
      <c r="I117" s="257"/>
      <c r="J117" s="257"/>
      <c r="K117" s="623"/>
    </row>
    <row r="118" spans="1:11" ht="15.75" thickTop="1" thickBot="1">
      <c r="A118" s="606" t="s">
        <v>78</v>
      </c>
      <c r="B118" s="25" t="str">
        <f>+B113</f>
        <v>T. K. Stone M/S</v>
      </c>
      <c r="C118" s="99"/>
      <c r="D118" s="380">
        <f>SUM(B114:B117)</f>
        <v>2.2000000000000002</v>
      </c>
      <c r="E118" s="98" t="s">
        <v>79</v>
      </c>
      <c r="F118" s="25"/>
      <c r="G118" s="25"/>
      <c r="H118" s="541"/>
      <c r="I118" s="25"/>
      <c r="J118" s="25"/>
      <c r="K118" s="610">
        <f>SUM(K114:K117)</f>
        <v>28307</v>
      </c>
    </row>
    <row r="119" spans="1:11" ht="15.75" thickTop="1" thickBot="1">
      <c r="A119" s="611"/>
      <c r="B119" s="383"/>
      <c r="C119" s="383"/>
      <c r="D119" s="385"/>
      <c r="E119" s="384" t="s">
        <v>80</v>
      </c>
      <c r="F119" s="383"/>
      <c r="G119" s="383"/>
      <c r="H119" s="548"/>
      <c r="I119" s="383"/>
      <c r="J119" s="383"/>
      <c r="K119" s="612">
        <f>K118+K113</f>
        <v>69675</v>
      </c>
    </row>
    <row r="120" spans="1:11" ht="15" thickTop="1">
      <c r="A120" s="25"/>
      <c r="B120" s="25"/>
      <c r="C120" s="25"/>
      <c r="D120" s="457"/>
      <c r="E120" s="275"/>
      <c r="F120" s="25"/>
      <c r="G120" s="25"/>
      <c r="H120" s="541"/>
      <c r="I120" s="25"/>
      <c r="J120" s="25"/>
      <c r="K120" s="650"/>
    </row>
    <row r="121" spans="1:11" ht="15.75">
      <c r="A121" s="601" t="s">
        <v>565</v>
      </c>
      <c r="B121" s="483">
        <v>1</v>
      </c>
      <c r="C121" s="484" t="s">
        <v>529</v>
      </c>
      <c r="D121" s="484">
        <v>3</v>
      </c>
      <c r="E121" s="485">
        <v>5</v>
      </c>
      <c r="F121" s="485">
        <v>8</v>
      </c>
      <c r="G121" s="485">
        <v>260</v>
      </c>
      <c r="H121" s="593">
        <f>D121+1</f>
        <v>4</v>
      </c>
      <c r="I121" s="486">
        <f>VLOOKUP(D121,Data!$A$151:$S$178,E121+1)</f>
        <v>10.61</v>
      </c>
      <c r="J121" s="487">
        <f>G121*F121</f>
        <v>2080</v>
      </c>
      <c r="K121" s="603">
        <f>ROUND(I121*J121,0)</f>
        <v>22069</v>
      </c>
    </row>
    <row r="122" spans="1:11" ht="15.75">
      <c r="A122" s="601" t="s">
        <v>530</v>
      </c>
      <c r="B122" s="483">
        <v>1</v>
      </c>
      <c r="C122" s="484" t="s">
        <v>529</v>
      </c>
      <c r="D122" s="484">
        <v>5</v>
      </c>
      <c r="E122" s="485">
        <v>5</v>
      </c>
      <c r="F122" s="485">
        <v>8</v>
      </c>
      <c r="G122" s="485">
        <v>260</v>
      </c>
      <c r="H122" s="593">
        <f>D122+1</f>
        <v>6</v>
      </c>
      <c r="I122" s="486">
        <f>VLOOKUP(D122,Data!$A$151:$S$178,E122+1)</f>
        <v>10.85</v>
      </c>
      <c r="J122" s="487">
        <f>G122*F122</f>
        <v>2080</v>
      </c>
      <c r="K122" s="603">
        <f>ROUND(I122*J122,0)</f>
        <v>22568</v>
      </c>
    </row>
    <row r="123" spans="1:11" ht="12.75" customHeight="1">
      <c r="A123" s="601" t="s">
        <v>532</v>
      </c>
      <c r="B123" s="483">
        <v>1</v>
      </c>
      <c r="C123" s="484" t="s">
        <v>529</v>
      </c>
      <c r="D123" s="484">
        <v>15</v>
      </c>
      <c r="E123" s="485">
        <v>5</v>
      </c>
      <c r="F123" s="485">
        <v>8</v>
      </c>
      <c r="G123" s="485">
        <v>260</v>
      </c>
      <c r="H123" s="593">
        <f>D123+1</f>
        <v>16</v>
      </c>
      <c r="I123" s="486">
        <f>VLOOKUP(D123,Data!$A$151:$S$178,E123+1)</f>
        <v>11.86</v>
      </c>
      <c r="J123" s="487">
        <f>G123*F123</f>
        <v>2080</v>
      </c>
      <c r="K123" s="603">
        <f>ROUND(I123*J123,0)</f>
        <v>24669</v>
      </c>
    </row>
    <row r="124" spans="1:11" ht="13.5" thickBot="1">
      <c r="A124" s="219"/>
      <c r="B124" s="219"/>
      <c r="C124" s="219"/>
      <c r="D124" s="381"/>
      <c r="E124" s="219"/>
      <c r="F124" s="219"/>
      <c r="G124" s="219"/>
      <c r="H124" s="514"/>
      <c r="I124" s="219"/>
      <c r="J124" s="219"/>
      <c r="K124" s="653"/>
    </row>
    <row r="125" spans="1:11" ht="15.75" thickTop="1" thickBot="1">
      <c r="A125" s="624" t="s">
        <v>81</v>
      </c>
      <c r="B125" s="25" t="str">
        <f>+B118</f>
        <v>T. K. Stone M/S</v>
      </c>
      <c r="C125" s="99"/>
      <c r="D125" s="205">
        <f>SUM(B121:B123)</f>
        <v>3</v>
      </c>
      <c r="E125" s="98" t="s">
        <v>82</v>
      </c>
      <c r="F125" s="25"/>
      <c r="G125" s="25"/>
      <c r="H125" s="541"/>
      <c r="I125" s="25"/>
      <c r="J125" s="25"/>
      <c r="K125" s="610">
        <f>SUM(K121:K124)</f>
        <v>69306</v>
      </c>
    </row>
    <row r="126" spans="1:11" ht="14.25" thickTop="1" thickBot="1">
      <c r="A126" s="611"/>
      <c r="B126" s="383"/>
      <c r="C126" s="383"/>
      <c r="D126" s="383"/>
      <c r="E126" s="383"/>
      <c r="F126" s="383"/>
      <c r="G126" s="383"/>
      <c r="H126" s="548"/>
      <c r="I126" s="383"/>
      <c r="J126" s="383"/>
      <c r="K126" s="625"/>
    </row>
    <row r="127" spans="1:11" ht="13.5" thickTop="1">
      <c r="A127" s="287" t="s">
        <v>454</v>
      </c>
      <c r="B127" s="25"/>
      <c r="C127" s="25"/>
      <c r="D127" s="25"/>
      <c r="E127" s="25"/>
      <c r="F127" s="25"/>
      <c r="G127" s="25"/>
      <c r="H127" s="541"/>
      <c r="I127" s="25"/>
      <c r="J127" s="25"/>
      <c r="K127" s="289"/>
    </row>
    <row r="128" spans="1:11" ht="15.75">
      <c r="A128" s="17" t="s">
        <v>606</v>
      </c>
      <c r="B128" s="483">
        <v>1</v>
      </c>
      <c r="C128" s="25" t="s">
        <v>490</v>
      </c>
      <c r="D128" s="25">
        <v>1</v>
      </c>
      <c r="E128" s="25">
        <v>8</v>
      </c>
      <c r="F128" s="571">
        <v>7</v>
      </c>
      <c r="G128" s="485">
        <v>176</v>
      </c>
      <c r="H128" s="593">
        <f>D128+1</f>
        <v>2</v>
      </c>
      <c r="I128" s="486">
        <f>VLOOKUP(D128,Data!$A$151:$S$178,E128+1)</f>
        <v>9.8000000000000007</v>
      </c>
      <c r="J128" s="487">
        <f>G128*F128</f>
        <v>1232</v>
      </c>
      <c r="K128" s="603">
        <f>ROUND(I128*J128,0)</f>
        <v>12074</v>
      </c>
    </row>
    <row r="129" spans="1:11" ht="15.75">
      <c r="A129" s="601" t="s">
        <v>526</v>
      </c>
      <c r="B129" s="483">
        <v>1</v>
      </c>
      <c r="C129" s="484" t="s">
        <v>148</v>
      </c>
      <c r="D129" s="484">
        <v>8</v>
      </c>
      <c r="E129" s="485">
        <v>8</v>
      </c>
      <c r="F129" s="485">
        <v>6.5</v>
      </c>
      <c r="G129" s="485">
        <v>181</v>
      </c>
      <c r="H129" s="593">
        <f>D129+1</f>
        <v>9</v>
      </c>
      <c r="I129" s="486">
        <f>VLOOKUP(D129,Data!$A$151:$S$178,E129+1)</f>
        <v>10.56</v>
      </c>
      <c r="J129" s="487">
        <f>G129*F129</f>
        <v>1176.5</v>
      </c>
      <c r="K129" s="609">
        <f>ROUND(I129*J129,0)</f>
        <v>12424</v>
      </c>
    </row>
    <row r="130" spans="1:11" ht="13.5" thickBot="1">
      <c r="A130" s="630" t="s">
        <v>28</v>
      </c>
      <c r="B130" s="29"/>
      <c r="C130" s="29"/>
      <c r="D130" s="29"/>
      <c r="E130" s="29"/>
      <c r="F130" s="29"/>
      <c r="G130" s="29"/>
      <c r="H130" s="535"/>
      <c r="I130" s="29"/>
      <c r="J130" s="29"/>
      <c r="K130" s="631">
        <f>SUM(K128:K129)</f>
        <v>24498</v>
      </c>
    </row>
    <row r="132" spans="1:11" ht="15.75">
      <c r="A132" s="155" t="str">
        <f>+A10</f>
        <v>T. K. Stone M/S</v>
      </c>
      <c r="B132" s="9"/>
      <c r="C132" s="370" t="str">
        <f>+A6</f>
        <v>2013-2014</v>
      </c>
      <c r="D132" s="155" t="s">
        <v>83</v>
      </c>
      <c r="E132" s="371"/>
      <c r="F132" s="9"/>
    </row>
    <row r="133" spans="1:11">
      <c r="A133" s="228" t="s">
        <v>84</v>
      </c>
      <c r="B133" s="228" t="s">
        <v>85</v>
      </c>
      <c r="C133" s="226" t="s">
        <v>20</v>
      </c>
      <c r="D133" s="227"/>
      <c r="E133" s="227"/>
      <c r="F133" s="228" t="s">
        <v>86</v>
      </c>
      <c r="G133" s="229"/>
      <c r="H133" s="550"/>
      <c r="I133" s="228" t="s">
        <v>87</v>
      </c>
    </row>
    <row r="134" spans="1:11" ht="13.5" thickBot="1">
      <c r="A134" s="232" t="s">
        <v>88</v>
      </c>
      <c r="B134" s="232" t="s">
        <v>88</v>
      </c>
      <c r="C134" s="230"/>
      <c r="D134" s="231"/>
      <c r="E134" s="231"/>
      <c r="F134" s="232" t="s">
        <v>89</v>
      </c>
      <c r="G134" s="233"/>
      <c r="H134" s="551"/>
      <c r="I134" s="234" t="s">
        <v>90</v>
      </c>
    </row>
    <row r="135" spans="1:11" ht="13.5" thickTop="1">
      <c r="A135" s="314" t="str">
        <f>$A$29</f>
        <v>0351077</v>
      </c>
      <c r="B135" s="315" t="s">
        <v>21</v>
      </c>
      <c r="C135" s="108" t="s">
        <v>91</v>
      </c>
      <c r="D135" s="110"/>
      <c r="E135" s="110"/>
      <c r="F135" s="235">
        <f>J75</f>
        <v>62266</v>
      </c>
      <c r="G135" s="236"/>
      <c r="H135" s="552"/>
      <c r="I135" s="237"/>
    </row>
    <row r="136" spans="1:11">
      <c r="A136" s="314" t="str">
        <f>$A$29</f>
        <v>0351077</v>
      </c>
      <c r="B136" s="315" t="s">
        <v>21</v>
      </c>
      <c r="C136" s="108" t="s">
        <v>92</v>
      </c>
      <c r="D136" s="110"/>
      <c r="E136" s="110"/>
      <c r="F136" s="235">
        <f>J76</f>
        <v>56350</v>
      </c>
      <c r="G136" s="236"/>
      <c r="H136" s="552"/>
      <c r="I136" s="237"/>
    </row>
    <row r="137" spans="1:11">
      <c r="A137" s="333" t="s">
        <v>145</v>
      </c>
      <c r="B137" s="315" t="s">
        <v>21</v>
      </c>
      <c r="C137" s="108" t="s">
        <v>93</v>
      </c>
      <c r="D137" s="110"/>
      <c r="E137" s="110"/>
      <c r="F137" s="235">
        <f>J80</f>
        <v>1295476</v>
      </c>
      <c r="G137" s="236"/>
      <c r="H137" s="552"/>
      <c r="I137" s="237"/>
    </row>
    <row r="138" spans="1:11">
      <c r="A138" s="314" t="str">
        <f>$A$37</f>
        <v>0351059</v>
      </c>
      <c r="B138" s="315" t="s">
        <v>21</v>
      </c>
      <c r="C138" s="108" t="s">
        <v>94</v>
      </c>
      <c r="D138" s="110"/>
      <c r="E138" s="110"/>
      <c r="F138" s="235">
        <f>J78</f>
        <v>49287</v>
      </c>
      <c r="G138" s="236"/>
      <c r="H138" s="552"/>
      <c r="I138" s="237"/>
    </row>
    <row r="139" spans="1:11">
      <c r="A139" s="314" t="str">
        <f>$A$34</f>
        <v>0351031</v>
      </c>
      <c r="B139" s="315" t="s">
        <v>21</v>
      </c>
      <c r="C139" s="108" t="s">
        <v>95</v>
      </c>
      <c r="D139" s="110"/>
      <c r="E139" s="110"/>
      <c r="F139" s="235">
        <f>J77</f>
        <v>57554</v>
      </c>
      <c r="G139" s="236"/>
      <c r="H139" s="552"/>
      <c r="I139" s="237"/>
    </row>
    <row r="140" spans="1:11">
      <c r="A140" s="314" t="str">
        <f>$A$29</f>
        <v>0351077</v>
      </c>
      <c r="B140" s="315" t="s">
        <v>22</v>
      </c>
      <c r="C140" s="108" t="s">
        <v>96</v>
      </c>
      <c r="D140" s="110"/>
      <c r="E140" s="110"/>
      <c r="F140" s="235">
        <f>K113</f>
        <v>41368</v>
      </c>
      <c r="G140" s="236"/>
      <c r="H140" s="552"/>
      <c r="I140" s="237"/>
    </row>
    <row r="141" spans="1:11">
      <c r="A141" s="333" t="s">
        <v>145</v>
      </c>
      <c r="B141" s="315" t="s">
        <v>22</v>
      </c>
      <c r="C141" s="108" t="s">
        <v>97</v>
      </c>
      <c r="D141" s="110"/>
      <c r="E141" s="110"/>
      <c r="F141" s="235">
        <f>K118</f>
        <v>28307</v>
      </c>
      <c r="G141" s="236"/>
      <c r="H141" s="552"/>
      <c r="I141" s="237"/>
    </row>
    <row r="142" spans="1:11">
      <c r="A142" s="333" t="s">
        <v>149</v>
      </c>
      <c r="B142" s="315" t="s">
        <v>22</v>
      </c>
      <c r="C142" s="108" t="s">
        <v>99</v>
      </c>
      <c r="D142" s="110"/>
      <c r="E142" s="110"/>
      <c r="F142" s="235">
        <f>K125</f>
        <v>69306</v>
      </c>
      <c r="G142" s="236"/>
      <c r="H142" s="552"/>
      <c r="I142" s="237"/>
    </row>
    <row r="143" spans="1:11">
      <c r="A143" s="333" t="s">
        <v>145</v>
      </c>
      <c r="B143" s="315"/>
      <c r="C143" s="108" t="s">
        <v>100</v>
      </c>
      <c r="D143" s="110"/>
      <c r="E143" s="110"/>
      <c r="F143" s="235"/>
      <c r="G143" s="236"/>
      <c r="H143" s="552"/>
      <c r="I143" s="237"/>
    </row>
    <row r="144" spans="1:11">
      <c r="A144" s="333" t="s">
        <v>145</v>
      </c>
      <c r="B144" s="315" t="s">
        <v>101</v>
      </c>
      <c r="C144" s="108" t="s">
        <v>102</v>
      </c>
      <c r="D144" s="110"/>
      <c r="E144" s="110"/>
      <c r="F144" s="235">
        <v>0</v>
      </c>
      <c r="G144" s="236"/>
      <c r="H144" s="552"/>
      <c r="I144" s="237"/>
    </row>
    <row r="145" spans="1:9">
      <c r="A145" s="333" t="s">
        <v>145</v>
      </c>
      <c r="B145" s="315" t="s">
        <v>103</v>
      </c>
      <c r="C145" s="108" t="s">
        <v>104</v>
      </c>
      <c r="D145" s="110"/>
      <c r="E145" s="110"/>
      <c r="F145" s="235">
        <v>0</v>
      </c>
      <c r="G145" s="236"/>
      <c r="H145" s="552"/>
      <c r="I145" s="237"/>
    </row>
    <row r="146" spans="1:9">
      <c r="A146" s="314" t="str">
        <f>$A$37</f>
        <v>0351059</v>
      </c>
      <c r="B146" s="315" t="s">
        <v>105</v>
      </c>
      <c r="C146" s="108" t="s">
        <v>106</v>
      </c>
      <c r="D146" s="110"/>
      <c r="E146" s="110"/>
      <c r="F146" s="235">
        <v>0</v>
      </c>
      <c r="G146" s="236"/>
      <c r="H146" s="552"/>
      <c r="I146" s="237"/>
    </row>
    <row r="147" spans="1:9">
      <c r="A147" s="314" t="str">
        <f>$A$37</f>
        <v>0351059</v>
      </c>
      <c r="B147" s="315" t="s">
        <v>107</v>
      </c>
      <c r="C147" s="108" t="s">
        <v>108</v>
      </c>
      <c r="D147" s="110"/>
      <c r="E147" s="110"/>
      <c r="F147" s="235">
        <v>0</v>
      </c>
      <c r="G147" s="236"/>
      <c r="H147" s="552"/>
      <c r="I147" s="237"/>
    </row>
    <row r="148" spans="1:9">
      <c r="A148" s="314" t="str">
        <f>$A$37</f>
        <v>0351059</v>
      </c>
      <c r="B148" s="315" t="s">
        <v>23</v>
      </c>
      <c r="C148" s="108" t="s">
        <v>109</v>
      </c>
      <c r="D148" s="110"/>
      <c r="E148" s="110"/>
      <c r="F148" s="235">
        <v>0</v>
      </c>
      <c r="G148" s="236"/>
      <c r="H148" s="552"/>
      <c r="I148" s="237"/>
    </row>
    <row r="149" spans="1:9">
      <c r="A149" s="314" t="str">
        <f>$A$37</f>
        <v>0351059</v>
      </c>
      <c r="B149" s="315" t="s">
        <v>110</v>
      </c>
      <c r="C149" s="108" t="s">
        <v>111</v>
      </c>
      <c r="D149" s="110"/>
      <c r="E149" s="110"/>
      <c r="F149" s="235">
        <v>0</v>
      </c>
      <c r="G149" s="236"/>
      <c r="H149" s="552"/>
      <c r="I149" s="237"/>
    </row>
    <row r="150" spans="1:9">
      <c r="A150" s="333" t="s">
        <v>145</v>
      </c>
      <c r="B150" s="315" t="s">
        <v>23</v>
      </c>
      <c r="C150" s="108" t="s">
        <v>112</v>
      </c>
      <c r="D150" s="110"/>
      <c r="E150" s="110"/>
      <c r="F150" s="235">
        <f>Data!E68+Data!E71</f>
        <v>56837</v>
      </c>
      <c r="G150" s="236"/>
      <c r="H150" s="552"/>
      <c r="I150" s="237"/>
    </row>
    <row r="151" spans="1:9">
      <c r="A151" s="333" t="s">
        <v>145</v>
      </c>
      <c r="B151" s="315" t="s">
        <v>24</v>
      </c>
      <c r="C151" s="108" t="s">
        <v>113</v>
      </c>
      <c r="D151" s="110"/>
      <c r="E151" s="110"/>
      <c r="F151" s="235">
        <v>0</v>
      </c>
      <c r="G151" s="236"/>
      <c r="H151" s="552"/>
      <c r="I151" s="237"/>
    </row>
    <row r="152" spans="1:9">
      <c r="A152" s="333" t="s">
        <v>145</v>
      </c>
      <c r="B152" s="315" t="s">
        <v>25</v>
      </c>
      <c r="C152" s="108" t="s">
        <v>114</v>
      </c>
      <c r="D152" s="110"/>
      <c r="E152" s="110"/>
      <c r="F152" s="235"/>
      <c r="G152" s="236"/>
      <c r="H152" s="552"/>
      <c r="I152" s="237"/>
    </row>
    <row r="153" spans="1:9">
      <c r="A153" s="369" t="s">
        <v>12</v>
      </c>
      <c r="B153" s="316"/>
      <c r="C153" s="238"/>
      <c r="D153" s="239"/>
      <c r="E153" s="239"/>
      <c r="F153" s="240"/>
      <c r="G153" s="236"/>
      <c r="H153" s="552"/>
      <c r="I153" s="237"/>
    </row>
    <row r="154" spans="1:9">
      <c r="A154" s="274"/>
      <c r="B154" s="315" t="s">
        <v>115</v>
      </c>
      <c r="C154" s="108" t="s">
        <v>379</v>
      </c>
      <c r="D154" s="110"/>
      <c r="E154" s="110"/>
      <c r="F154" s="235">
        <f>ROUND(SUM(F140:F142)*Data!$I$8,0)</f>
        <v>0</v>
      </c>
      <c r="G154" s="236"/>
      <c r="H154" s="552"/>
      <c r="I154" s="237"/>
    </row>
    <row r="155" spans="1:9">
      <c r="A155" s="274"/>
      <c r="B155" s="315" t="s">
        <v>116</v>
      </c>
      <c r="C155" s="108" t="s">
        <v>368</v>
      </c>
      <c r="D155" s="110"/>
      <c r="E155" s="110"/>
      <c r="F155" s="235">
        <f>ROUND(SUM(F135:F139)*Data!$I$10,0)</f>
        <v>0</v>
      </c>
      <c r="G155" s="236"/>
      <c r="H155" s="552"/>
      <c r="I155" s="237"/>
    </row>
    <row r="156" spans="1:9">
      <c r="A156" s="274"/>
      <c r="B156" s="315" t="s">
        <v>116</v>
      </c>
      <c r="C156" s="108" t="s">
        <v>369</v>
      </c>
      <c r="D156" s="110"/>
      <c r="E156" s="110"/>
      <c r="F156" s="235">
        <f>ROUND(SUM(F140:F142)*Data!$I$10,0)</f>
        <v>0</v>
      </c>
      <c r="G156" s="236"/>
      <c r="H156" s="552"/>
      <c r="I156" s="237"/>
    </row>
    <row r="157" spans="1:9">
      <c r="A157" s="274"/>
      <c r="B157" s="315" t="s">
        <v>117</v>
      </c>
      <c r="C157" s="108" t="s">
        <v>370</v>
      </c>
      <c r="D157" s="110"/>
      <c r="E157" s="110"/>
      <c r="F157" s="235">
        <f>ROUND(SUM(F140:F142)*Data!$I$9,0)</f>
        <v>0</v>
      </c>
      <c r="G157" s="236"/>
      <c r="H157" s="552"/>
      <c r="I157" s="237"/>
    </row>
    <row r="158" spans="1:9">
      <c r="A158" s="274"/>
      <c r="B158" s="315" t="s">
        <v>118</v>
      </c>
      <c r="C158" s="108" t="s">
        <v>367</v>
      </c>
      <c r="D158" s="110"/>
      <c r="E158" s="110"/>
      <c r="F158" s="235">
        <f>ROUND(SUM(F135:F139)*Data!$I$11,0)</f>
        <v>0</v>
      </c>
      <c r="G158" s="236"/>
      <c r="H158" s="552"/>
      <c r="I158" s="237"/>
    </row>
    <row r="159" spans="1:9">
      <c r="A159" s="274"/>
      <c r="B159" s="315" t="s">
        <v>118</v>
      </c>
      <c r="C159" s="108" t="s">
        <v>371</v>
      </c>
      <c r="D159" s="110"/>
      <c r="E159" s="110"/>
      <c r="F159" s="235">
        <f>ROUND(SUM(F140:F142)*Data!$I$11,0)</f>
        <v>0</v>
      </c>
      <c r="G159" s="236"/>
      <c r="H159" s="552"/>
      <c r="I159" s="237"/>
    </row>
    <row r="160" spans="1:9">
      <c r="A160" s="274"/>
      <c r="B160" s="315" t="s">
        <v>119</v>
      </c>
      <c r="C160" s="108" t="s">
        <v>372</v>
      </c>
      <c r="D160" s="110"/>
      <c r="E160" s="110"/>
      <c r="F160" s="235">
        <f>(SUM(Data!E52*Data!$I$13)*Data!$I$12)</f>
        <v>0</v>
      </c>
      <c r="G160" s="236"/>
      <c r="H160" s="552"/>
      <c r="I160" s="237"/>
    </row>
    <row r="161" spans="1:9">
      <c r="A161" s="274"/>
      <c r="B161" s="315" t="s">
        <v>119</v>
      </c>
      <c r="C161" s="108" t="s">
        <v>373</v>
      </c>
      <c r="D161" s="110"/>
      <c r="E161" s="110"/>
      <c r="F161" s="235">
        <f>(SUM((Data!E60+Data!E62)*Data!$I$13)*Data!$I$12)</f>
        <v>0</v>
      </c>
      <c r="G161" s="236"/>
      <c r="H161" s="552"/>
      <c r="I161" s="237"/>
    </row>
    <row r="162" spans="1:9">
      <c r="A162" s="241"/>
      <c r="B162" s="109" t="s">
        <v>120</v>
      </c>
      <c r="C162" s="110"/>
      <c r="D162" s="110"/>
      <c r="E162" s="110"/>
      <c r="F162" s="235">
        <f>SUM(F135:F161)</f>
        <v>1716751</v>
      </c>
      <c r="G162" s="236"/>
      <c r="H162" s="552"/>
      <c r="I162" s="237"/>
    </row>
    <row r="164" spans="1:9">
      <c r="A164" s="237"/>
      <c r="B164" s="109" t="s">
        <v>18</v>
      </c>
      <c r="C164" s="110"/>
      <c r="D164" s="110"/>
      <c r="E164" s="110"/>
      <c r="F164" s="235">
        <f>Data!E84</f>
        <v>1716751</v>
      </c>
      <c r="G164" s="236"/>
      <c r="H164" s="552"/>
      <c r="I164" s="235">
        <f>F164</f>
        <v>1716751</v>
      </c>
    </row>
    <row r="165" spans="1:9">
      <c r="A165" s="237"/>
      <c r="B165" s="103" t="s">
        <v>121</v>
      </c>
      <c r="C165" s="104"/>
      <c r="D165" s="104"/>
      <c r="E165" s="104"/>
      <c r="F165" s="235">
        <f>F162</f>
        <v>1716751</v>
      </c>
      <c r="G165" s="236"/>
      <c r="H165" s="552"/>
      <c r="I165" s="237"/>
    </row>
    <row r="166" spans="1:9">
      <c r="A166" s="237"/>
      <c r="B166" s="103" t="s">
        <v>122</v>
      </c>
      <c r="C166" s="104"/>
      <c r="D166" s="104"/>
      <c r="E166" s="104"/>
      <c r="F166" s="235">
        <f>F164-F165</f>
        <v>0</v>
      </c>
      <c r="G166" s="236"/>
      <c r="H166" s="552"/>
      <c r="I166" s="237"/>
    </row>
    <row r="168" spans="1:9">
      <c r="A168" s="70" t="s">
        <v>123</v>
      </c>
    </row>
    <row r="169" spans="1:9">
      <c r="A169" s="70" t="s">
        <v>124</v>
      </c>
    </row>
    <row r="170" spans="1:9">
      <c r="A170" s="70" t="s">
        <v>615</v>
      </c>
    </row>
    <row r="172" spans="1:9">
      <c r="G172" s="7"/>
      <c r="H172" s="541"/>
    </row>
    <row r="173" spans="1:9">
      <c r="A173" s="86" t="s">
        <v>125</v>
      </c>
      <c r="B173" s="87"/>
      <c r="C173" s="87"/>
      <c r="E173" s="86" t="s">
        <v>126</v>
      </c>
      <c r="F173" s="87"/>
    </row>
    <row r="175" spans="1:9">
      <c r="G175" s="7"/>
      <c r="H175" s="541"/>
    </row>
    <row r="176" spans="1:9">
      <c r="A176" s="86" t="s">
        <v>127</v>
      </c>
      <c r="B176" s="87"/>
      <c r="C176" s="87"/>
      <c r="E176" s="86" t="s">
        <v>128</v>
      </c>
      <c r="F176" s="87"/>
    </row>
  </sheetData>
  <sortState ref="A65:J70">
    <sortCondition ref="C65:C70"/>
  </sortState>
  <phoneticPr fontId="0" type="noConversion"/>
  <pageMargins left="0.5" right="0.1" top="0.25" bottom="0.65" header="0.5" footer="0.5"/>
  <pageSetup scale="90" orientation="landscape" horizontalDpi="300" verticalDpi="300" r:id="rId1"/>
  <headerFooter alignWithMargins="0">
    <oddFooter>&amp;CPage &amp;P&amp;R&amp;A</oddFooter>
  </headerFooter>
  <rowBreaks count="4" manualBreakCount="4">
    <brk id="24" max="16383" man="1"/>
    <brk id="60" max="9" man="1"/>
    <brk id="98" max="16383" man="1"/>
    <brk id="1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82"/>
  <sheetViews>
    <sheetView topLeftCell="A52" zoomScale="85" workbookViewId="0">
      <selection activeCell="A132" sqref="A132"/>
    </sheetView>
  </sheetViews>
  <sheetFormatPr defaultRowHeight="12.75"/>
  <cols>
    <col min="1" max="1" width="25.85546875" customWidth="1"/>
    <col min="2" max="2" width="15" customWidth="1"/>
    <col min="3" max="3" width="18" customWidth="1"/>
    <col min="4" max="4" width="9.28515625" customWidth="1"/>
    <col min="5" max="5" width="10.85546875" customWidth="1"/>
    <col min="6" max="6" width="12.140625" customWidth="1"/>
    <col min="7" max="7" width="12.7109375" customWidth="1"/>
    <col min="8" max="8" width="12.7109375" style="507" hidden="1" customWidth="1"/>
    <col min="9" max="9" width="12.85546875" customWidth="1"/>
    <col min="10" max="10" width="10.42578125" customWidth="1"/>
    <col min="11" max="11" width="10.85546875" customWidth="1"/>
  </cols>
  <sheetData>
    <row r="1" spans="1:12" ht="15.75">
      <c r="C1" s="24" t="str">
        <f>Data!$C$1</f>
        <v>ELIZABETHTOWN INDEPENDENT SCHOOLS</v>
      </c>
      <c r="L1" s="459"/>
    </row>
    <row r="2" spans="1:12" ht="15">
      <c r="D2" s="69"/>
      <c r="J2" s="3"/>
      <c r="K2" s="3"/>
    </row>
    <row r="3" spans="1:12" ht="15.75">
      <c r="A3" s="1"/>
      <c r="C3" s="5" t="s">
        <v>2</v>
      </c>
      <c r="D3" s="4"/>
      <c r="E3" s="6"/>
      <c r="F3" s="2"/>
      <c r="G3" s="2"/>
      <c r="H3" s="553"/>
      <c r="I3" s="3"/>
      <c r="J3" s="3"/>
      <c r="K3" s="3"/>
    </row>
    <row r="4" spans="1:12" ht="15.75">
      <c r="A4" s="1"/>
      <c r="B4" s="12"/>
      <c r="D4" s="5" t="s">
        <v>322</v>
      </c>
      <c r="E4" s="6"/>
      <c r="F4" s="2"/>
      <c r="G4" s="2"/>
      <c r="H4" s="553"/>
      <c r="I4" s="3"/>
      <c r="J4" s="3"/>
      <c r="K4" s="3"/>
    </row>
    <row r="5" spans="1:12" ht="15.75">
      <c r="A5" s="1"/>
      <c r="B5" s="12"/>
      <c r="C5" s="13" t="s">
        <v>323</v>
      </c>
      <c r="D5" s="4"/>
      <c r="E5" s="6"/>
      <c r="F5" s="2"/>
      <c r="G5" s="2"/>
      <c r="H5" s="553"/>
      <c r="I5" s="3"/>
      <c r="J5" s="3"/>
      <c r="K5" s="3"/>
    </row>
    <row r="6" spans="1:12" ht="13.5" thickBot="1">
      <c r="A6" s="242" t="str">
        <f>+Data!I7</f>
        <v>2013-2014</v>
      </c>
      <c r="B6" s="74"/>
      <c r="C6" s="73" t="s">
        <v>129</v>
      </c>
    </row>
    <row r="7" spans="1:12">
      <c r="A7" s="146" t="s">
        <v>6</v>
      </c>
      <c r="B7" s="147" t="s">
        <v>27</v>
      </c>
      <c r="C7" s="147" t="s">
        <v>332</v>
      </c>
      <c r="D7" s="147" t="s">
        <v>335</v>
      </c>
      <c r="E7" s="337" t="s">
        <v>28</v>
      </c>
      <c r="F7" s="147" t="s">
        <v>184</v>
      </c>
      <c r="G7" s="149" t="s">
        <v>30</v>
      </c>
      <c r="H7" s="539"/>
    </row>
    <row r="8" spans="1:12" ht="13.5" thickBot="1">
      <c r="A8" s="151"/>
      <c r="B8" s="152"/>
      <c r="C8" s="153" t="s">
        <v>31</v>
      </c>
      <c r="D8" s="153" t="s">
        <v>336</v>
      </c>
      <c r="E8" s="153" t="s">
        <v>32</v>
      </c>
      <c r="F8" s="153" t="s">
        <v>337</v>
      </c>
      <c r="G8" s="154" t="s">
        <v>34</v>
      </c>
      <c r="H8" s="540"/>
    </row>
    <row r="10" spans="1:12" ht="18.75">
      <c r="A10" s="655" t="s">
        <v>552</v>
      </c>
      <c r="B10" s="336" t="s">
        <v>35</v>
      </c>
      <c r="C10" s="156">
        <f>ROUND(E10/F10,1)</f>
        <v>8.3000000000000007</v>
      </c>
      <c r="D10" s="414">
        <f>ROUND((E10/48),1)</f>
        <v>3.6</v>
      </c>
      <c r="E10" s="243">
        <f>SUM(Data!$D$17:$D$17)</f>
        <v>175</v>
      </c>
      <c r="F10" s="157">
        <v>21</v>
      </c>
      <c r="G10" s="158">
        <f>ROUND(E10/C10,2)</f>
        <v>21.08</v>
      </c>
      <c r="H10" s="554"/>
      <c r="I10" t="s">
        <v>328</v>
      </c>
    </row>
    <row r="11" spans="1:12" ht="16.5">
      <c r="B11" s="336" t="s">
        <v>36</v>
      </c>
      <c r="C11" s="156">
        <v>0</v>
      </c>
      <c r="D11" s="414">
        <f>ROUND(E11/24,1)</f>
        <v>0</v>
      </c>
      <c r="E11" s="243">
        <f>SUM(Data!$D$18:$D$20)</f>
        <v>0</v>
      </c>
      <c r="F11" s="157">
        <v>0</v>
      </c>
      <c r="G11" s="158" t="e">
        <f>ROUND(E11/C11,2)</f>
        <v>#DIV/0!</v>
      </c>
      <c r="H11" s="554"/>
    </row>
    <row r="12" spans="1:12" ht="16.5">
      <c r="B12" s="336" t="s">
        <v>8</v>
      </c>
      <c r="C12" s="156">
        <v>0</v>
      </c>
      <c r="D12" s="414">
        <f>ROUND(E12/28,1)</f>
        <v>0</v>
      </c>
      <c r="E12" s="243">
        <f>SUM(Data!$D$22:$D$22)</f>
        <v>0</v>
      </c>
      <c r="F12" s="157">
        <v>0</v>
      </c>
      <c r="G12" s="158" t="e">
        <f>ROUND(E12/C12,2)</f>
        <v>#DIV/0!</v>
      </c>
      <c r="H12" s="554"/>
    </row>
    <row r="13" spans="1:12" ht="16.5">
      <c r="B13" s="336" t="s">
        <v>9</v>
      </c>
      <c r="C13" s="156">
        <v>0</v>
      </c>
      <c r="D13" s="414">
        <f>ROUND(E13/29,1)</f>
        <v>0</v>
      </c>
      <c r="E13" s="243">
        <f>SUM(Data!$D$23:$D$23)</f>
        <v>0</v>
      </c>
      <c r="F13" s="157">
        <v>0</v>
      </c>
      <c r="G13" s="158" t="e">
        <f>ROUND(E13/C13,2)</f>
        <v>#DIV/0!</v>
      </c>
      <c r="H13" s="554"/>
    </row>
    <row r="14" spans="1:12" ht="13.5" thickBot="1">
      <c r="B14" s="29"/>
      <c r="D14" s="29"/>
    </row>
    <row r="15" spans="1:12" ht="18">
      <c r="A15" s="410" t="s">
        <v>330</v>
      </c>
      <c r="C15" s="440">
        <f>SUM(D10:D13)</f>
        <v>3.6</v>
      </c>
      <c r="E15" s="526">
        <f>SUM(E10:E14)</f>
        <v>175</v>
      </c>
      <c r="F15" s="245"/>
      <c r="G15" s="161"/>
      <c r="H15" s="541"/>
    </row>
    <row r="16" spans="1:12" ht="18">
      <c r="A16" s="412" t="s">
        <v>329</v>
      </c>
      <c r="B16" s="25"/>
      <c r="C16" s="441">
        <f>(SUM(C10:C13))</f>
        <v>8.3000000000000007</v>
      </c>
      <c r="D16" s="25"/>
      <c r="E16" s="527">
        <v>20</v>
      </c>
      <c r="F16" s="413"/>
      <c r="G16" s="26"/>
      <c r="H16" s="541"/>
    </row>
    <row r="17" spans="1:8" ht="18.75" thickBot="1">
      <c r="A17" s="430" t="s">
        <v>345</v>
      </c>
      <c r="B17" s="25"/>
      <c r="C17" s="442">
        <v>0</v>
      </c>
      <c r="D17" s="25"/>
      <c r="E17" s="527">
        <f>E15/E16</f>
        <v>8.75</v>
      </c>
      <c r="F17" s="413"/>
      <c r="G17" s="26"/>
      <c r="H17" s="541"/>
    </row>
    <row r="18" spans="1:8" ht="18.75" thickTop="1">
      <c r="A18" s="430" t="s">
        <v>346</v>
      </c>
      <c r="B18" s="25"/>
      <c r="C18" s="441">
        <f>C17+C16</f>
        <v>8.3000000000000007</v>
      </c>
      <c r="D18" s="25"/>
      <c r="E18" s="527"/>
      <c r="F18" s="413"/>
      <c r="G18" s="26"/>
      <c r="H18" s="541"/>
    </row>
    <row r="19" spans="1:8" ht="18.75" thickBot="1">
      <c r="A19" s="168" t="str">
        <f>$A$10</f>
        <v>Panther Academy</v>
      </c>
      <c r="B19" s="169" t="s">
        <v>39</v>
      </c>
      <c r="C19" s="259">
        <f>ROUND(C82,1)</f>
        <v>8</v>
      </c>
      <c r="D19" s="170"/>
      <c r="E19" s="528">
        <f>SUM(E10:E13)</f>
        <v>175</v>
      </c>
      <c r="F19" s="171"/>
      <c r="G19" s="30"/>
      <c r="H19" s="541"/>
    </row>
    <row r="20" spans="1:8" ht="15">
      <c r="A20" s="150"/>
      <c r="B20" s="150"/>
      <c r="C20" s="150"/>
      <c r="D20" s="150"/>
      <c r="E20" s="150"/>
      <c r="F20" s="150"/>
      <c r="G20" s="150"/>
      <c r="H20" s="524"/>
    </row>
    <row r="21" spans="1:8" ht="18">
      <c r="A21" s="247" t="s">
        <v>40</v>
      </c>
      <c r="B21" s="150"/>
      <c r="C21" s="175">
        <f>C19-C15</f>
        <v>4.4000000000000004</v>
      </c>
      <c r="E21" s="150"/>
    </row>
    <row r="22" spans="1:8" ht="15">
      <c r="A22" s="150" t="s">
        <v>320</v>
      </c>
      <c r="B22" s="405">
        <f>C19</f>
        <v>8</v>
      </c>
      <c r="C22" s="404">
        <f>E15/B22</f>
        <v>21.875</v>
      </c>
      <c r="D22" s="150" t="s">
        <v>325</v>
      </c>
      <c r="E22" s="150"/>
    </row>
    <row r="23" spans="1:8" ht="15.75" thickBot="1">
      <c r="A23" s="150"/>
      <c r="B23" s="405"/>
      <c r="C23" s="404"/>
      <c r="D23" s="150"/>
      <c r="E23" s="150"/>
    </row>
    <row r="24" spans="1:8">
      <c r="A24" s="146" t="s">
        <v>6</v>
      </c>
      <c r="B24" s="147" t="s">
        <v>27</v>
      </c>
      <c r="C24" s="147" t="s">
        <v>333</v>
      </c>
      <c r="D24" s="147"/>
      <c r="E24" s="337" t="s">
        <v>28</v>
      </c>
      <c r="F24" s="147" t="s">
        <v>184</v>
      </c>
      <c r="G24" s="149" t="s">
        <v>338</v>
      </c>
      <c r="H24" s="539"/>
    </row>
    <row r="25" spans="1:8" ht="13.5" thickBot="1">
      <c r="A25" s="151"/>
      <c r="B25" s="152"/>
      <c r="C25" s="153" t="s">
        <v>334</v>
      </c>
      <c r="D25" s="153"/>
      <c r="E25" s="153" t="s">
        <v>32</v>
      </c>
      <c r="F25" s="153" t="s">
        <v>337</v>
      </c>
      <c r="G25" s="154" t="s">
        <v>34</v>
      </c>
      <c r="H25" s="540"/>
    </row>
    <row r="26" spans="1:8">
      <c r="A26" s="17"/>
      <c r="B26" s="25"/>
      <c r="C26" s="25"/>
      <c r="D26" s="25"/>
      <c r="E26" s="25"/>
      <c r="F26" s="25"/>
      <c r="G26" s="26"/>
      <c r="H26" s="541"/>
    </row>
    <row r="27" spans="1:8" ht="18.75">
      <c r="A27" s="415" t="str">
        <f>A10</f>
        <v>Panther Academy</v>
      </c>
      <c r="B27" s="416" t="s">
        <v>35</v>
      </c>
      <c r="C27" s="417">
        <f>E27/F27</f>
        <v>8.3333333333333339</v>
      </c>
      <c r="D27" s="418"/>
      <c r="E27" s="419">
        <f>Data!$D$17</f>
        <v>175</v>
      </c>
      <c r="F27" s="420">
        <v>21</v>
      </c>
      <c r="G27" s="421">
        <f>ROUND(E27/C27,2)</f>
        <v>21</v>
      </c>
      <c r="H27" s="542"/>
    </row>
    <row r="28" spans="1:8" ht="16.5">
      <c r="A28" s="17"/>
      <c r="B28" s="416" t="s">
        <v>36</v>
      </c>
      <c r="C28" s="417">
        <v>0</v>
      </c>
      <c r="D28" s="418"/>
      <c r="E28" s="243">
        <f>SUM(Data!$D$18:$D$20)</f>
        <v>0</v>
      </c>
      <c r="F28" s="420">
        <v>0</v>
      </c>
      <c r="G28" s="421">
        <v>0</v>
      </c>
      <c r="H28" s="542"/>
    </row>
    <row r="29" spans="1:8" ht="16.5">
      <c r="A29" s="17"/>
      <c r="B29" s="416" t="s">
        <v>8</v>
      </c>
      <c r="C29" s="417">
        <v>0</v>
      </c>
      <c r="D29" s="418"/>
      <c r="E29" s="243">
        <f>SUM(Data!$D$22:$D$22)</f>
        <v>0</v>
      </c>
      <c r="F29" s="420">
        <v>0</v>
      </c>
      <c r="G29" s="421">
        <v>0</v>
      </c>
      <c r="H29" s="542"/>
    </row>
    <row r="30" spans="1:8" ht="16.5">
      <c r="A30" s="17"/>
      <c r="B30" s="416" t="s">
        <v>9</v>
      </c>
      <c r="C30" s="417">
        <v>0</v>
      </c>
      <c r="D30" s="418"/>
      <c r="E30" s="243">
        <f>SUM(Data!$D$23:$D$23)</f>
        <v>0</v>
      </c>
      <c r="F30" s="420">
        <v>0</v>
      </c>
      <c r="G30" s="421">
        <v>0</v>
      </c>
      <c r="H30" s="542"/>
    </row>
    <row r="31" spans="1:8" ht="13.5" thickBot="1">
      <c r="A31" s="38"/>
      <c r="B31" s="219"/>
      <c r="C31" s="219"/>
      <c r="D31" s="219"/>
      <c r="E31" s="219"/>
      <c r="F31" s="219"/>
      <c r="G31" s="423"/>
      <c r="H31" s="541"/>
    </row>
    <row r="32" spans="1:8" ht="15.75" thickTop="1">
      <c r="A32" s="412" t="s">
        <v>352</v>
      </c>
      <c r="B32" s="424"/>
      <c r="C32" s="425">
        <f>SUM(C27:C31)</f>
        <v>8.3333333333333339</v>
      </c>
      <c r="D32" s="426"/>
      <c r="E32" s="426"/>
      <c r="F32" s="288"/>
      <c r="G32" s="289"/>
      <c r="H32" s="541"/>
    </row>
    <row r="33" spans="1:10" ht="15.75" thickBot="1">
      <c r="A33" s="430" t="s">
        <v>353</v>
      </c>
      <c r="B33" s="439"/>
      <c r="C33" s="443">
        <v>0</v>
      </c>
      <c r="D33" s="167"/>
      <c r="E33" s="167"/>
      <c r="F33" s="25"/>
      <c r="G33" s="26"/>
      <c r="H33" s="541"/>
    </row>
    <row r="34" spans="1:10" ht="15.75" thickTop="1">
      <c r="A34" s="430" t="s">
        <v>354</v>
      </c>
      <c r="B34" s="439"/>
      <c r="C34" s="428">
        <f>(C33+C32)</f>
        <v>8.3333333333333339</v>
      </c>
      <c r="D34" s="167"/>
      <c r="E34" s="167"/>
      <c r="F34" s="25"/>
      <c r="G34" s="26"/>
      <c r="H34" s="541"/>
    </row>
    <row r="35" spans="1:10" ht="15.75" thickBot="1">
      <c r="A35" s="168" t="str">
        <f>$A$10</f>
        <v>Panther Academy</v>
      </c>
      <c r="B35" s="169" t="s">
        <v>339</v>
      </c>
      <c r="C35" s="422">
        <f>D122</f>
        <v>8</v>
      </c>
      <c r="D35" s="173"/>
      <c r="E35" s="173"/>
      <c r="F35" s="29"/>
      <c r="G35" s="30"/>
      <c r="H35" s="541"/>
    </row>
    <row r="36" spans="1:10" ht="19.5" thickBot="1">
      <c r="A36" s="179" t="str">
        <f>A10</f>
        <v>Panther Academy</v>
      </c>
      <c r="C36" s="180" t="str">
        <f>+Data!$I$7</f>
        <v>2013-2014</v>
      </c>
      <c r="D36" s="120"/>
      <c r="E36" s="181" t="s">
        <v>41</v>
      </c>
      <c r="F36" s="150"/>
      <c r="G36" s="150"/>
      <c r="H36" s="524"/>
    </row>
    <row r="37" spans="1:10" ht="15.75">
      <c r="A37" s="182" t="s">
        <v>42</v>
      </c>
      <c r="B37" s="183" t="s">
        <v>43</v>
      </c>
      <c r="C37" s="184" t="s">
        <v>44</v>
      </c>
      <c r="D37" s="184"/>
      <c r="E37" s="184"/>
      <c r="F37" s="183" t="s">
        <v>45</v>
      </c>
      <c r="G37" s="183" t="s">
        <v>46</v>
      </c>
      <c r="H37" s="505" t="s">
        <v>446</v>
      </c>
      <c r="I37" s="183" t="s">
        <v>47</v>
      </c>
      <c r="J37" s="409" t="s">
        <v>459</v>
      </c>
    </row>
    <row r="38" spans="1:10" ht="16.5" thickBot="1">
      <c r="A38" s="185" t="s">
        <v>19</v>
      </c>
      <c r="B38" s="186" t="s">
        <v>48</v>
      </c>
      <c r="C38" s="173"/>
      <c r="D38" s="173"/>
      <c r="E38" s="173"/>
      <c r="F38" s="173"/>
      <c r="G38" s="173"/>
      <c r="H38" s="506"/>
      <c r="I38" s="173"/>
      <c r="J38" s="621" t="str">
        <f>+C36</f>
        <v>2013-2014</v>
      </c>
    </row>
    <row r="40" spans="1:10" ht="15.75">
      <c r="A40" s="639" t="s">
        <v>556</v>
      </c>
      <c r="B40" s="188">
        <v>1</v>
      </c>
      <c r="C40" s="464" t="s">
        <v>549</v>
      </c>
      <c r="D40" s="150"/>
      <c r="F40" s="189" t="s">
        <v>11</v>
      </c>
      <c r="G40" s="395">
        <v>18</v>
      </c>
      <c r="H40" s="543">
        <f>G40+1</f>
        <v>19</v>
      </c>
      <c r="I40" s="395">
        <v>1</v>
      </c>
      <c r="J40" s="53">
        <f>VLOOKUP(G40,Data!$B$120:$G$151,I40+1)*B40</f>
        <v>57554</v>
      </c>
    </row>
    <row r="41" spans="1:10" ht="6.75" customHeight="1">
      <c r="A41" s="639"/>
      <c r="B41" s="188"/>
      <c r="C41" s="248"/>
      <c r="D41" s="150"/>
      <c r="F41" s="255"/>
      <c r="I41" s="395"/>
      <c r="J41" s="53"/>
    </row>
    <row r="42" spans="1:10" ht="15.75">
      <c r="A42" s="666">
        <v>0</v>
      </c>
      <c r="B42" s="188">
        <v>0</v>
      </c>
      <c r="C42" s="248"/>
      <c r="D42" s="150"/>
      <c r="F42" s="255" t="s">
        <v>50</v>
      </c>
      <c r="I42" s="395"/>
      <c r="J42" s="53">
        <f>VLOOKUP(G42,Data!$B$120:$G$151,I42+1)*B42</f>
        <v>0</v>
      </c>
    </row>
    <row r="43" spans="1:10" ht="15.75">
      <c r="A43" s="639" t="s">
        <v>326</v>
      </c>
      <c r="B43" s="188"/>
      <c r="C43" s="248"/>
      <c r="D43" s="150"/>
      <c r="F43" s="189" t="s">
        <v>326</v>
      </c>
      <c r="I43" s="395"/>
      <c r="J43" s="53"/>
    </row>
    <row r="44" spans="1:10" ht="5.25" customHeight="1">
      <c r="A44" s="639"/>
      <c r="B44" s="188"/>
      <c r="C44" s="248"/>
      <c r="D44" s="150"/>
      <c r="F44" s="189"/>
      <c r="I44" s="395"/>
      <c r="J44" s="53"/>
    </row>
    <row r="45" spans="1:10" ht="15.75">
      <c r="A45" s="639" t="s">
        <v>326</v>
      </c>
      <c r="B45" s="188">
        <v>0</v>
      </c>
      <c r="C45" s="464" t="s">
        <v>326</v>
      </c>
      <c r="D45" s="150"/>
      <c r="F45" s="189" t="s">
        <v>52</v>
      </c>
      <c r="G45" s="395">
        <v>0</v>
      </c>
      <c r="H45" s="543">
        <f>G45+1</f>
        <v>1</v>
      </c>
      <c r="I45" s="395">
        <v>1</v>
      </c>
      <c r="J45" s="53">
        <f>VLOOKUP(G45,Data!$B$120:$G$151,I45+1)*B45</f>
        <v>0</v>
      </c>
    </row>
    <row r="46" spans="1:10" ht="15.75">
      <c r="A46" s="639" t="s">
        <v>326</v>
      </c>
      <c r="B46" s="323" t="s">
        <v>326</v>
      </c>
      <c r="C46" s="191"/>
      <c r="D46" s="150"/>
      <c r="F46" s="189" t="s">
        <v>326</v>
      </c>
      <c r="I46" s="396"/>
      <c r="J46" s="53" t="s">
        <v>326</v>
      </c>
    </row>
    <row r="47" spans="1:10" ht="6" customHeight="1">
      <c r="A47" s="639"/>
      <c r="B47" s="190"/>
      <c r="C47" s="191"/>
      <c r="D47" s="150"/>
      <c r="F47" s="189"/>
      <c r="I47" s="396"/>
      <c r="J47" s="53"/>
    </row>
    <row r="48" spans="1:10" ht="15.75">
      <c r="A48" s="639" t="s">
        <v>558</v>
      </c>
      <c r="B48" s="188">
        <v>0.5</v>
      </c>
      <c r="C48" s="675" t="s">
        <v>586</v>
      </c>
      <c r="D48" s="150"/>
      <c r="F48" s="189" t="s">
        <v>54</v>
      </c>
      <c r="G48" s="395">
        <v>17</v>
      </c>
      <c r="H48" s="543">
        <f>G48+1</f>
        <v>18</v>
      </c>
      <c r="I48" s="395">
        <v>1</v>
      </c>
      <c r="J48" s="53">
        <f>VLOOKUP(G48,Data!$B$120:$G$151,I48+1)*B48</f>
        <v>28475.5</v>
      </c>
    </row>
    <row r="49" spans="1:10" ht="6" customHeight="1">
      <c r="A49" s="639"/>
      <c r="B49" s="188"/>
      <c r="C49" s="248"/>
      <c r="D49" s="150"/>
      <c r="F49" s="189"/>
      <c r="I49" s="188"/>
      <c r="J49" s="53"/>
    </row>
    <row r="50" spans="1:10" ht="15.75">
      <c r="A50" s="639" t="s">
        <v>326</v>
      </c>
      <c r="B50" s="188"/>
      <c r="C50" s="248"/>
      <c r="D50" s="150"/>
      <c r="F50" s="189" t="s">
        <v>326</v>
      </c>
      <c r="I50" s="188"/>
      <c r="J50" s="53"/>
    </row>
    <row r="51" spans="1:10" ht="6.75" customHeight="1">
      <c r="A51" s="667"/>
      <c r="B51" s="150"/>
      <c r="C51" s="174"/>
      <c r="D51" s="150"/>
      <c r="F51" s="189"/>
      <c r="I51" s="150"/>
      <c r="J51" s="53"/>
    </row>
    <row r="52" spans="1:10" ht="15.75">
      <c r="A52" s="639" t="s">
        <v>557</v>
      </c>
      <c r="B52" s="188">
        <v>1</v>
      </c>
      <c r="C52" s="675" t="s">
        <v>578</v>
      </c>
      <c r="D52" s="150"/>
      <c r="F52" s="189" t="s">
        <v>57</v>
      </c>
      <c r="G52" s="395">
        <v>10</v>
      </c>
      <c r="H52" s="543">
        <f t="shared" ref="H52:H58" si="0">G52+1</f>
        <v>11</v>
      </c>
      <c r="I52" s="395">
        <v>1</v>
      </c>
      <c r="J52" s="53">
        <f>VLOOKUP(G52,Data!$B$120:$G$151,I52+1)*B52</f>
        <v>52033</v>
      </c>
    </row>
    <row r="53" spans="1:10" ht="15.75">
      <c r="A53" s="639" t="s">
        <v>557</v>
      </c>
      <c r="B53" s="188">
        <v>1</v>
      </c>
      <c r="C53" s="675" t="s">
        <v>579</v>
      </c>
      <c r="D53" s="150"/>
      <c r="E53" t="s">
        <v>326</v>
      </c>
      <c r="F53" s="189" t="s">
        <v>57</v>
      </c>
      <c r="G53" s="395">
        <v>30</v>
      </c>
      <c r="H53" s="543">
        <f t="shared" si="0"/>
        <v>31</v>
      </c>
      <c r="I53" s="395">
        <v>2</v>
      </c>
      <c r="J53" s="53">
        <f>VLOOKUP(G53,Data!$B$120:$G$151,I53+1)*B53</f>
        <v>57656</v>
      </c>
    </row>
    <row r="54" spans="1:10" ht="15.75">
      <c r="A54" s="639" t="s">
        <v>557</v>
      </c>
      <c r="B54" s="188">
        <v>1</v>
      </c>
      <c r="C54" s="675" t="s">
        <v>580</v>
      </c>
      <c r="D54" s="150"/>
      <c r="F54" s="189" t="s">
        <v>57</v>
      </c>
      <c r="G54" s="395">
        <v>8</v>
      </c>
      <c r="H54" s="543">
        <f t="shared" si="0"/>
        <v>9</v>
      </c>
      <c r="I54" s="395">
        <v>1</v>
      </c>
      <c r="J54" s="53">
        <f>VLOOKUP(G54,Data!$B$120:$G$151,I54+1)*B54</f>
        <v>48718</v>
      </c>
    </row>
    <row r="55" spans="1:10" ht="15.75">
      <c r="A55" s="639" t="s">
        <v>557</v>
      </c>
      <c r="B55" s="188">
        <v>1</v>
      </c>
      <c r="C55" s="675" t="s">
        <v>581</v>
      </c>
      <c r="D55" s="150"/>
      <c r="E55" t="s">
        <v>326</v>
      </c>
      <c r="F55" s="189" t="s">
        <v>57</v>
      </c>
      <c r="G55" s="395">
        <v>30</v>
      </c>
      <c r="H55" s="543">
        <f t="shared" si="0"/>
        <v>31</v>
      </c>
      <c r="I55" s="395">
        <v>1</v>
      </c>
      <c r="J55" s="53">
        <f>VLOOKUP(G55,Data!$B$120:$G$151,I55+1)*B55</f>
        <v>62266</v>
      </c>
    </row>
    <row r="56" spans="1:10" ht="15.75">
      <c r="A56" s="639" t="s">
        <v>557</v>
      </c>
      <c r="B56" s="188">
        <v>1</v>
      </c>
      <c r="C56" s="675" t="s">
        <v>583</v>
      </c>
      <c r="D56" s="150"/>
      <c r="E56" t="s">
        <v>326</v>
      </c>
      <c r="F56" s="189" t="s">
        <v>57</v>
      </c>
      <c r="G56" s="395">
        <v>17</v>
      </c>
      <c r="H56" s="543">
        <f t="shared" si="0"/>
        <v>18</v>
      </c>
      <c r="I56" s="395">
        <v>1</v>
      </c>
      <c r="J56" s="53">
        <f>VLOOKUP(G56,Data!$B$120:$G$151,I56+1)*B56</f>
        <v>56951</v>
      </c>
    </row>
    <row r="57" spans="1:10" ht="15.75">
      <c r="A57" s="639" t="s">
        <v>557</v>
      </c>
      <c r="B57" s="188">
        <v>1</v>
      </c>
      <c r="C57" s="675" t="s">
        <v>584</v>
      </c>
      <c r="D57" s="150"/>
      <c r="E57" t="s">
        <v>326</v>
      </c>
      <c r="F57" s="189" t="s">
        <v>57</v>
      </c>
      <c r="G57" s="395">
        <v>12</v>
      </c>
      <c r="H57" s="543">
        <f t="shared" si="0"/>
        <v>13</v>
      </c>
      <c r="I57" s="395">
        <v>2</v>
      </c>
      <c r="J57" s="53">
        <f>VLOOKUP(G57,Data!$B$120:$G$151,I57+1)*B57</f>
        <v>49287</v>
      </c>
    </row>
    <row r="58" spans="1:10" ht="15.75">
      <c r="A58" s="639" t="s">
        <v>557</v>
      </c>
      <c r="B58" s="188">
        <v>1</v>
      </c>
      <c r="C58" s="675" t="s">
        <v>585</v>
      </c>
      <c r="D58" s="464" t="s">
        <v>326</v>
      </c>
      <c r="F58" s="189" t="s">
        <v>57</v>
      </c>
      <c r="G58" s="395">
        <v>15</v>
      </c>
      <c r="H58" s="543">
        <f t="shared" si="0"/>
        <v>16</v>
      </c>
      <c r="I58" s="395">
        <v>2</v>
      </c>
      <c r="J58" s="53">
        <f>VLOOKUP(G58,Data!$B$120:$G$151,I58+1)*B58</f>
        <v>51819</v>
      </c>
    </row>
    <row r="59" spans="1:10" ht="15.75">
      <c r="A59" s="639" t="s">
        <v>557</v>
      </c>
      <c r="B59" s="188">
        <v>1</v>
      </c>
      <c r="C59" s="675" t="s">
        <v>612</v>
      </c>
      <c r="D59" s="464" t="s">
        <v>326</v>
      </c>
      <c r="F59" s="189" t="s">
        <v>57</v>
      </c>
      <c r="G59" s="395">
        <v>27</v>
      </c>
      <c r="H59" s="543">
        <f t="shared" ref="H59" si="1">G59+1</f>
        <v>28</v>
      </c>
      <c r="I59" s="395">
        <v>2</v>
      </c>
      <c r="J59" s="53">
        <f>VLOOKUP(G59,Data!$B$120:$G$151,I59+1)*B59</f>
        <v>57656</v>
      </c>
    </row>
    <row r="60" spans="1:10" ht="15.75">
      <c r="A60" s="317"/>
      <c r="B60" s="188"/>
      <c r="C60" s="464"/>
      <c r="D60" s="150"/>
      <c r="F60" s="189"/>
      <c r="G60" s="395"/>
      <c r="H60" s="543"/>
      <c r="I60" s="395"/>
      <c r="J60" s="53"/>
    </row>
    <row r="61" spans="1:10" ht="15.75">
      <c r="A61" s="317"/>
      <c r="B61" s="188"/>
      <c r="C61" s="641"/>
      <c r="D61" s="150"/>
      <c r="F61" s="189"/>
      <c r="G61" s="395"/>
      <c r="H61" s="543"/>
      <c r="I61" s="395"/>
      <c r="J61" s="53"/>
    </row>
    <row r="62" spans="1:10" ht="15.75">
      <c r="A62" s="317"/>
      <c r="B62" s="188"/>
      <c r="C62" s="464"/>
      <c r="D62" s="150"/>
      <c r="F62" s="189"/>
      <c r="G62" s="395"/>
      <c r="H62" s="543"/>
      <c r="I62" s="395"/>
      <c r="J62" s="53"/>
    </row>
    <row r="63" spans="1:10" ht="15.75">
      <c r="A63" s="317"/>
      <c r="B63" s="188"/>
      <c r="C63" s="464"/>
      <c r="D63" s="150"/>
      <c r="F63" s="189"/>
      <c r="G63" s="395"/>
      <c r="H63" s="543"/>
      <c r="I63" s="395"/>
      <c r="J63" s="53"/>
    </row>
    <row r="64" spans="1:10" ht="15.75">
      <c r="A64" s="317"/>
      <c r="B64" s="188"/>
      <c r="C64" s="464"/>
      <c r="D64" s="150"/>
      <c r="F64" s="189"/>
      <c r="G64" s="395"/>
      <c r="H64" s="543"/>
      <c r="I64" s="395"/>
      <c r="J64" s="53"/>
    </row>
    <row r="65" spans="1:10" ht="15.75">
      <c r="A65" s="317"/>
      <c r="B65" s="188"/>
      <c r="C65" s="464"/>
      <c r="D65" s="150"/>
      <c r="F65" s="189"/>
      <c r="G65" s="395"/>
      <c r="H65" s="543"/>
      <c r="I65" s="395"/>
      <c r="J65" s="53"/>
    </row>
    <row r="66" spans="1:10" ht="15.75">
      <c r="A66" s="317"/>
      <c r="B66" s="188"/>
      <c r="C66" s="464"/>
      <c r="D66" s="150"/>
      <c r="F66" s="189"/>
      <c r="G66" s="395"/>
      <c r="H66" s="543"/>
      <c r="I66" s="395"/>
      <c r="J66" s="53"/>
    </row>
    <row r="67" spans="1:10" ht="15.75">
      <c r="A67" s="317"/>
      <c r="B67" s="188"/>
      <c r="C67" s="464"/>
      <c r="D67" s="150"/>
      <c r="F67" s="189"/>
      <c r="G67" s="395"/>
      <c r="H67" s="543"/>
      <c r="I67" s="395"/>
      <c r="J67" s="53"/>
    </row>
    <row r="68" spans="1:10" ht="15.75">
      <c r="A68" s="317"/>
      <c r="B68" s="188"/>
      <c r="C68" s="464"/>
      <c r="D68" s="150"/>
      <c r="F68" s="189"/>
      <c r="G68" s="395"/>
      <c r="H68" s="543"/>
      <c r="I68" s="395"/>
      <c r="J68" s="53"/>
    </row>
    <row r="69" spans="1:10" ht="15.75">
      <c r="A69" s="317"/>
      <c r="B69" s="188"/>
      <c r="C69" s="464"/>
      <c r="D69" s="150"/>
      <c r="F69" s="189"/>
      <c r="G69" s="395"/>
      <c r="H69" s="543"/>
      <c r="I69" s="395"/>
      <c r="J69" s="53"/>
    </row>
    <row r="70" spans="1:10" ht="15.75">
      <c r="A70" s="317"/>
      <c r="B70" s="188"/>
      <c r="C70" s="464"/>
      <c r="D70" s="150"/>
      <c r="F70" s="189"/>
      <c r="G70" s="395"/>
      <c r="H70" s="543"/>
      <c r="I70" s="395"/>
      <c r="J70" s="53"/>
    </row>
    <row r="71" spans="1:10" ht="15.75">
      <c r="A71" s="317"/>
      <c r="B71" s="188"/>
      <c r="C71" s="464"/>
      <c r="D71" s="150"/>
      <c r="F71" s="189"/>
      <c r="G71" s="395"/>
      <c r="H71" s="543"/>
      <c r="I71" s="395"/>
      <c r="J71" s="53"/>
    </row>
    <row r="72" spans="1:10" ht="15.75">
      <c r="A72" s="317"/>
      <c r="B72" s="188"/>
      <c r="C72" s="464"/>
      <c r="D72" s="150"/>
      <c r="F72" s="189"/>
      <c r="G72" s="395"/>
      <c r="H72" s="543"/>
      <c r="I72" s="395"/>
      <c r="J72" s="53"/>
    </row>
    <row r="73" spans="1:10" ht="15.75">
      <c r="A73" s="317"/>
      <c r="B73" s="188"/>
      <c r="C73" s="464"/>
      <c r="D73" s="150"/>
      <c r="F73" s="189"/>
      <c r="G73" s="395"/>
      <c r="H73" s="543"/>
      <c r="I73" s="395"/>
      <c r="J73" s="53"/>
    </row>
    <row r="74" spans="1:10" ht="15.75">
      <c r="A74" s="317"/>
      <c r="B74" s="188"/>
      <c r="C74" s="579"/>
      <c r="D74" s="150"/>
      <c r="F74" s="189"/>
      <c r="G74" s="395"/>
      <c r="H74" s="543"/>
      <c r="I74" s="395"/>
      <c r="J74" s="53"/>
    </row>
    <row r="75" spans="1:10" ht="15.75">
      <c r="B75" s="73" t="s">
        <v>60</v>
      </c>
      <c r="C75" s="579"/>
      <c r="E75" s="193"/>
      <c r="F75" s="74" t="str">
        <f>C36</f>
        <v>2013-2014</v>
      </c>
      <c r="I75" s="188"/>
    </row>
    <row r="76" spans="1:10" ht="15" thickBot="1">
      <c r="C76" s="579"/>
      <c r="E76" s="193"/>
    </row>
    <row r="77" spans="1:10" ht="15" thickTop="1">
      <c r="A77" s="356" t="s">
        <v>11</v>
      </c>
      <c r="B77" s="195"/>
      <c r="C77" s="642">
        <f>B40</f>
        <v>1</v>
      </c>
      <c r="D77" s="197"/>
      <c r="E77" s="198"/>
      <c r="F77" s="197"/>
      <c r="G77" s="197"/>
      <c r="H77" s="509"/>
      <c r="I77" s="197"/>
      <c r="J77" s="199">
        <f>J40</f>
        <v>57554</v>
      </c>
    </row>
    <row r="78" spans="1:10" ht="15.75">
      <c r="A78" s="357" t="s">
        <v>61</v>
      </c>
      <c r="B78" s="79"/>
      <c r="C78" s="643">
        <f>SUM(B42:B43)</f>
        <v>0</v>
      </c>
      <c r="D78" s="201"/>
      <c r="E78" s="201"/>
      <c r="F78" s="201"/>
      <c r="G78" s="201"/>
      <c r="H78" s="510"/>
      <c r="I78" s="188"/>
      <c r="J78" s="202">
        <f>SUM(J42:J43)</f>
        <v>0</v>
      </c>
    </row>
    <row r="79" spans="1:10">
      <c r="A79" s="357" t="s">
        <v>62</v>
      </c>
      <c r="B79" s="79"/>
      <c r="C79" s="643">
        <f>SUM(B45:B46)</f>
        <v>0</v>
      </c>
      <c r="D79" s="201"/>
      <c r="E79" s="201"/>
      <c r="F79" s="201"/>
      <c r="G79" s="201"/>
      <c r="H79" s="510"/>
      <c r="I79" s="201"/>
      <c r="J79" s="202">
        <f>SUM(J45:J46)</f>
        <v>0</v>
      </c>
    </row>
    <row r="80" spans="1:10">
      <c r="A80" s="357" t="s">
        <v>63</v>
      </c>
      <c r="B80" s="79"/>
      <c r="C80" s="643">
        <f>SUM(B48:B48)</f>
        <v>0.5</v>
      </c>
      <c r="D80" s="201"/>
      <c r="E80" s="201"/>
      <c r="F80" s="201"/>
      <c r="G80" s="201"/>
      <c r="H80" s="510"/>
      <c r="I80" s="201"/>
      <c r="J80" s="202">
        <f>SUM(J48:J48)</f>
        <v>28475.5</v>
      </c>
    </row>
    <row r="81" spans="1:10">
      <c r="A81" s="357" t="s">
        <v>55</v>
      </c>
      <c r="B81" s="79"/>
      <c r="C81" s="643">
        <f>SUM(B50:B50)</f>
        <v>0</v>
      </c>
      <c r="D81" s="201"/>
      <c r="E81" s="201"/>
      <c r="F81" s="201"/>
      <c r="G81" s="201"/>
      <c r="H81" s="510"/>
      <c r="I81" s="201"/>
      <c r="J81" s="202">
        <f>SUM(J50:J50)</f>
        <v>0</v>
      </c>
    </row>
    <row r="82" spans="1:10" ht="13.5" thickBot="1">
      <c r="A82" s="358" t="s">
        <v>57</v>
      </c>
      <c r="B82" s="204"/>
      <c r="C82" s="380">
        <f>SUM(B51:B74)</f>
        <v>8</v>
      </c>
      <c r="D82" s="206"/>
      <c r="E82" s="206"/>
      <c r="F82" s="206"/>
      <c r="G82" s="206"/>
      <c r="H82" s="511"/>
      <c r="I82" s="206"/>
      <c r="J82" s="207">
        <f>SUM(J51:J74)</f>
        <v>436386</v>
      </c>
    </row>
    <row r="83" spans="1:10" ht="14.25" thickTop="1" thickBot="1">
      <c r="A83" s="358" t="s">
        <v>28</v>
      </c>
      <c r="B83" s="204"/>
      <c r="C83" s="380">
        <f>SUM(C77:C82)</f>
        <v>9.5</v>
      </c>
      <c r="D83" s="206"/>
      <c r="E83" s="206"/>
      <c r="F83" s="206"/>
      <c r="G83" s="206"/>
      <c r="H83" s="511"/>
      <c r="I83" s="206"/>
      <c r="J83" s="207">
        <f>SUM(J77:J82)</f>
        <v>522415.5</v>
      </c>
    </row>
    <row r="84" spans="1:10" ht="13.5" thickTop="1">
      <c r="A84" s="353"/>
      <c r="B84" s="353"/>
      <c r="C84" s="644"/>
      <c r="D84" s="352"/>
      <c r="E84" s="352"/>
      <c r="F84" s="352"/>
      <c r="G84" s="352"/>
      <c r="H84" s="512"/>
      <c r="I84" s="352"/>
      <c r="J84" s="354"/>
    </row>
    <row r="85" spans="1:10" ht="13.5" thickBot="1">
      <c r="A85" s="353"/>
      <c r="B85" s="353"/>
      <c r="C85" s="644"/>
      <c r="D85" s="352"/>
      <c r="E85" s="352"/>
      <c r="F85" s="352"/>
      <c r="G85" s="352"/>
      <c r="H85" s="512"/>
      <c r="I85" s="352"/>
      <c r="J85" s="354"/>
    </row>
    <row r="86" spans="1:10">
      <c r="A86" s="491" t="s">
        <v>454</v>
      </c>
      <c r="B86" s="492"/>
      <c r="C86" s="645"/>
      <c r="D86" s="494"/>
      <c r="E86" s="494"/>
      <c r="F86" s="494"/>
      <c r="G86" s="494"/>
      <c r="H86" s="513"/>
      <c r="I86" s="513"/>
      <c r="J86" s="495"/>
    </row>
    <row r="87" spans="1:10">
      <c r="A87" s="352"/>
      <c r="B87" s="353"/>
      <c r="C87" s="644"/>
      <c r="D87" s="352"/>
      <c r="E87" s="352"/>
      <c r="F87" s="352"/>
      <c r="G87" s="352"/>
      <c r="H87" s="512"/>
      <c r="I87" s="512"/>
      <c r="J87" s="354"/>
    </row>
    <row r="88" spans="1:10" ht="15.75">
      <c r="A88" s="639"/>
      <c r="B88" s="188"/>
      <c r="C88" s="673"/>
      <c r="D88" s="150"/>
      <c r="F88" s="189"/>
      <c r="G88" s="395"/>
      <c r="H88" s="543"/>
      <c r="I88" s="395"/>
      <c r="J88" s="53"/>
    </row>
    <row r="89" spans="1:10" ht="16.5" thickBot="1">
      <c r="A89" s="500" t="s">
        <v>28</v>
      </c>
      <c r="B89" s="498"/>
      <c r="C89" s="646"/>
      <c r="D89" s="29"/>
      <c r="E89" s="292"/>
      <c r="F89" s="387"/>
      <c r="G89" s="292"/>
      <c r="H89" s="515"/>
      <c r="I89" s="515"/>
      <c r="J89" s="499">
        <f>SUM(J86:J88)</f>
        <v>0</v>
      </c>
    </row>
    <row r="90" spans="1:10" ht="15.75">
      <c r="A90" s="501"/>
      <c r="B90" s="502"/>
      <c r="C90" s="25"/>
      <c r="D90" s="25"/>
      <c r="E90" s="302"/>
      <c r="F90" s="503"/>
      <c r="G90" s="302"/>
      <c r="H90" s="516"/>
      <c r="I90" s="516"/>
      <c r="J90" s="504"/>
    </row>
    <row r="91" spans="1:10" ht="13.5" thickBot="1">
      <c r="A91" s="352"/>
      <c r="B91" s="353"/>
      <c r="C91" s="278"/>
      <c r="D91" s="352"/>
      <c r="E91" s="352"/>
      <c r="F91" s="352"/>
      <c r="G91" s="352"/>
      <c r="H91" s="512"/>
      <c r="I91" s="512"/>
      <c r="J91" s="354"/>
    </row>
    <row r="92" spans="1:10">
      <c r="A92" s="491" t="s">
        <v>460</v>
      </c>
      <c r="B92" s="492"/>
      <c r="C92" s="493"/>
      <c r="D92" s="494"/>
      <c r="E92" s="494"/>
      <c r="F92" s="494"/>
      <c r="G92" s="494"/>
      <c r="H92" s="513"/>
      <c r="I92" s="513"/>
      <c r="J92" s="495"/>
    </row>
    <row r="93" spans="1:10" ht="14.25">
      <c r="A93" s="496"/>
      <c r="B93" s="637"/>
      <c r="C93" s="278"/>
      <c r="D93" s="352"/>
      <c r="E93" s="352"/>
      <c r="F93" s="352"/>
      <c r="G93" s="582"/>
      <c r="H93" s="512"/>
      <c r="I93" s="512"/>
      <c r="J93" s="53"/>
    </row>
    <row r="94" spans="1:10" ht="15.75">
      <c r="A94" s="639" t="s">
        <v>557</v>
      </c>
      <c r="B94" s="188">
        <v>1</v>
      </c>
      <c r="C94" s="675" t="s">
        <v>582</v>
      </c>
      <c r="D94" s="150"/>
      <c r="E94" t="s">
        <v>326</v>
      </c>
      <c r="F94" s="189" t="s">
        <v>57</v>
      </c>
      <c r="G94" s="395">
        <v>38</v>
      </c>
      <c r="H94" s="543">
        <f>G94+1</f>
        <v>39</v>
      </c>
      <c r="I94" s="395">
        <v>2</v>
      </c>
      <c r="J94" s="53">
        <f>VLOOKUP(G94,Data!$B$120:$G$151,I94+1)*B94</f>
        <v>57656</v>
      </c>
    </row>
    <row r="96" spans="1:10" ht="16.5" thickBot="1">
      <c r="A96" s="500" t="s">
        <v>28</v>
      </c>
      <c r="B96" s="498"/>
      <c r="C96" s="29"/>
      <c r="D96" s="29"/>
      <c r="E96" s="292"/>
      <c r="F96" s="387"/>
      <c r="G96" s="292"/>
      <c r="H96" s="515"/>
      <c r="I96" s="515"/>
      <c r="J96" s="499">
        <f>SUM(J92:J95)</f>
        <v>57656</v>
      </c>
    </row>
    <row r="97" spans="1:11">
      <c r="A97" s="355"/>
      <c r="B97" s="353"/>
      <c r="C97" s="278"/>
      <c r="D97" s="352"/>
      <c r="E97" s="352"/>
      <c r="F97" s="352"/>
      <c r="G97" s="352"/>
      <c r="H97" s="512"/>
      <c r="I97" s="352"/>
      <c r="J97" s="354"/>
    </row>
    <row r="99" spans="1:11" ht="15.75">
      <c r="B99" s="5" t="s">
        <v>2</v>
      </c>
      <c r="C99" s="11"/>
    </row>
    <row r="100" spans="1:11" ht="15.75">
      <c r="B100" s="12"/>
      <c r="C100" s="5" t="s">
        <v>14</v>
      </c>
    </row>
    <row r="101" spans="1:11" ht="15.75">
      <c r="B101" s="12"/>
      <c r="C101" s="10" t="s">
        <v>15</v>
      </c>
    </row>
    <row r="102" spans="1:11">
      <c r="B102" s="73" t="s">
        <v>64</v>
      </c>
      <c r="G102" s="74" t="str">
        <f>+A10</f>
        <v>Panther Academy</v>
      </c>
      <c r="H102" s="545"/>
    </row>
    <row r="103" spans="1:11" ht="13.5" thickBot="1"/>
    <row r="104" spans="1:11">
      <c r="A104" s="594" t="str">
        <f>+A6</f>
        <v>2013-2014</v>
      </c>
      <c r="B104" s="122"/>
      <c r="C104" s="595" t="s">
        <v>65</v>
      </c>
      <c r="D104" s="122"/>
      <c r="E104" s="122"/>
      <c r="F104" s="596"/>
      <c r="G104" s="122"/>
      <c r="H104" s="597"/>
      <c r="I104" s="122"/>
      <c r="J104" s="122"/>
      <c r="K104" s="161"/>
    </row>
    <row r="105" spans="1:11">
      <c r="A105" s="598" t="s">
        <v>44</v>
      </c>
      <c r="B105" s="211" t="s">
        <v>66</v>
      </c>
      <c r="C105" s="210" t="s">
        <v>45</v>
      </c>
      <c r="D105" s="211" t="s">
        <v>46</v>
      </c>
      <c r="E105" s="211" t="s">
        <v>27</v>
      </c>
      <c r="F105" s="211" t="s">
        <v>67</v>
      </c>
      <c r="G105" s="211" t="s">
        <v>68</v>
      </c>
      <c r="H105" s="519"/>
      <c r="I105" s="211" t="s">
        <v>69</v>
      </c>
      <c r="J105" s="211" t="s">
        <v>68</v>
      </c>
      <c r="K105" s="599" t="s">
        <v>28</v>
      </c>
    </row>
    <row r="106" spans="1:11">
      <c r="A106" s="290"/>
      <c r="B106" s="213" t="s">
        <v>70</v>
      </c>
      <c r="C106" s="104"/>
      <c r="D106" s="104"/>
      <c r="E106" s="104"/>
      <c r="F106" s="213" t="s">
        <v>71</v>
      </c>
      <c r="G106" s="213" t="s">
        <v>72</v>
      </c>
      <c r="H106" s="520"/>
      <c r="I106" s="213" t="s">
        <v>73</v>
      </c>
      <c r="J106" s="213" t="s">
        <v>71</v>
      </c>
      <c r="K106" s="600" t="s">
        <v>74</v>
      </c>
    </row>
    <row r="107" spans="1:11">
      <c r="A107" s="17"/>
      <c r="B107" s="488"/>
      <c r="C107" s="25"/>
      <c r="D107" s="25"/>
      <c r="E107" s="25"/>
      <c r="F107" s="488"/>
      <c r="G107" s="488"/>
      <c r="H107" s="555"/>
      <c r="I107" s="488"/>
      <c r="J107" s="488"/>
      <c r="K107" s="296"/>
    </row>
    <row r="108" spans="1:11" ht="15.75">
      <c r="A108" s="601" t="s">
        <v>550</v>
      </c>
      <c r="B108" s="483">
        <v>1</v>
      </c>
      <c r="C108" s="484" t="s">
        <v>75</v>
      </c>
      <c r="D108" s="484">
        <v>21</v>
      </c>
      <c r="E108" s="485">
        <v>1</v>
      </c>
      <c r="F108" s="485">
        <v>7.5</v>
      </c>
      <c r="G108" s="485">
        <v>260</v>
      </c>
      <c r="H108" s="593">
        <f>D108+1</f>
        <v>22</v>
      </c>
      <c r="I108" s="486">
        <f>VLOOKUP(D108,Data!$A$151:$S$178,E108+1)</f>
        <v>14.55</v>
      </c>
      <c r="J108" s="487">
        <f>G108*F108</f>
        <v>1950</v>
      </c>
      <c r="K108" s="603">
        <f>ROUND(I108*J108,0)</f>
        <v>28373</v>
      </c>
    </row>
    <row r="109" spans="1:11" ht="15.75">
      <c r="A109" s="601" t="s">
        <v>326</v>
      </c>
      <c r="B109" s="483"/>
      <c r="C109" s="484"/>
      <c r="D109" s="484"/>
      <c r="E109" s="485"/>
      <c r="F109" s="485"/>
      <c r="G109" s="485"/>
      <c r="H109" s="593"/>
      <c r="I109" s="486"/>
      <c r="J109" s="487"/>
      <c r="K109" s="603"/>
    </row>
    <row r="110" spans="1:11" ht="16.5" thickBot="1">
      <c r="A110" s="604" t="s">
        <v>326</v>
      </c>
      <c r="B110" s="374" t="s">
        <v>326</v>
      </c>
      <c r="C110" s="382" t="s">
        <v>326</v>
      </c>
      <c r="D110" s="382" t="s">
        <v>326</v>
      </c>
      <c r="E110" s="375" t="s">
        <v>326</v>
      </c>
      <c r="F110" s="375" t="s">
        <v>326</v>
      </c>
      <c r="G110" s="375" t="s">
        <v>326</v>
      </c>
      <c r="H110" s="546"/>
      <c r="I110" s="54" t="s">
        <v>326</v>
      </c>
      <c r="J110" s="376" t="s">
        <v>326</v>
      </c>
      <c r="K110" s="605" t="s">
        <v>326</v>
      </c>
    </row>
    <row r="111" spans="1:11" ht="15.75" thickTop="1" thickBot="1">
      <c r="A111" s="606" t="s">
        <v>76</v>
      </c>
      <c r="B111" s="447" t="str">
        <f>+G102</f>
        <v>Panther Academy</v>
      </c>
      <c r="C111" s="219"/>
      <c r="D111" s="379">
        <f>SUM(B108:B110)</f>
        <v>1</v>
      </c>
      <c r="E111" s="221" t="s">
        <v>77</v>
      </c>
      <c r="F111" s="219"/>
      <c r="G111" s="219"/>
      <c r="H111" s="514"/>
      <c r="I111" s="219"/>
      <c r="J111" s="219"/>
      <c r="K111" s="607">
        <f>SUM(K108:K110)</f>
        <v>28373</v>
      </c>
    </row>
    <row r="112" spans="1:11" ht="13.5" thickTop="1">
      <c r="A112" s="17"/>
      <c r="B112" s="25"/>
      <c r="C112" s="25"/>
      <c r="D112" s="25"/>
      <c r="E112" s="25"/>
      <c r="F112" s="25"/>
      <c r="G112" s="25"/>
      <c r="H112" s="541"/>
      <c r="I112" s="25"/>
      <c r="J112" s="25"/>
      <c r="K112" s="26"/>
    </row>
    <row r="113" spans="1:18" ht="15.75">
      <c r="A113" s="636" t="s">
        <v>567</v>
      </c>
      <c r="B113" s="483">
        <v>1</v>
      </c>
      <c r="C113" s="622" t="s">
        <v>148</v>
      </c>
      <c r="D113" s="484">
        <v>21</v>
      </c>
      <c r="E113" s="485">
        <v>8</v>
      </c>
      <c r="F113" s="485">
        <v>6.5</v>
      </c>
      <c r="G113" s="485">
        <v>181</v>
      </c>
      <c r="H113" s="593">
        <f t="shared" ref="H113:H120" si="2">D113+1</f>
        <v>22</v>
      </c>
      <c r="I113" s="486">
        <f>VLOOKUP(D113,Data!$A$151:$S$178,E113+1)</f>
        <v>12.15</v>
      </c>
      <c r="J113" s="487">
        <f t="shared" ref="J113:J120" si="3">G113*F113</f>
        <v>1176.5</v>
      </c>
      <c r="K113" s="603">
        <f t="shared" ref="K113:K119" si="4">ROUND(I113*J113,0)</f>
        <v>14294</v>
      </c>
    </row>
    <row r="114" spans="1:18" ht="15.75">
      <c r="A114" s="636" t="s">
        <v>571</v>
      </c>
      <c r="B114" s="483">
        <v>1</v>
      </c>
      <c r="C114" s="622" t="s">
        <v>148</v>
      </c>
      <c r="D114" s="484">
        <v>9</v>
      </c>
      <c r="E114" s="485">
        <v>8</v>
      </c>
      <c r="F114" s="485">
        <v>6.5</v>
      </c>
      <c r="G114" s="485">
        <v>181</v>
      </c>
      <c r="H114" s="593">
        <f t="shared" si="2"/>
        <v>10</v>
      </c>
      <c r="I114" s="486">
        <f>VLOOKUP(D114,Data!$A$151:$S$178,E114+1)</f>
        <v>10.84</v>
      </c>
      <c r="J114" s="487">
        <f>G114*F114</f>
        <v>1176.5</v>
      </c>
      <c r="K114" s="603">
        <f>ROUND(I114*J114,0)</f>
        <v>12753</v>
      </c>
    </row>
    <row r="115" spans="1:18" ht="15.75">
      <c r="A115" s="636" t="s">
        <v>591</v>
      </c>
      <c r="B115" s="483">
        <v>1</v>
      </c>
      <c r="C115" s="622" t="s">
        <v>148</v>
      </c>
      <c r="D115" s="484">
        <v>10</v>
      </c>
      <c r="E115" s="485">
        <v>8</v>
      </c>
      <c r="F115" s="485">
        <v>6.5</v>
      </c>
      <c r="G115" s="485">
        <v>181</v>
      </c>
      <c r="H115" s="593">
        <f t="shared" si="2"/>
        <v>11</v>
      </c>
      <c r="I115" s="486">
        <f>VLOOKUP(D115,Data!$A$151:$S$178,E115+1)</f>
        <v>10.84</v>
      </c>
      <c r="J115" s="487">
        <f t="shared" si="3"/>
        <v>1176.5</v>
      </c>
      <c r="K115" s="603">
        <f t="shared" si="4"/>
        <v>12753</v>
      </c>
      <c r="R115" s="4"/>
    </row>
    <row r="116" spans="1:18" ht="15.75">
      <c r="A116" s="636" t="s">
        <v>572</v>
      </c>
      <c r="B116" s="483">
        <v>1</v>
      </c>
      <c r="C116" s="622" t="s">
        <v>148</v>
      </c>
      <c r="D116" s="484">
        <v>17</v>
      </c>
      <c r="E116" s="485">
        <v>8</v>
      </c>
      <c r="F116" s="485">
        <v>6.5</v>
      </c>
      <c r="G116" s="485">
        <v>181</v>
      </c>
      <c r="H116" s="593">
        <f t="shared" si="2"/>
        <v>18</v>
      </c>
      <c r="I116" s="486">
        <f>VLOOKUP(D116,Data!$A$151:$S$178,E116+1)</f>
        <v>11.89</v>
      </c>
      <c r="J116" s="487">
        <f t="shared" si="3"/>
        <v>1176.5</v>
      </c>
      <c r="K116" s="603">
        <f t="shared" si="4"/>
        <v>13989</v>
      </c>
    </row>
    <row r="117" spans="1:18" ht="15.75">
      <c r="A117" s="636" t="s">
        <v>573</v>
      </c>
      <c r="B117" s="483">
        <v>1</v>
      </c>
      <c r="C117" s="622" t="s">
        <v>148</v>
      </c>
      <c r="D117" s="484">
        <v>25</v>
      </c>
      <c r="E117" s="485">
        <v>8</v>
      </c>
      <c r="F117" s="485">
        <v>6.5</v>
      </c>
      <c r="G117" s="485">
        <v>181</v>
      </c>
      <c r="H117" s="593">
        <f t="shared" si="2"/>
        <v>26</v>
      </c>
      <c r="I117" s="486">
        <f>VLOOKUP(D117,Data!$A$151:$S$178,E117+1)</f>
        <v>12.15</v>
      </c>
      <c r="J117" s="487">
        <f>G117*F117</f>
        <v>1176.5</v>
      </c>
      <c r="K117" s="603">
        <f>ROUND(I117*J117,0)</f>
        <v>14294</v>
      </c>
    </row>
    <row r="118" spans="1:18" ht="15.75">
      <c r="A118" s="636" t="s">
        <v>574</v>
      </c>
      <c r="B118" s="483">
        <v>1</v>
      </c>
      <c r="C118" s="622" t="s">
        <v>148</v>
      </c>
      <c r="D118" s="484">
        <v>13</v>
      </c>
      <c r="E118" s="485">
        <v>8</v>
      </c>
      <c r="F118" s="485">
        <v>6.5</v>
      </c>
      <c r="G118" s="485">
        <v>181</v>
      </c>
      <c r="H118" s="593">
        <f t="shared" si="2"/>
        <v>14</v>
      </c>
      <c r="I118" s="486">
        <f>VLOOKUP(D118,Data!$A$151:$S$178,E118+1)</f>
        <v>11.38</v>
      </c>
      <c r="J118" s="487">
        <f>G118*F118</f>
        <v>1176.5</v>
      </c>
      <c r="K118" s="603">
        <f>ROUND(I118*J118,0)</f>
        <v>13389</v>
      </c>
    </row>
    <row r="119" spans="1:18" ht="15.75">
      <c r="A119" s="601" t="s">
        <v>576</v>
      </c>
      <c r="B119" s="483">
        <v>1</v>
      </c>
      <c r="C119" s="622" t="s">
        <v>148</v>
      </c>
      <c r="D119" s="484">
        <v>20</v>
      </c>
      <c r="E119" s="485">
        <v>8</v>
      </c>
      <c r="F119" s="485">
        <v>6.5</v>
      </c>
      <c r="G119" s="485">
        <v>181</v>
      </c>
      <c r="H119" s="593">
        <f t="shared" si="2"/>
        <v>21</v>
      </c>
      <c r="I119" s="486">
        <f>VLOOKUP(D119,Data!$A$151:$S$178,E119+1)</f>
        <v>12.15</v>
      </c>
      <c r="J119" s="487">
        <f t="shared" si="3"/>
        <v>1176.5</v>
      </c>
      <c r="K119" s="603">
        <f t="shared" si="4"/>
        <v>14294</v>
      </c>
      <c r="L119" s="572" t="s">
        <v>326</v>
      </c>
    </row>
    <row r="120" spans="1:18" ht="15.75">
      <c r="A120" s="601" t="s">
        <v>607</v>
      </c>
      <c r="B120" s="483">
        <v>1</v>
      </c>
      <c r="C120" s="622" t="s">
        <v>148</v>
      </c>
      <c r="D120" s="484">
        <v>2</v>
      </c>
      <c r="E120" s="485">
        <v>8</v>
      </c>
      <c r="F120" s="485">
        <v>6.5</v>
      </c>
      <c r="G120" s="485">
        <v>181</v>
      </c>
      <c r="H120" s="593">
        <f t="shared" si="2"/>
        <v>3</v>
      </c>
      <c r="I120" s="486">
        <f>VLOOKUP(D120,Data!$A$151:$S$178,E120+1)</f>
        <v>9.8000000000000007</v>
      </c>
      <c r="J120" s="487">
        <f t="shared" si="3"/>
        <v>1176.5</v>
      </c>
      <c r="K120" s="603">
        <f>ROUND(I120*J120,0)</f>
        <v>11530</v>
      </c>
    </row>
    <row r="121" spans="1:18" ht="15.75" thickBot="1">
      <c r="A121" s="38"/>
      <c r="B121" s="221"/>
      <c r="C121" s="219"/>
      <c r="D121" s="378"/>
      <c r="E121" s="257"/>
      <c r="F121" s="257"/>
      <c r="G121" s="257"/>
      <c r="H121" s="522"/>
      <c r="I121" s="257"/>
      <c r="J121" s="257"/>
      <c r="K121" s="623"/>
    </row>
    <row r="122" spans="1:18" ht="15.75" thickTop="1" thickBot="1">
      <c r="A122" s="606" t="s">
        <v>78</v>
      </c>
      <c r="B122" s="25" t="str">
        <f>+B111</f>
        <v>Panther Academy</v>
      </c>
      <c r="C122" s="99"/>
      <c r="D122" s="380">
        <f>SUM(B112:B121)</f>
        <v>8</v>
      </c>
      <c r="E122" s="98" t="s">
        <v>79</v>
      </c>
      <c r="F122" s="25"/>
      <c r="G122" s="25"/>
      <c r="H122" s="541"/>
      <c r="I122" s="25"/>
      <c r="J122" s="25"/>
      <c r="K122" s="610">
        <f>SUM(K112:K121)</f>
        <v>107296</v>
      </c>
    </row>
    <row r="123" spans="1:18" ht="15.75" thickTop="1" thickBot="1">
      <c r="A123" s="611"/>
      <c r="B123" s="383"/>
      <c r="C123" s="383"/>
      <c r="D123" s="385"/>
      <c r="E123" s="384" t="s">
        <v>80</v>
      </c>
      <c r="F123" s="383"/>
      <c r="G123" s="383"/>
      <c r="H123" s="548"/>
      <c r="I123" s="383"/>
      <c r="J123" s="383"/>
      <c r="K123" s="612">
        <f>K122+K111</f>
        <v>135669</v>
      </c>
    </row>
    <row r="124" spans="1:18" ht="15" thickTop="1">
      <c r="A124" s="17"/>
      <c r="B124" s="25"/>
      <c r="C124" s="25"/>
      <c r="D124" s="457"/>
      <c r="E124" s="275"/>
      <c r="F124" s="25"/>
      <c r="G124" s="25"/>
      <c r="H124" s="541"/>
      <c r="I124" s="25"/>
      <c r="J124" s="25"/>
      <c r="K124" s="651"/>
    </row>
    <row r="125" spans="1:18" ht="15.75">
      <c r="A125" s="17" t="s">
        <v>608</v>
      </c>
      <c r="B125" s="25">
        <v>0.5</v>
      </c>
      <c r="C125" s="25" t="s">
        <v>529</v>
      </c>
      <c r="D125" s="457">
        <v>2</v>
      </c>
      <c r="E125" s="275">
        <v>5</v>
      </c>
      <c r="F125" s="664">
        <v>3.5</v>
      </c>
      <c r="G125" s="664">
        <v>187</v>
      </c>
      <c r="H125" s="541"/>
      <c r="I125" s="486">
        <f>VLOOKUP(D125,Data!$A$151:$S$178,E125+1)</f>
        <v>10.41</v>
      </c>
      <c r="J125" s="487">
        <f>G125*F125</f>
        <v>654.5</v>
      </c>
      <c r="K125" s="603">
        <f>ROUND(I125*J125,0)</f>
        <v>6813</v>
      </c>
    </row>
    <row r="126" spans="1:18" ht="15.75">
      <c r="A126" s="601" t="s">
        <v>535</v>
      </c>
      <c r="B126" s="483">
        <v>0.5</v>
      </c>
      <c r="C126" s="622" t="s">
        <v>529</v>
      </c>
      <c r="D126" s="484">
        <v>8</v>
      </c>
      <c r="E126" s="485">
        <v>5</v>
      </c>
      <c r="F126" s="485">
        <v>4</v>
      </c>
      <c r="G126" s="485">
        <v>260</v>
      </c>
      <c r="H126" s="593">
        <f>D126+1</f>
        <v>9</v>
      </c>
      <c r="I126" s="486">
        <f>VLOOKUP(D126,Data!$A$151:$S$178,E126+1)</f>
        <v>11.02</v>
      </c>
      <c r="J126" s="487">
        <f>G126*F126</f>
        <v>1040</v>
      </c>
      <c r="K126" s="603">
        <f>ROUND(I126*J126,0)</f>
        <v>11461</v>
      </c>
    </row>
    <row r="127" spans="1:18" ht="13.5" thickBot="1">
      <c r="A127" s="38"/>
      <c r="B127" s="219"/>
      <c r="C127" s="219"/>
      <c r="D127" s="381"/>
      <c r="E127" s="219"/>
      <c r="F127" s="219"/>
      <c r="G127" s="219"/>
      <c r="H127" s="514"/>
      <c r="I127" s="219"/>
      <c r="J127" s="219"/>
      <c r="K127" s="423"/>
    </row>
    <row r="128" spans="1:18" ht="15.75" thickTop="1" thickBot="1">
      <c r="A128" s="624" t="s">
        <v>81</v>
      </c>
      <c r="B128" s="25" t="str">
        <f>+B122</f>
        <v>Panther Academy</v>
      </c>
      <c r="C128" s="99"/>
      <c r="D128" s="380">
        <f>SUM(B125:B126)</f>
        <v>1</v>
      </c>
      <c r="E128" s="98" t="s">
        <v>82</v>
      </c>
      <c r="F128" s="25"/>
      <c r="G128" s="25"/>
      <c r="H128" s="541"/>
      <c r="I128" s="25"/>
      <c r="J128" s="25"/>
      <c r="K128" s="610">
        <f>SUM(K125:K127)</f>
        <v>18274</v>
      </c>
    </row>
    <row r="129" spans="1:13" ht="14.25" thickTop="1" thickBot="1">
      <c r="A129" s="611"/>
      <c r="B129" s="383"/>
      <c r="C129" s="383"/>
      <c r="D129" s="383"/>
      <c r="E129" s="383"/>
      <c r="F129" s="383"/>
      <c r="G129" s="383"/>
      <c r="H129" s="548"/>
      <c r="I129" s="383"/>
      <c r="J129" s="383"/>
      <c r="K129" s="625"/>
    </row>
    <row r="130" spans="1:13" ht="13.5" thickTop="1">
      <c r="A130" s="616" t="s">
        <v>454</v>
      </c>
      <c r="B130" s="25"/>
      <c r="C130" s="25"/>
      <c r="D130" s="25"/>
      <c r="E130" s="25"/>
      <c r="F130" s="25"/>
      <c r="G130" s="25"/>
      <c r="H130" s="541"/>
      <c r="I130" s="25"/>
      <c r="J130" s="25"/>
      <c r="K130" s="289"/>
    </row>
    <row r="131" spans="1:13" ht="15.75">
      <c r="A131" s="674" t="s">
        <v>568</v>
      </c>
      <c r="B131" s="25">
        <v>1</v>
      </c>
      <c r="C131" s="25" t="s">
        <v>478</v>
      </c>
      <c r="D131" s="25">
        <v>16</v>
      </c>
      <c r="E131" s="25">
        <v>28</v>
      </c>
      <c r="F131" s="571">
        <v>7</v>
      </c>
      <c r="G131" s="571">
        <v>181</v>
      </c>
      <c r="H131" s="541"/>
      <c r="I131" s="486">
        <v>17.489999999999998</v>
      </c>
      <c r="J131" s="487">
        <f t="shared" ref="J131:J133" si="5">G131*F131</f>
        <v>1267</v>
      </c>
      <c r="K131" s="603">
        <f t="shared" ref="K131:K132" si="6">ROUND(I131*J131,0)</f>
        <v>22160</v>
      </c>
    </row>
    <row r="132" spans="1:13" ht="15.75">
      <c r="A132" s="601" t="s">
        <v>613</v>
      </c>
      <c r="B132" s="483">
        <v>1</v>
      </c>
      <c r="C132" s="622" t="s">
        <v>148</v>
      </c>
      <c r="D132" s="484">
        <v>20</v>
      </c>
      <c r="E132" s="485">
        <v>8</v>
      </c>
      <c r="F132" s="485">
        <v>6.5</v>
      </c>
      <c r="G132" s="485">
        <v>181</v>
      </c>
      <c r="H132" s="593">
        <f t="shared" ref="H132" si="7">D132+1</f>
        <v>21</v>
      </c>
      <c r="I132" s="486">
        <f>VLOOKUP(D132,Data!$A$151:$S$178,E132+1)</f>
        <v>12.15</v>
      </c>
      <c r="J132" s="487">
        <f t="shared" si="5"/>
        <v>1176.5</v>
      </c>
      <c r="K132" s="603">
        <f t="shared" si="6"/>
        <v>14294</v>
      </c>
    </row>
    <row r="133" spans="1:13" ht="15.75">
      <c r="A133" s="636" t="s">
        <v>609</v>
      </c>
      <c r="B133" s="483">
        <v>1</v>
      </c>
      <c r="C133" s="622" t="s">
        <v>570</v>
      </c>
      <c r="D133" s="484">
        <v>4</v>
      </c>
      <c r="E133" s="485">
        <v>8</v>
      </c>
      <c r="F133" s="485">
        <v>4</v>
      </c>
      <c r="G133" s="485">
        <v>181</v>
      </c>
      <c r="H133" s="593">
        <f t="shared" ref="H133" si="8">D133+1</f>
        <v>5</v>
      </c>
      <c r="I133" s="486">
        <f>VLOOKUP(D133,Data!$A$151:$S$178,E133+1)</f>
        <v>10.039999999999999</v>
      </c>
      <c r="J133" s="487">
        <f t="shared" si="5"/>
        <v>724</v>
      </c>
      <c r="K133" s="609">
        <f>ROUND(I133*J133,0)</f>
        <v>7269</v>
      </c>
    </row>
    <row r="134" spans="1:13" ht="15" thickBot="1">
      <c r="A134" s="626" t="s">
        <v>453</v>
      </c>
      <c r="B134" s="29"/>
      <c r="C134" s="29"/>
      <c r="D134" s="29"/>
      <c r="E134" s="29"/>
      <c r="F134" s="29"/>
      <c r="G134" s="29"/>
      <c r="H134" s="535"/>
      <c r="I134" s="29"/>
      <c r="J134" s="29"/>
      <c r="K134" s="627">
        <f>SUM(K131:K133)</f>
        <v>43723</v>
      </c>
    </row>
    <row r="136" spans="1:13" ht="15.75">
      <c r="A136" s="155" t="str">
        <f>+A10</f>
        <v>Panther Academy</v>
      </c>
      <c r="B136" s="9"/>
      <c r="C136" s="370" t="str">
        <f>+A6</f>
        <v>2013-2014</v>
      </c>
      <c r="D136" s="155" t="s">
        <v>83</v>
      </c>
      <c r="E136" s="9"/>
      <c r="F136" s="9"/>
      <c r="G136" s="9"/>
      <c r="H136" s="549"/>
    </row>
    <row r="138" spans="1:13">
      <c r="A138" s="228" t="s">
        <v>84</v>
      </c>
      <c r="B138" s="228" t="s">
        <v>85</v>
      </c>
      <c r="C138" s="226" t="s">
        <v>20</v>
      </c>
      <c r="D138" s="227"/>
      <c r="E138" s="227"/>
      <c r="F138" s="228" t="s">
        <v>86</v>
      </c>
      <c r="G138" s="229"/>
      <c r="H138" s="550"/>
      <c r="I138" s="228" t="s">
        <v>87</v>
      </c>
    </row>
    <row r="139" spans="1:13" ht="13.5" thickBot="1">
      <c r="A139" s="232" t="s">
        <v>88</v>
      </c>
      <c r="B139" s="232" t="s">
        <v>88</v>
      </c>
      <c r="C139" s="230"/>
      <c r="D139" s="231"/>
      <c r="E139" s="231"/>
      <c r="F139" s="232" t="s">
        <v>89</v>
      </c>
      <c r="G139" s="233"/>
      <c r="H139" s="551"/>
      <c r="I139" s="234" t="s">
        <v>90</v>
      </c>
    </row>
    <row r="140" spans="1:13" ht="13.5" thickTop="1">
      <c r="A140" s="665" t="s">
        <v>556</v>
      </c>
      <c r="B140" s="315" t="s">
        <v>21</v>
      </c>
      <c r="C140" s="108" t="s">
        <v>91</v>
      </c>
      <c r="D140" s="110"/>
      <c r="E140" s="110"/>
      <c r="F140" s="235">
        <f>J77</f>
        <v>57554</v>
      </c>
      <c r="G140" s="236"/>
      <c r="H140" s="552"/>
      <c r="I140" s="237"/>
    </row>
    <row r="141" spans="1:13">
      <c r="A141" s="665" t="s">
        <v>556</v>
      </c>
      <c r="B141" s="315" t="s">
        <v>21</v>
      </c>
      <c r="C141" s="108" t="s">
        <v>92</v>
      </c>
      <c r="D141" s="110"/>
      <c r="E141" s="110"/>
      <c r="F141" s="235">
        <f>J78</f>
        <v>0</v>
      </c>
      <c r="G141" s="236"/>
      <c r="H141" s="552"/>
      <c r="I141" s="237"/>
    </row>
    <row r="142" spans="1:13">
      <c r="A142" s="665" t="s">
        <v>557</v>
      </c>
      <c r="B142" s="315" t="s">
        <v>21</v>
      </c>
      <c r="C142" s="108" t="s">
        <v>93</v>
      </c>
      <c r="D142" s="110"/>
      <c r="E142" s="110"/>
      <c r="F142" s="235">
        <f>J82</f>
        <v>436386</v>
      </c>
      <c r="G142" s="236"/>
      <c r="H142" s="552"/>
      <c r="I142" s="237"/>
    </row>
    <row r="143" spans="1:13">
      <c r="A143" s="665" t="s">
        <v>558</v>
      </c>
      <c r="B143" s="315" t="s">
        <v>21</v>
      </c>
      <c r="C143" s="108" t="s">
        <v>94</v>
      </c>
      <c r="D143" s="110"/>
      <c r="E143" s="110"/>
      <c r="F143" s="235">
        <f>J80</f>
        <v>28475.5</v>
      </c>
      <c r="G143" s="236"/>
      <c r="H143" s="552"/>
      <c r="I143" s="237"/>
    </row>
    <row r="144" spans="1:13">
      <c r="A144" s="665" t="s">
        <v>559</v>
      </c>
      <c r="B144" s="315" t="s">
        <v>21</v>
      </c>
      <c r="C144" s="108" t="s">
        <v>95</v>
      </c>
      <c r="D144" s="110"/>
      <c r="E144" s="110"/>
      <c r="F144" s="235">
        <f>J79</f>
        <v>0</v>
      </c>
      <c r="G144" s="236"/>
      <c r="H144" s="552"/>
      <c r="I144" s="237"/>
      <c r="L144" s="142"/>
      <c r="M144" s="249"/>
    </row>
    <row r="145" spans="1:13">
      <c r="A145" s="665" t="s">
        <v>556</v>
      </c>
      <c r="B145" s="315" t="s">
        <v>22</v>
      </c>
      <c r="C145" s="108" t="s">
        <v>96</v>
      </c>
      <c r="D145" s="110"/>
      <c r="E145" s="110"/>
      <c r="F145" s="235">
        <f>K111</f>
        <v>28373</v>
      </c>
      <c r="G145" s="236"/>
      <c r="H145" s="552"/>
      <c r="I145" s="237"/>
    </row>
    <row r="146" spans="1:13">
      <c r="A146" s="665" t="s">
        <v>557</v>
      </c>
      <c r="B146" s="315" t="s">
        <v>22</v>
      </c>
      <c r="C146" s="108" t="s">
        <v>97</v>
      </c>
      <c r="D146" s="110"/>
      <c r="E146" s="110"/>
      <c r="F146" s="235">
        <f>K122</f>
        <v>107296</v>
      </c>
      <c r="G146" s="236"/>
      <c r="H146" s="552"/>
      <c r="I146" s="237"/>
    </row>
    <row r="147" spans="1:13">
      <c r="A147" s="665" t="s">
        <v>560</v>
      </c>
      <c r="B147" s="315" t="s">
        <v>22</v>
      </c>
      <c r="C147" s="108" t="s">
        <v>99</v>
      </c>
      <c r="D147" s="110"/>
      <c r="E147" s="110"/>
      <c r="F147" s="235">
        <f>K128</f>
        <v>18274</v>
      </c>
      <c r="G147" s="236"/>
      <c r="H147" s="552"/>
      <c r="I147" s="237"/>
      <c r="L147" s="142"/>
      <c r="M147" s="249"/>
    </row>
    <row r="148" spans="1:13">
      <c r="A148" s="665" t="s">
        <v>557</v>
      </c>
      <c r="B148" s="315"/>
      <c r="C148" s="108" t="s">
        <v>100</v>
      </c>
      <c r="D148" s="110"/>
      <c r="E148" s="110"/>
      <c r="F148" s="235"/>
      <c r="G148" s="236"/>
      <c r="H148" s="552"/>
      <c r="I148" s="237"/>
    </row>
    <row r="149" spans="1:13">
      <c r="A149" s="665" t="s">
        <v>557</v>
      </c>
      <c r="B149" s="315" t="s">
        <v>101</v>
      </c>
      <c r="C149" s="108" t="s">
        <v>102</v>
      </c>
      <c r="D149" s="110"/>
      <c r="E149" s="110"/>
      <c r="F149" s="235">
        <v>0</v>
      </c>
      <c r="G149" s="236"/>
      <c r="H149" s="552"/>
      <c r="I149" s="237"/>
    </row>
    <row r="150" spans="1:13">
      <c r="A150" s="665" t="s">
        <v>556</v>
      </c>
      <c r="B150" s="315" t="s">
        <v>103</v>
      </c>
      <c r="C150" s="108" t="s">
        <v>104</v>
      </c>
      <c r="D150" s="110"/>
      <c r="E150" s="110"/>
      <c r="F150" s="235">
        <v>0</v>
      </c>
      <c r="G150" s="236"/>
      <c r="H150" s="552"/>
      <c r="I150" s="237"/>
    </row>
    <row r="151" spans="1:13">
      <c r="A151" s="665" t="s">
        <v>558</v>
      </c>
      <c r="B151" s="315" t="s">
        <v>105</v>
      </c>
      <c r="C151" s="108" t="s">
        <v>106</v>
      </c>
      <c r="D151" s="110"/>
      <c r="E151" s="110"/>
      <c r="F151" s="235">
        <v>0</v>
      </c>
      <c r="G151" s="236"/>
      <c r="H151" s="552"/>
      <c r="I151" s="237"/>
    </row>
    <row r="152" spans="1:13">
      <c r="A152" s="665" t="s">
        <v>558</v>
      </c>
      <c r="B152" s="315" t="s">
        <v>107</v>
      </c>
      <c r="C152" s="108" t="s">
        <v>108</v>
      </c>
      <c r="D152" s="110"/>
      <c r="E152" s="110"/>
      <c r="F152" s="235">
        <v>0</v>
      </c>
      <c r="G152" s="236"/>
      <c r="H152" s="552"/>
      <c r="I152" s="237"/>
    </row>
    <row r="153" spans="1:13">
      <c r="A153" s="665" t="s">
        <v>558</v>
      </c>
      <c r="B153" s="315" t="s">
        <v>23</v>
      </c>
      <c r="C153" s="108" t="s">
        <v>109</v>
      </c>
      <c r="D153" s="110"/>
      <c r="E153" s="110"/>
      <c r="F153" s="235">
        <v>0</v>
      </c>
      <c r="G153" s="236"/>
      <c r="H153" s="552"/>
      <c r="I153" s="237"/>
    </row>
    <row r="154" spans="1:13">
      <c r="A154" s="665" t="s">
        <v>558</v>
      </c>
      <c r="B154" s="315" t="s">
        <v>110</v>
      </c>
      <c r="C154" s="108" t="s">
        <v>111</v>
      </c>
      <c r="D154" s="110"/>
      <c r="E154" s="110"/>
      <c r="F154" s="235">
        <v>0</v>
      </c>
      <c r="G154" s="236"/>
      <c r="H154" s="552"/>
      <c r="I154" s="237"/>
    </row>
    <row r="155" spans="1:13">
      <c r="A155" s="665" t="s">
        <v>557</v>
      </c>
      <c r="B155" s="315" t="s">
        <v>23</v>
      </c>
      <c r="C155" s="108" t="s">
        <v>112</v>
      </c>
      <c r="D155" s="110"/>
      <c r="E155" s="110"/>
      <c r="F155" s="235">
        <f>Data!H68+Data!H71</f>
        <v>17609</v>
      </c>
      <c r="G155" s="236"/>
      <c r="H155" s="552"/>
      <c r="I155" s="237"/>
      <c r="L155" s="142"/>
      <c r="M155" s="249"/>
    </row>
    <row r="156" spans="1:13">
      <c r="A156" s="665" t="s">
        <v>557</v>
      </c>
      <c r="B156" s="315" t="s">
        <v>24</v>
      </c>
      <c r="C156" s="108" t="s">
        <v>113</v>
      </c>
      <c r="D156" s="110"/>
      <c r="E156" s="110"/>
      <c r="F156" s="235">
        <v>0</v>
      </c>
      <c r="G156" s="236"/>
      <c r="H156" s="552"/>
      <c r="I156" s="237"/>
    </row>
    <row r="157" spans="1:13">
      <c r="A157" s="665" t="s">
        <v>557</v>
      </c>
      <c r="B157" s="315" t="s">
        <v>25</v>
      </c>
      <c r="C157" s="108" t="s">
        <v>114</v>
      </c>
      <c r="D157" s="110"/>
      <c r="E157" s="110"/>
      <c r="F157" s="235"/>
      <c r="G157" s="236"/>
      <c r="H157" s="552"/>
      <c r="I157" s="237"/>
    </row>
    <row r="158" spans="1:13">
      <c r="A158" s="369" t="s">
        <v>12</v>
      </c>
      <c r="B158" s="316"/>
      <c r="C158" s="238"/>
      <c r="D158" s="239"/>
      <c r="E158" s="239"/>
      <c r="F158" s="240"/>
      <c r="G158" s="236"/>
      <c r="H158" s="552"/>
      <c r="I158" s="237"/>
    </row>
    <row r="159" spans="1:13">
      <c r="A159" s="274"/>
      <c r="B159" s="315" t="s">
        <v>115</v>
      </c>
      <c r="C159" s="108" t="s">
        <v>379</v>
      </c>
      <c r="D159" s="110"/>
      <c r="E159" s="110"/>
      <c r="F159" s="235">
        <f>ROUND(SUM(F145:F147)*Data!$I$8,0)</f>
        <v>0</v>
      </c>
      <c r="G159" s="236"/>
      <c r="H159" s="552"/>
      <c r="I159" s="237"/>
    </row>
    <row r="160" spans="1:13">
      <c r="A160" s="274"/>
      <c r="B160" s="315" t="s">
        <v>116</v>
      </c>
      <c r="C160" s="108" t="s">
        <v>368</v>
      </c>
      <c r="D160" s="110"/>
      <c r="E160" s="110"/>
      <c r="F160" s="235">
        <f>ROUND(SUM(F140:F144)*Data!$I$10,0)</f>
        <v>0</v>
      </c>
      <c r="G160" s="236"/>
      <c r="H160" s="552"/>
      <c r="I160" s="237"/>
    </row>
    <row r="161" spans="1:13">
      <c r="A161" s="274"/>
      <c r="B161" s="315" t="s">
        <v>116</v>
      </c>
      <c r="C161" s="108" t="s">
        <v>369</v>
      </c>
      <c r="D161" s="110"/>
      <c r="E161" s="110"/>
      <c r="F161" s="235">
        <f>ROUND(SUM(F145:F147)*Data!$I$10,0)</f>
        <v>0</v>
      </c>
      <c r="G161" s="236"/>
      <c r="H161" s="552"/>
      <c r="I161" s="237"/>
    </row>
    <row r="162" spans="1:13">
      <c r="A162" s="274"/>
      <c r="B162" s="315" t="s">
        <v>117</v>
      </c>
      <c r="C162" s="108" t="s">
        <v>370</v>
      </c>
      <c r="D162" s="110"/>
      <c r="E162" s="110"/>
      <c r="F162" s="235">
        <f>ROUND(SUM(F145:F147)*Data!$I$9,0)</f>
        <v>0</v>
      </c>
      <c r="G162" s="236"/>
      <c r="H162" s="552"/>
      <c r="I162" s="237"/>
    </row>
    <row r="163" spans="1:13">
      <c r="A163" s="274"/>
      <c r="B163" s="315" t="s">
        <v>118</v>
      </c>
      <c r="C163" s="108" t="s">
        <v>367</v>
      </c>
      <c r="D163" s="110"/>
      <c r="E163" s="110"/>
      <c r="F163" s="235">
        <f>ROUND(SUM(F140:F144)*Data!$I$11,0)</f>
        <v>0</v>
      </c>
      <c r="G163" s="236"/>
      <c r="H163" s="552"/>
      <c r="I163" s="237"/>
    </row>
    <row r="164" spans="1:13">
      <c r="A164" s="274"/>
      <c r="B164" s="315" t="s">
        <v>118</v>
      </c>
      <c r="C164" s="108" t="s">
        <v>371</v>
      </c>
      <c r="D164" s="110"/>
      <c r="E164" s="110"/>
      <c r="F164" s="235">
        <f>ROUND(SUM(F145:F147)*Data!$I$11,0)</f>
        <v>0</v>
      </c>
      <c r="G164" s="236"/>
      <c r="H164" s="552"/>
      <c r="I164" s="237"/>
    </row>
    <row r="165" spans="1:13">
      <c r="A165" s="274"/>
      <c r="B165" s="315" t="s">
        <v>119</v>
      </c>
      <c r="C165" s="108" t="s">
        <v>372</v>
      </c>
      <c r="D165" s="110"/>
      <c r="E165" s="110"/>
      <c r="F165" s="235">
        <f>(SUM(Data!F52*Data!$I$13)*Data!$I$12)</f>
        <v>0</v>
      </c>
      <c r="G165" s="236"/>
      <c r="H165" s="552"/>
      <c r="I165" s="237"/>
      <c r="L165" s="142"/>
    </row>
    <row r="166" spans="1:13">
      <c r="A166" s="274"/>
      <c r="B166" s="315" t="s">
        <v>119</v>
      </c>
      <c r="C166" s="108" t="s">
        <v>373</v>
      </c>
      <c r="D166" s="110"/>
      <c r="E166" s="110"/>
      <c r="F166" s="235">
        <f>(SUM((Data!F60+Data!F62)*Data!$I$13)*Data!$I$12)</f>
        <v>0</v>
      </c>
      <c r="G166" s="236"/>
      <c r="H166" s="552"/>
      <c r="I166" s="237"/>
      <c r="L166" s="142"/>
    </row>
    <row r="168" spans="1:13">
      <c r="A168" s="241"/>
      <c r="B168" s="109" t="s">
        <v>120</v>
      </c>
      <c r="C168" s="110"/>
      <c r="D168" s="110"/>
      <c r="E168" s="110"/>
      <c r="F168" s="235">
        <f>SUM(F140:F167)</f>
        <v>693967.5</v>
      </c>
      <c r="G168" s="236"/>
      <c r="H168" s="552"/>
      <c r="I168" s="237"/>
      <c r="L168" s="249"/>
      <c r="M168" s="249"/>
    </row>
    <row r="170" spans="1:13">
      <c r="A170" s="237"/>
      <c r="B170" s="109" t="s">
        <v>18</v>
      </c>
      <c r="C170" s="110"/>
      <c r="D170" s="110"/>
      <c r="E170" s="110"/>
      <c r="F170" s="235">
        <f>Data!H84</f>
        <v>693967.5</v>
      </c>
      <c r="G170" s="236"/>
      <c r="H170" s="552"/>
      <c r="I170" s="235">
        <f>F170</f>
        <v>693967.5</v>
      </c>
    </row>
    <row r="171" spans="1:13">
      <c r="A171" s="237"/>
      <c r="B171" s="103" t="s">
        <v>121</v>
      </c>
      <c r="C171" s="104"/>
      <c r="D171" s="104"/>
      <c r="E171" s="104"/>
      <c r="F171" s="235">
        <f>F168</f>
        <v>693967.5</v>
      </c>
      <c r="G171" s="236"/>
      <c r="H171" s="552"/>
      <c r="I171" s="237"/>
    </row>
    <row r="172" spans="1:13">
      <c r="A172" s="237"/>
      <c r="B172" s="103" t="s">
        <v>122</v>
      </c>
      <c r="C172" s="104"/>
      <c r="D172" s="104"/>
      <c r="E172" s="104"/>
      <c r="F172" s="235">
        <f>F170-F171</f>
        <v>0</v>
      </c>
      <c r="G172" s="236"/>
      <c r="H172" s="552"/>
      <c r="I172" s="237"/>
    </row>
    <row r="174" spans="1:13">
      <c r="A174" s="70" t="s">
        <v>123</v>
      </c>
    </row>
    <row r="175" spans="1:13">
      <c r="A175" s="70" t="s">
        <v>124</v>
      </c>
    </row>
    <row r="176" spans="1:13">
      <c r="A176" s="70" t="s">
        <v>615</v>
      </c>
    </row>
    <row r="178" spans="1:8">
      <c r="G178" s="7"/>
      <c r="H178" s="541"/>
    </row>
    <row r="179" spans="1:8">
      <c r="A179" s="86" t="s">
        <v>125</v>
      </c>
      <c r="B179" s="87"/>
      <c r="C179" s="87"/>
      <c r="E179" s="86" t="s">
        <v>126</v>
      </c>
      <c r="F179" s="87"/>
    </row>
    <row r="181" spans="1:8">
      <c r="G181" s="7"/>
      <c r="H181" s="541"/>
    </row>
    <row r="182" spans="1:8">
      <c r="A182" s="86" t="s">
        <v>127</v>
      </c>
      <c r="B182" s="87"/>
      <c r="C182" s="87"/>
      <c r="E182" s="86" t="s">
        <v>128</v>
      </c>
      <c r="F182" s="87"/>
    </row>
  </sheetData>
  <pageMargins left="0.5" right="0.1" top="0.25" bottom="0.65" header="0.5" footer="0.5"/>
  <pageSetup scale="85" orientation="landscape" horizontalDpi="300" verticalDpi="300" r:id="rId1"/>
  <headerFooter alignWithMargins="0">
    <oddFooter>&amp;CPage &amp;P&amp;R&amp;A</oddFooter>
  </headerFooter>
  <rowBreaks count="4" manualBreakCount="4">
    <brk id="35" max="16383" man="1"/>
    <brk id="73" max="9" man="1"/>
    <brk id="98" max="9" man="1"/>
    <brk id="1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Data</vt:lpstr>
      <vt:lpstr>DISTRICT</vt:lpstr>
      <vt:lpstr>EHS</vt:lpstr>
      <vt:lpstr>Morningside</vt:lpstr>
      <vt:lpstr>Helmwood</vt:lpstr>
      <vt:lpstr>TK Stone MS</vt:lpstr>
      <vt:lpstr>Panther Acad</vt:lpstr>
      <vt:lpstr>Data!Print_Area</vt:lpstr>
      <vt:lpstr>DISTRICT!Print_Area</vt:lpstr>
      <vt:lpstr>EHS!Print_Area</vt:lpstr>
      <vt:lpstr>Helmwood!Print_Area</vt:lpstr>
      <vt:lpstr>Morningside!Print_Area</vt:lpstr>
      <vt:lpstr>'Panther Acad'!Print_Area</vt:lpstr>
      <vt:lpstr>'TK Stone MS'!Print_Area</vt:lpstr>
      <vt:lpstr>Data!Print_Titles</vt:lpstr>
      <vt:lpstr>EHS!Print_Titles</vt:lpstr>
      <vt:lpstr>Helmwood!Print_Titles</vt:lpstr>
      <vt:lpstr>Morningside!Print_Titles</vt:lpstr>
      <vt:lpstr>'Panther Acad'!Print_Titles</vt:lpstr>
      <vt:lpstr>'TK Stone MS'!Print_Titles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kde sbdm forms</dc:title>
  <dc:creator>Robert L. Arvin</dc:creator>
  <cp:lastModifiedBy>mmaples</cp:lastModifiedBy>
  <cp:lastPrinted>2013-02-13T20:20:22Z</cp:lastPrinted>
  <dcterms:created xsi:type="dcterms:W3CDTF">1997-09-17T15:51:41Z</dcterms:created>
  <dcterms:modified xsi:type="dcterms:W3CDTF">2013-02-15T13:08:39Z</dcterms:modified>
</cp:coreProperties>
</file>