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OOKKEEPER\Board Reports\2023-24\"/>
    </mc:Choice>
  </mc:AlternateContent>
  <xr:revisionPtr revIDLastSave="0" documentId="13_ncr:1_{E829D33F-3AEA-47C2-85AA-0B507DB4323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D87" i="1" l="1"/>
  <c r="AB87" i="1"/>
  <c r="X87" i="1"/>
  <c r="U87" i="1"/>
  <c r="S87" i="1"/>
  <c r="P87" i="1"/>
  <c r="M87" i="1"/>
  <c r="K87" i="1"/>
  <c r="J87" i="1"/>
  <c r="H87" i="1"/>
  <c r="D87" i="1"/>
  <c r="C87" i="1"/>
  <c r="AC86" i="1"/>
  <c r="AC87" i="1" s="1"/>
  <c r="AB86" i="1"/>
  <c r="AA86" i="1"/>
  <c r="AA87" i="1" s="1"/>
  <c r="Z86" i="1"/>
  <c r="Z87" i="1" s="1"/>
  <c r="Y86" i="1"/>
  <c r="Y87" i="1" s="1"/>
  <c r="W86" i="1"/>
  <c r="W87" i="1" s="1"/>
  <c r="V86" i="1"/>
  <c r="U86" i="1"/>
  <c r="T86" i="1"/>
  <c r="T87" i="1" s="1"/>
  <c r="S86" i="1"/>
  <c r="R86" i="1"/>
  <c r="R87" i="1" s="1"/>
  <c r="Q86" i="1"/>
  <c r="Q87" i="1" s="1"/>
  <c r="P86" i="1"/>
  <c r="O86" i="1"/>
  <c r="O87" i="1" s="1"/>
  <c r="N86" i="1"/>
  <c r="N87" i="1" s="1"/>
  <c r="M86" i="1"/>
  <c r="L86" i="1"/>
  <c r="L87" i="1" s="1"/>
  <c r="J86" i="1"/>
  <c r="I86" i="1"/>
  <c r="I87" i="1" s="1"/>
  <c r="H86" i="1"/>
  <c r="G86" i="1"/>
  <c r="G87" i="1" s="1"/>
  <c r="F86" i="1"/>
  <c r="F87" i="1" s="1"/>
  <c r="E86" i="1"/>
  <c r="E87" i="1" s="1"/>
  <c r="D86" i="1"/>
  <c r="AE86" i="1" s="1"/>
  <c r="AE85" i="1"/>
  <c r="AC85" i="1"/>
  <c r="V85" i="1"/>
  <c r="V87" i="1" s="1"/>
  <c r="B85" i="1"/>
  <c r="B87" i="1" s="1"/>
  <c r="AE84" i="1"/>
  <c r="AD83" i="1"/>
  <c r="AB83" i="1"/>
  <c r="Z83" i="1"/>
  <c r="X83" i="1"/>
  <c r="U83" i="1"/>
  <c r="T83" i="1"/>
  <c r="R83" i="1"/>
  <c r="P83" i="1"/>
  <c r="M83" i="1"/>
  <c r="L83" i="1"/>
  <c r="K83" i="1"/>
  <c r="J83" i="1"/>
  <c r="I83" i="1"/>
  <c r="H83" i="1"/>
  <c r="G83" i="1"/>
  <c r="E83" i="1"/>
  <c r="D83" i="1"/>
  <c r="C83" i="1"/>
  <c r="B82" i="1"/>
  <c r="AE82" i="1" s="1"/>
  <c r="AC81" i="1"/>
  <c r="Y81" i="1"/>
  <c r="V81" i="1"/>
  <c r="AE81" i="1" s="1"/>
  <c r="L81" i="1"/>
  <c r="D81" i="1"/>
  <c r="B81" i="1"/>
  <c r="AC80" i="1"/>
  <c r="AB80" i="1"/>
  <c r="AA80" i="1"/>
  <c r="Y80" i="1"/>
  <c r="W80" i="1"/>
  <c r="V80" i="1"/>
  <c r="S80" i="1"/>
  <c r="S83" i="1" s="1"/>
  <c r="Q80" i="1"/>
  <c r="O80" i="1"/>
  <c r="O83" i="1" s="1"/>
  <c r="F80" i="1"/>
  <c r="D80" i="1"/>
  <c r="B80" i="1"/>
  <c r="AE80" i="1" s="1"/>
  <c r="AC79" i="1"/>
  <c r="AB79" i="1"/>
  <c r="AA79" i="1"/>
  <c r="W79" i="1"/>
  <c r="W83" i="1" s="1"/>
  <c r="V79" i="1"/>
  <c r="Q79" i="1"/>
  <c r="Q83" i="1" s="1"/>
  <c r="F79" i="1"/>
  <c r="D79" i="1"/>
  <c r="B79" i="1"/>
  <c r="AE79" i="1" s="1"/>
  <c r="AC78" i="1"/>
  <c r="AC83" i="1" s="1"/>
  <c r="AA78" i="1"/>
  <c r="AA83" i="1" s="1"/>
  <c r="Y78" i="1"/>
  <c r="Y83" i="1" s="1"/>
  <c r="V78" i="1"/>
  <c r="V83" i="1" s="1"/>
  <c r="N78" i="1"/>
  <c r="N83" i="1" s="1"/>
  <c r="L78" i="1"/>
  <c r="F78" i="1"/>
  <c r="F83" i="1" s="1"/>
  <c r="D78" i="1"/>
  <c r="AE78" i="1" s="1"/>
  <c r="AE77" i="1"/>
  <c r="AD76" i="1"/>
  <c r="Z76" i="1"/>
  <c r="X76" i="1"/>
  <c r="U76" i="1"/>
  <c r="T76" i="1"/>
  <c r="S76" i="1"/>
  <c r="R76" i="1"/>
  <c r="P76" i="1"/>
  <c r="N76" i="1"/>
  <c r="M76" i="1"/>
  <c r="L76" i="1"/>
  <c r="K76" i="1"/>
  <c r="J76" i="1"/>
  <c r="I76" i="1"/>
  <c r="H76" i="1"/>
  <c r="E76" i="1"/>
  <c r="D76" i="1"/>
  <c r="C76" i="1"/>
  <c r="F75" i="1"/>
  <c r="B75" i="1"/>
  <c r="AE75" i="1" s="1"/>
  <c r="AC74" i="1"/>
  <c r="AC76" i="1" s="1"/>
  <c r="AB74" i="1"/>
  <c r="AB76" i="1" s="1"/>
  <c r="AA74" i="1"/>
  <c r="AA76" i="1" s="1"/>
  <c r="Y74" i="1"/>
  <c r="W74" i="1"/>
  <c r="V74" i="1"/>
  <c r="Q74" i="1"/>
  <c r="L74" i="1"/>
  <c r="H74" i="1"/>
  <c r="G74" i="1"/>
  <c r="G76" i="1" s="1"/>
  <c r="F74" i="1"/>
  <c r="D74" i="1"/>
  <c r="B74" i="1"/>
  <c r="AE74" i="1" s="1"/>
  <c r="AE73" i="1"/>
  <c r="AB73" i="1"/>
  <c r="D73" i="1"/>
  <c r="B73" i="1"/>
  <c r="AE72" i="1"/>
  <c r="V72" i="1"/>
  <c r="F72" i="1"/>
  <c r="B72" i="1"/>
  <c r="Y71" i="1"/>
  <c r="Y76" i="1" s="1"/>
  <c r="W71" i="1"/>
  <c r="W76" i="1" s="1"/>
  <c r="V71" i="1"/>
  <c r="Q71" i="1"/>
  <c r="Q76" i="1" s="1"/>
  <c r="O71" i="1"/>
  <c r="O76" i="1" s="1"/>
  <c r="G71" i="1"/>
  <c r="F71" i="1"/>
  <c r="D71" i="1"/>
  <c r="AE71" i="1" s="1"/>
  <c r="B71" i="1"/>
  <c r="V70" i="1"/>
  <c r="F70" i="1"/>
  <c r="B70" i="1"/>
  <c r="AE70" i="1" s="1"/>
  <c r="V69" i="1"/>
  <c r="V76" i="1" s="1"/>
  <c r="F69" i="1"/>
  <c r="F76" i="1" s="1"/>
  <c r="B69" i="1"/>
  <c r="B76" i="1" s="1"/>
  <c r="AE68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E67" i="1"/>
  <c r="D67" i="1"/>
  <c r="C67" i="1"/>
  <c r="B66" i="1"/>
  <c r="AE66" i="1" s="1"/>
  <c r="F65" i="1"/>
  <c r="F67" i="1" s="1"/>
  <c r="B65" i="1"/>
  <c r="AE65" i="1" s="1"/>
  <c r="F64" i="1"/>
  <c r="B64" i="1"/>
  <c r="AE64" i="1" s="1"/>
  <c r="AE63" i="1"/>
  <c r="AD62" i="1"/>
  <c r="AC62" i="1"/>
  <c r="X62" i="1"/>
  <c r="W62" i="1"/>
  <c r="U62" i="1"/>
  <c r="T62" i="1"/>
  <c r="S62" i="1"/>
  <c r="R62" i="1"/>
  <c r="Q62" i="1"/>
  <c r="P62" i="1"/>
  <c r="N62" i="1"/>
  <c r="M62" i="1"/>
  <c r="L62" i="1"/>
  <c r="K62" i="1"/>
  <c r="J62" i="1"/>
  <c r="H62" i="1"/>
  <c r="G62" i="1"/>
  <c r="E62" i="1"/>
  <c r="C62" i="1"/>
  <c r="AC61" i="1"/>
  <c r="AA61" i="1"/>
  <c r="Y61" i="1"/>
  <c r="F61" i="1"/>
  <c r="AE61" i="1" s="1"/>
  <c r="B61" i="1"/>
  <c r="F60" i="1"/>
  <c r="AE60" i="1" s="1"/>
  <c r="AC59" i="1"/>
  <c r="AA59" i="1"/>
  <c r="AA62" i="1" s="1"/>
  <c r="Z59" i="1"/>
  <c r="Z62" i="1" s="1"/>
  <c r="Y59" i="1"/>
  <c r="V59" i="1"/>
  <c r="V62" i="1" s="1"/>
  <c r="Q59" i="1"/>
  <c r="O59" i="1"/>
  <c r="I59" i="1"/>
  <c r="I62" i="1" s="1"/>
  <c r="F59" i="1"/>
  <c r="D59" i="1"/>
  <c r="B59" i="1"/>
  <c r="AE58" i="1"/>
  <c r="F58" i="1"/>
  <c r="B58" i="1"/>
  <c r="Y57" i="1"/>
  <c r="AE57" i="1" s="1"/>
  <c r="O57" i="1"/>
  <c r="O62" i="1" s="1"/>
  <c r="D57" i="1"/>
  <c r="D62" i="1" s="1"/>
  <c r="AB56" i="1"/>
  <c r="AE56" i="1" s="1"/>
  <c r="F56" i="1"/>
  <c r="B56" i="1"/>
  <c r="F55" i="1"/>
  <c r="AE55" i="1" s="1"/>
  <c r="B55" i="1"/>
  <c r="F54" i="1"/>
  <c r="F62" i="1" s="1"/>
  <c r="B54" i="1"/>
  <c r="B62" i="1" s="1"/>
  <c r="AE53" i="1"/>
  <c r="AC52" i="1"/>
  <c r="AB52" i="1"/>
  <c r="AA52" i="1"/>
  <c r="Y52" i="1"/>
  <c r="Q52" i="1"/>
  <c r="H52" i="1"/>
  <c r="F52" i="1"/>
  <c r="D52" i="1"/>
  <c r="B52" i="1"/>
  <c r="AE52" i="1" s="1"/>
  <c r="AD51" i="1"/>
  <c r="AB51" i="1"/>
  <c r="AA51" i="1"/>
  <c r="Z51" i="1"/>
  <c r="X51" i="1"/>
  <c r="U51" i="1"/>
  <c r="T51" i="1"/>
  <c r="S51" i="1"/>
  <c r="P51" i="1"/>
  <c r="O51" i="1"/>
  <c r="N51" i="1"/>
  <c r="L51" i="1"/>
  <c r="K51" i="1"/>
  <c r="J51" i="1"/>
  <c r="G51" i="1"/>
  <c r="E51" i="1"/>
  <c r="C51" i="1"/>
  <c r="Y50" i="1"/>
  <c r="Y51" i="1" s="1"/>
  <c r="W50" i="1"/>
  <c r="W51" i="1" s="1"/>
  <c r="V50" i="1"/>
  <c r="Q50" i="1"/>
  <c r="Q51" i="1" s="1"/>
  <c r="M50" i="1"/>
  <c r="M51" i="1" s="1"/>
  <c r="I50" i="1"/>
  <c r="I51" i="1" s="1"/>
  <c r="H50" i="1"/>
  <c r="H51" i="1" s="1"/>
  <c r="G50" i="1"/>
  <c r="F50" i="1"/>
  <c r="D50" i="1"/>
  <c r="B50" i="1"/>
  <c r="AE50" i="1" s="1"/>
  <c r="F49" i="1"/>
  <c r="B49" i="1"/>
  <c r="B51" i="1" s="1"/>
  <c r="AE48" i="1"/>
  <c r="B48" i="1"/>
  <c r="AC47" i="1"/>
  <c r="AC51" i="1" s="1"/>
  <c r="AA47" i="1"/>
  <c r="V47" i="1"/>
  <c r="V51" i="1" s="1"/>
  <c r="R47" i="1"/>
  <c r="R51" i="1" s="1"/>
  <c r="F47" i="1"/>
  <c r="F51" i="1" s="1"/>
  <c r="D47" i="1"/>
  <c r="D51" i="1" s="1"/>
  <c r="B47" i="1"/>
  <c r="AE46" i="1"/>
  <c r="AB45" i="1"/>
  <c r="X45" i="1"/>
  <c r="K45" i="1"/>
  <c r="C45" i="1"/>
  <c r="AC44" i="1"/>
  <c r="AA44" i="1"/>
  <c r="Z44" i="1"/>
  <c r="Y44" i="1"/>
  <c r="W44" i="1"/>
  <c r="V44" i="1"/>
  <c r="S44" i="1"/>
  <c r="Q44" i="1"/>
  <c r="L44" i="1"/>
  <c r="H44" i="1"/>
  <c r="G44" i="1"/>
  <c r="D44" i="1"/>
  <c r="AE44" i="1" s="1"/>
  <c r="AC43" i="1"/>
  <c r="AA43" i="1"/>
  <c r="Y43" i="1"/>
  <c r="W43" i="1"/>
  <c r="S43" i="1"/>
  <c r="Q43" i="1"/>
  <c r="O43" i="1"/>
  <c r="N43" i="1"/>
  <c r="M43" i="1"/>
  <c r="J43" i="1"/>
  <c r="I43" i="1"/>
  <c r="G43" i="1"/>
  <c r="F43" i="1"/>
  <c r="D43" i="1"/>
  <c r="AE43" i="1" s="1"/>
  <c r="AD42" i="1"/>
  <c r="AD45" i="1" s="1"/>
  <c r="B42" i="1"/>
  <c r="AE42" i="1" s="1"/>
  <c r="AC41" i="1"/>
  <c r="AA41" i="1"/>
  <c r="Z41" i="1"/>
  <c r="Y41" i="1"/>
  <c r="W41" i="1"/>
  <c r="V41" i="1"/>
  <c r="S41" i="1"/>
  <c r="S45" i="1" s="1"/>
  <c r="Q41" i="1"/>
  <c r="L41" i="1"/>
  <c r="H41" i="1"/>
  <c r="G41" i="1"/>
  <c r="AE41" i="1" s="1"/>
  <c r="D41" i="1"/>
  <c r="Y40" i="1"/>
  <c r="V40" i="1"/>
  <c r="T40" i="1"/>
  <c r="R40" i="1"/>
  <c r="Q40" i="1"/>
  <c r="N40" i="1"/>
  <c r="J40" i="1"/>
  <c r="F40" i="1"/>
  <c r="D40" i="1"/>
  <c r="B40" i="1"/>
  <c r="AE40" i="1" s="1"/>
  <c r="AC39" i="1"/>
  <c r="AA39" i="1"/>
  <c r="Z39" i="1"/>
  <c r="Y39" i="1"/>
  <c r="W39" i="1"/>
  <c r="V39" i="1"/>
  <c r="U39" i="1"/>
  <c r="T39" i="1"/>
  <c r="S39" i="1"/>
  <c r="Q39" i="1"/>
  <c r="O39" i="1"/>
  <c r="N39" i="1"/>
  <c r="M39" i="1"/>
  <c r="L39" i="1"/>
  <c r="I39" i="1"/>
  <c r="H39" i="1"/>
  <c r="G39" i="1"/>
  <c r="F39" i="1"/>
  <c r="D39" i="1"/>
  <c r="AE39" i="1" s="1"/>
  <c r="B39" i="1"/>
  <c r="AC38" i="1"/>
  <c r="AA38" i="1"/>
  <c r="AA45" i="1" s="1"/>
  <c r="Z38" i="1"/>
  <c r="Y38" i="1"/>
  <c r="W38" i="1"/>
  <c r="V38" i="1"/>
  <c r="U38" i="1"/>
  <c r="U45" i="1" s="1"/>
  <c r="T38" i="1"/>
  <c r="S38" i="1"/>
  <c r="R38" i="1"/>
  <c r="Q38" i="1"/>
  <c r="P38" i="1"/>
  <c r="P45" i="1" s="1"/>
  <c r="O38" i="1"/>
  <c r="O45" i="1" s="1"/>
  <c r="N38" i="1"/>
  <c r="M38" i="1"/>
  <c r="M45" i="1" s="1"/>
  <c r="L38" i="1"/>
  <c r="J38" i="1"/>
  <c r="I38" i="1"/>
  <c r="I45" i="1" s="1"/>
  <c r="H38" i="1"/>
  <c r="G38" i="1"/>
  <c r="F38" i="1"/>
  <c r="E38" i="1"/>
  <c r="D38" i="1"/>
  <c r="B38" i="1"/>
  <c r="AE38" i="1" s="1"/>
  <c r="Y37" i="1"/>
  <c r="V37" i="1"/>
  <c r="T37" i="1"/>
  <c r="T45" i="1" s="1"/>
  <c r="R37" i="1"/>
  <c r="R45" i="1" s="1"/>
  <c r="Q37" i="1"/>
  <c r="N37" i="1"/>
  <c r="N45" i="1" s="1"/>
  <c r="J37" i="1"/>
  <c r="J45" i="1" s="1"/>
  <c r="F37" i="1"/>
  <c r="F45" i="1" s="1"/>
  <c r="E37" i="1"/>
  <c r="E45" i="1" s="1"/>
  <c r="D37" i="1"/>
  <c r="AE37" i="1" s="1"/>
  <c r="B37" i="1"/>
  <c r="AE36" i="1"/>
  <c r="B36" i="1"/>
  <c r="B45" i="1" s="1"/>
  <c r="AC35" i="1"/>
  <c r="AC45" i="1" s="1"/>
  <c r="AA35" i="1"/>
  <c r="Z35" i="1"/>
  <c r="Z45" i="1" s="1"/>
  <c r="Y35" i="1"/>
  <c r="Y45" i="1" s="1"/>
  <c r="W35" i="1"/>
  <c r="W45" i="1" s="1"/>
  <c r="V35" i="1"/>
  <c r="V45" i="1" s="1"/>
  <c r="S35" i="1"/>
  <c r="Q35" i="1"/>
  <c r="Q45" i="1" s="1"/>
  <c r="L35" i="1"/>
  <c r="L45" i="1" s="1"/>
  <c r="H35" i="1"/>
  <c r="H45" i="1" s="1"/>
  <c r="G35" i="1"/>
  <c r="G45" i="1" s="1"/>
  <c r="D35" i="1"/>
  <c r="D45" i="1" s="1"/>
  <c r="AE34" i="1"/>
  <c r="AD33" i="1"/>
  <c r="AD88" i="1" s="1"/>
  <c r="Z33" i="1"/>
  <c r="X33" i="1"/>
  <c r="X88" i="1" s="1"/>
  <c r="R33" i="1"/>
  <c r="R88" i="1" s="1"/>
  <c r="O33" i="1"/>
  <c r="O88" i="1" s="1"/>
  <c r="K33" i="1"/>
  <c r="K88" i="1" s="1"/>
  <c r="F33" i="1"/>
  <c r="C33" i="1"/>
  <c r="C88" i="1" s="1"/>
  <c r="B33" i="1"/>
  <c r="Y32" i="1"/>
  <c r="V32" i="1"/>
  <c r="T32" i="1"/>
  <c r="R32" i="1"/>
  <c r="Q32" i="1"/>
  <c r="N32" i="1"/>
  <c r="J32" i="1"/>
  <c r="J33" i="1" s="1"/>
  <c r="F32" i="1"/>
  <c r="E32" i="1"/>
  <c r="E33" i="1" s="1"/>
  <c r="E88" i="1" s="1"/>
  <c r="D32" i="1"/>
  <c r="B32" i="1"/>
  <c r="AE32" i="1" s="1"/>
  <c r="AC31" i="1"/>
  <c r="AC33" i="1" s="1"/>
  <c r="AC88" i="1" s="1"/>
  <c r="AB31" i="1"/>
  <c r="AB33" i="1" s="1"/>
  <c r="AA31" i="1"/>
  <c r="AA33" i="1" s="1"/>
  <c r="AA88" i="1" s="1"/>
  <c r="Z31" i="1"/>
  <c r="Y31" i="1"/>
  <c r="Y33" i="1" s="1"/>
  <c r="W31" i="1"/>
  <c r="W33" i="1" s="1"/>
  <c r="W88" i="1" s="1"/>
  <c r="V31" i="1"/>
  <c r="V33" i="1" s="1"/>
  <c r="U31" i="1"/>
  <c r="U33" i="1" s="1"/>
  <c r="T31" i="1"/>
  <c r="T33" i="1" s="1"/>
  <c r="T88" i="1" s="1"/>
  <c r="S31" i="1"/>
  <c r="S33" i="1" s="1"/>
  <c r="S88" i="1" s="1"/>
  <c r="Q31" i="1"/>
  <c r="Q33" i="1" s="1"/>
  <c r="Q88" i="1" s="1"/>
  <c r="P31" i="1"/>
  <c r="P33" i="1" s="1"/>
  <c r="P88" i="1" s="1"/>
  <c r="O31" i="1"/>
  <c r="N31" i="1"/>
  <c r="N33" i="1" s="1"/>
  <c r="N88" i="1" s="1"/>
  <c r="M31" i="1"/>
  <c r="M33" i="1" s="1"/>
  <c r="L31" i="1"/>
  <c r="L33" i="1" s="1"/>
  <c r="L88" i="1" s="1"/>
  <c r="I31" i="1"/>
  <c r="I33" i="1" s="1"/>
  <c r="I88" i="1" s="1"/>
  <c r="H31" i="1"/>
  <c r="H33" i="1" s="1"/>
  <c r="G31" i="1"/>
  <c r="G33" i="1" s="1"/>
  <c r="F31" i="1"/>
  <c r="D31" i="1"/>
  <c r="D33" i="1" s="1"/>
  <c r="B31" i="1"/>
  <c r="AE31" i="1" s="1"/>
  <c r="AE30" i="1"/>
  <c r="J27" i="1"/>
  <c r="J28" i="1" s="1"/>
  <c r="AD26" i="1"/>
  <c r="AB26" i="1"/>
  <c r="X26" i="1"/>
  <c r="U26" i="1"/>
  <c r="T26" i="1"/>
  <c r="P26" i="1"/>
  <c r="O26" i="1"/>
  <c r="M26" i="1"/>
  <c r="L26" i="1"/>
  <c r="K26" i="1"/>
  <c r="J26" i="1"/>
  <c r="I26" i="1"/>
  <c r="H26" i="1"/>
  <c r="F26" i="1"/>
  <c r="E26" i="1"/>
  <c r="C26" i="1"/>
  <c r="B26" i="1"/>
  <c r="AC25" i="1"/>
  <c r="AC26" i="1" s="1"/>
  <c r="AB25" i="1"/>
  <c r="AA25" i="1"/>
  <c r="AA26" i="1" s="1"/>
  <c r="Z25" i="1"/>
  <c r="Z26" i="1" s="1"/>
  <c r="Z27" i="1" s="1"/>
  <c r="Z28" i="1" s="1"/>
  <c r="Y25" i="1"/>
  <c r="Y26" i="1" s="1"/>
  <c r="W25" i="1"/>
  <c r="W26" i="1" s="1"/>
  <c r="V25" i="1"/>
  <c r="V26" i="1" s="1"/>
  <c r="S25" i="1"/>
  <c r="S26" i="1" s="1"/>
  <c r="Q25" i="1"/>
  <c r="Q26" i="1" s="1"/>
  <c r="P25" i="1"/>
  <c r="G25" i="1"/>
  <c r="G26" i="1" s="1"/>
  <c r="D25" i="1"/>
  <c r="AE25" i="1" s="1"/>
  <c r="AE24" i="1"/>
  <c r="R24" i="1"/>
  <c r="R26" i="1" s="1"/>
  <c r="R27" i="1" s="1"/>
  <c r="R28" i="1" s="1"/>
  <c r="R89" i="1" s="1"/>
  <c r="R90" i="1" s="1"/>
  <c r="N24" i="1"/>
  <c r="N26" i="1" s="1"/>
  <c r="AE23" i="1"/>
  <c r="AE22" i="1"/>
  <c r="B22" i="1"/>
  <c r="B21" i="1"/>
  <c r="AE21" i="1" s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H20" i="1"/>
  <c r="G20" i="1"/>
  <c r="E20" i="1"/>
  <c r="D20" i="1"/>
  <c r="C20" i="1"/>
  <c r="B20" i="1"/>
  <c r="F19" i="1"/>
  <c r="AE19" i="1" s="1"/>
  <c r="AE18" i="1"/>
  <c r="I18" i="1"/>
  <c r="I20" i="1" s="1"/>
  <c r="F18" i="1"/>
  <c r="F20" i="1" s="1"/>
  <c r="AD17" i="1"/>
  <c r="AD27" i="1" s="1"/>
  <c r="AD28" i="1" s="1"/>
  <c r="AD89" i="1" s="1"/>
  <c r="AD90" i="1" s="1"/>
  <c r="AC17" i="1"/>
  <c r="AB17" i="1"/>
  <c r="AB27" i="1" s="1"/>
  <c r="AB28" i="1" s="1"/>
  <c r="AA17" i="1"/>
  <c r="AA27" i="1" s="1"/>
  <c r="AA28" i="1" s="1"/>
  <c r="AA89" i="1" s="1"/>
  <c r="AA90" i="1" s="1"/>
  <c r="Z17" i="1"/>
  <c r="Y17" i="1"/>
  <c r="Y27" i="1" s="1"/>
  <c r="Y28" i="1" s="1"/>
  <c r="W17" i="1"/>
  <c r="W27" i="1" s="1"/>
  <c r="W28" i="1" s="1"/>
  <c r="W89" i="1" s="1"/>
  <c r="W90" i="1" s="1"/>
  <c r="V17" i="1"/>
  <c r="U17" i="1"/>
  <c r="U27" i="1" s="1"/>
  <c r="U28" i="1" s="1"/>
  <c r="T17" i="1"/>
  <c r="T27" i="1" s="1"/>
  <c r="T28" i="1" s="1"/>
  <c r="S17" i="1"/>
  <c r="R17" i="1"/>
  <c r="Q17" i="1"/>
  <c r="Q27" i="1" s="1"/>
  <c r="Q28" i="1" s="1"/>
  <c r="Q89" i="1" s="1"/>
  <c r="Q90" i="1" s="1"/>
  <c r="P17" i="1"/>
  <c r="P27" i="1" s="1"/>
  <c r="P28" i="1" s="1"/>
  <c r="P89" i="1" s="1"/>
  <c r="P90" i="1" s="1"/>
  <c r="O17" i="1"/>
  <c r="O27" i="1" s="1"/>
  <c r="O28" i="1" s="1"/>
  <c r="N17" i="1"/>
  <c r="M17" i="1"/>
  <c r="M27" i="1" s="1"/>
  <c r="M28" i="1" s="1"/>
  <c r="J17" i="1"/>
  <c r="I17" i="1"/>
  <c r="H17" i="1"/>
  <c r="H27" i="1" s="1"/>
  <c r="H28" i="1" s="1"/>
  <c r="G17" i="1"/>
  <c r="G27" i="1" s="1"/>
  <c r="G28" i="1" s="1"/>
  <c r="F17" i="1"/>
  <c r="F27" i="1" s="1"/>
  <c r="F28" i="1" s="1"/>
  <c r="E17" i="1"/>
  <c r="E27" i="1" s="1"/>
  <c r="E28" i="1" s="1"/>
  <c r="E89" i="1" s="1"/>
  <c r="E90" i="1" s="1"/>
  <c r="D17" i="1"/>
  <c r="C17" i="1"/>
  <c r="C27" i="1" s="1"/>
  <c r="C28" i="1" s="1"/>
  <c r="C89" i="1" s="1"/>
  <c r="C90" i="1" s="1"/>
  <c r="F16" i="1"/>
  <c r="C16" i="1"/>
  <c r="B16" i="1"/>
  <c r="B17" i="1" s="1"/>
  <c r="AE15" i="1"/>
  <c r="B15" i="1"/>
  <c r="B14" i="1"/>
  <c r="AE14" i="1" s="1"/>
  <c r="B13" i="1"/>
  <c r="AE13" i="1" s="1"/>
  <c r="L12" i="1"/>
  <c r="K12" i="1"/>
  <c r="F12" i="1"/>
  <c r="B12" i="1"/>
  <c r="AE12" i="1" s="1"/>
  <c r="AE11" i="1"/>
  <c r="X11" i="1"/>
  <c r="X17" i="1" s="1"/>
  <c r="X27" i="1" s="1"/>
  <c r="X28" i="1" s="1"/>
  <c r="X89" i="1" s="1"/>
  <c r="X90" i="1" s="1"/>
  <c r="B11" i="1"/>
  <c r="L10" i="1"/>
  <c r="L17" i="1" s="1"/>
  <c r="L27" i="1" s="1"/>
  <c r="L28" i="1" s="1"/>
  <c r="L89" i="1" s="1"/>
  <c r="L90" i="1" s="1"/>
  <c r="K10" i="1"/>
  <c r="AE10" i="1" s="1"/>
  <c r="B9" i="1"/>
  <c r="AE9" i="1" s="1"/>
  <c r="AE8" i="1"/>
  <c r="K8" i="1"/>
  <c r="B8" i="1"/>
  <c r="AE7" i="1"/>
  <c r="N27" i="1" l="1"/>
  <c r="N28" i="1" s="1"/>
  <c r="N89" i="1" s="1"/>
  <c r="N90" i="1" s="1"/>
  <c r="V27" i="1"/>
  <c r="V28" i="1" s="1"/>
  <c r="G88" i="1"/>
  <c r="F88" i="1"/>
  <c r="AE76" i="1"/>
  <c r="AE87" i="1"/>
  <c r="F89" i="1"/>
  <c r="F90" i="1" s="1"/>
  <c r="O89" i="1"/>
  <c r="O90" i="1" s="1"/>
  <c r="H88" i="1"/>
  <c r="U88" i="1"/>
  <c r="B27" i="1"/>
  <c r="H89" i="1"/>
  <c r="H90" i="1" s="1"/>
  <c r="M88" i="1"/>
  <c r="V88" i="1"/>
  <c r="AE45" i="1"/>
  <c r="G89" i="1"/>
  <c r="G90" i="1" s="1"/>
  <c r="I27" i="1"/>
  <c r="I28" i="1" s="1"/>
  <c r="I89" i="1" s="1"/>
  <c r="I90" i="1" s="1"/>
  <c r="S27" i="1"/>
  <c r="S28" i="1" s="1"/>
  <c r="S89" i="1" s="1"/>
  <c r="S90" i="1" s="1"/>
  <c r="AE20" i="1"/>
  <c r="Z88" i="1"/>
  <c r="AE51" i="1"/>
  <c r="T89" i="1"/>
  <c r="T90" i="1" s="1"/>
  <c r="AC27" i="1"/>
  <c r="AC28" i="1" s="1"/>
  <c r="AC89" i="1" s="1"/>
  <c r="AC90" i="1" s="1"/>
  <c r="Z89" i="1"/>
  <c r="Z90" i="1" s="1"/>
  <c r="D88" i="1"/>
  <c r="M89" i="1"/>
  <c r="M90" i="1" s="1"/>
  <c r="U89" i="1"/>
  <c r="U90" i="1" s="1"/>
  <c r="J88" i="1"/>
  <c r="J89" i="1" s="1"/>
  <c r="J90" i="1" s="1"/>
  <c r="AE49" i="1"/>
  <c r="AE54" i="1"/>
  <c r="AE16" i="1"/>
  <c r="AE35" i="1"/>
  <c r="D26" i="1"/>
  <c r="D27" i="1" s="1"/>
  <c r="D28" i="1" s="1"/>
  <c r="D89" i="1" s="1"/>
  <c r="D90" i="1" s="1"/>
  <c r="AE59" i="1"/>
  <c r="Y62" i="1"/>
  <c r="Y88" i="1" s="1"/>
  <c r="Y89" i="1" s="1"/>
  <c r="Y90" i="1" s="1"/>
  <c r="B67" i="1"/>
  <c r="AE67" i="1" s="1"/>
  <c r="K17" i="1"/>
  <c r="K27" i="1" s="1"/>
  <c r="K28" i="1" s="1"/>
  <c r="K89" i="1" s="1"/>
  <c r="K90" i="1" s="1"/>
  <c r="AE33" i="1"/>
  <c r="AE47" i="1"/>
  <c r="AE69" i="1"/>
  <c r="B83" i="1"/>
  <c r="AE83" i="1" s="1"/>
  <c r="AB62" i="1"/>
  <c r="AB88" i="1" s="1"/>
  <c r="AB89" i="1" s="1"/>
  <c r="AB90" i="1" s="1"/>
  <c r="B28" i="1" l="1"/>
  <c r="AE27" i="1"/>
  <c r="AE17" i="1"/>
  <c r="AE62" i="1"/>
  <c r="AE26" i="1"/>
  <c r="V89" i="1"/>
  <c r="V90" i="1" s="1"/>
  <c r="B88" i="1"/>
  <c r="AE88" i="1" s="1"/>
  <c r="B89" i="1" l="1"/>
  <c r="AE28" i="1"/>
  <c r="B90" i="1" l="1"/>
  <c r="AE90" i="1" s="1"/>
  <c r="AE89" i="1"/>
</calcChain>
</file>

<file path=xl/sharedStrings.xml><?xml version="1.0" encoding="utf-8"?>
<sst xmlns="http://schemas.openxmlformats.org/spreadsheetml/2006/main" count="118" uniqueCount="118">
  <si>
    <t>0010 - Operations</t>
  </si>
  <si>
    <t>0025 - Staff Account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</si>
  <si>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</si>
  <si>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</si>
  <si>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</si>
  <si>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</si>
  <si>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</si>
  <si>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</si>
  <si>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</si>
  <si>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</si>
  <si>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</si>
  <si>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</si>
  <si>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</si>
  <si>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</si>
  <si>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</si>
  <si>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</si>
  <si>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</si>
  <si>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</si>
  <si>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</si>
  <si>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</si>
  <si>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336J - IDEA B 22-23</t>
  </si>
  <si>
    <t>3416- SPF</t>
  </si>
  <si>
    <t>3420 - Interact for Health</t>
  </si>
  <si>
    <t>3425 - Deeper Learning</t>
  </si>
  <si>
    <t>345J - Title III  EL 22-23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</si>
  <si>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</si>
  <si>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</si>
  <si>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</si>
  <si>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</si>
  <si>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</si>
  <si>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</si>
  <si>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</si>
  <si>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</si>
  <si>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</si>
  <si>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</si>
  <si>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</si>
  <si>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</si>
  <si>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</si>
  <si>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</si>
  <si>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</si>
  <si>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</si>
  <si>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</si>
  <si>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</si>
  <si>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</si>
  <si>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</si>
  <si>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</si>
  <si>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</si>
  <si>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</si>
  <si>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</si>
  <si>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</si>
  <si>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</si>
  <si>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</si>
  <si>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</si>
  <si>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</si>
  <si>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</si>
  <si>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</si>
  <si>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</si>
  <si>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</si>
  <si>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</si>
  <si>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</si>
  <si>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</si>
  <si>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</si>
  <si>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</si>
  <si>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</si>
  <si>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</si>
  <si>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</si>
  <si>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</si>
  <si>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</si>
  <si>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</si>
  <si>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</si>
  <si>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</si>
  <si>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</si>
  <si>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</si>
  <si>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</si>
  <si>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</si>
  <si>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</si>
  <si>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</si>
  <si>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</si>
  <si>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</si>
  <si>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</si>
  <si>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</si>
  <si>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</si>
  <si>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</si>
  <si>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</si>
  <si>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</si>
  <si>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</si>
  <si>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</si>
  <si>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</si>
  <si>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</si>
  <si>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</si>
  <si>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</si>
  <si>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</si>
  <si>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</si>
  <si>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</si>
  <si>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</si>
  <si>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</si>
  <si>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</si>
  <si>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</si>
  <si>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</si>
  <si>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</si>
  <si>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</si>
  <si>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</si>
  <si>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</si>
  <si>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</si>
  <si>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</si>
  <si>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</si>
  <si>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</si>
  <si>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</si>
  <si>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</si>
  <si>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</si>
  <si>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</si>
  <si>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</si>
  <si>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</si>
  <si>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</si>
  <si>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</si>
  <si>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</si>
  <si>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</si>
  <si>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August,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</si>
</sst>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4"/>
  <sheetViews>
    <sheetView tabSelected="1" workbookViewId="0">
      <selection activeCell="AD5" sqref="AD5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4" width="12" customWidth="1"/>
    <col min="5" max="5" width="10.28515625" customWidth="1"/>
    <col min="6" max="6" width="12" customWidth="1"/>
    <col min="7" max="8" width="11.140625" customWidth="1"/>
    <col min="9" max="9" width="10.28515625" customWidth="1"/>
    <col min="10" max="10" width="11.140625" customWidth="1"/>
    <col min="11" max="11" width="8.5703125" customWidth="1"/>
    <col min="12" max="13" width="11.140625" customWidth="1"/>
    <col min="14" max="14" width="10.28515625" customWidth="1"/>
    <col min="15" max="15" width="11.140625" customWidth="1"/>
    <col min="16" max="16" width="8.5703125" customWidth="1"/>
    <col min="17" max="17" width="11.140625" customWidth="1"/>
    <col min="18" max="18" width="10.28515625" customWidth="1"/>
    <col min="19" max="19" width="9.42578125" customWidth="1"/>
    <col min="20" max="20" width="11.140625" customWidth="1"/>
    <col min="21" max="21" width="10.28515625" customWidth="1"/>
    <col min="22" max="22" width="12" customWidth="1"/>
    <col min="23" max="23" width="11.140625" customWidth="1"/>
    <col min="24" max="24" width="9.42578125" customWidth="1"/>
    <col min="25" max="25" width="12" customWidth="1"/>
    <col min="26" max="26" width="10.28515625" customWidth="1"/>
    <col min="27" max="27" width="11.140625" customWidth="1"/>
    <col min="28" max="28" width="12" customWidth="1"/>
    <col min="29" max="29" width="11.140625" customWidth="1"/>
    <col min="30" max="30" width="7.7109375" hidden="1" customWidth="1"/>
    <col min="31" max="31" width="12" customWidth="1"/>
  </cols>
  <sheetData>
    <row r="1" spans="1:31" ht="18" x14ac:dyDescent="0.25">
      <c r="A1" s="10" t="s">
        <v>115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18" x14ac:dyDescent="0.25">
      <c r="A2" s="10" t="s">
        <v>116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x14ac:dyDescent="0.25">
      <c r="A3" s="11" t="s">
        <v>117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5" spans="1:31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</row>
    <row r="6" spans="1:31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5">
      <c r="A7" s="3" t="s">
        <v>31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5">
        <f t="shared" ref="AE7:AE28" si="0">((((((((((((((((((((((((((((B7)+(C7))+(D7))+(E7))+(F7))+(G7))+(H7))+(I7))+(J7))+(K7))+(L7))+(M7))+(N7))+(O7))+(P7))+(Q7))+(R7))+(S7))+(T7))+(U7))+(V7))+(W7))+(X7))+(Y7))+(Z7))+(AA7))+(AB7))+(AC7))+(AD7)</f>
        <v>0</v>
      </c>
    </row>
    <row r="8" spans="1:31" x14ac:dyDescent="0.25">
      <c r="A8" s="3" t="s">
        <v>32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5">
        <f>400</f>
        <v>400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>
        <f t="shared" si="0"/>
        <v>272522.23</v>
      </c>
    </row>
    <row r="9" spans="1:31" x14ac:dyDescent="0.25">
      <c r="A9" s="3" t="s">
        <v>33</v>
      </c>
      <c r="B9" s="5">
        <f>17849.22</f>
        <v>17849.22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>
        <f t="shared" si="0"/>
        <v>17849.22</v>
      </c>
    </row>
    <row r="10" spans="1:31" x14ac:dyDescent="0.25">
      <c r="A10" s="3" t="s">
        <v>34</v>
      </c>
      <c r="B10" s="4"/>
      <c r="C10" s="4"/>
      <c r="D10" s="4"/>
      <c r="E10" s="4"/>
      <c r="F10" s="4"/>
      <c r="G10" s="4"/>
      <c r="H10" s="4"/>
      <c r="I10" s="4"/>
      <c r="J10" s="4"/>
      <c r="K10" s="5">
        <f>5391.89</f>
        <v>5391.89</v>
      </c>
      <c r="L10" s="5">
        <f>11400</f>
        <v>11400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>
        <f t="shared" si="0"/>
        <v>16791.89</v>
      </c>
    </row>
    <row r="11" spans="1:31" x14ac:dyDescent="0.25">
      <c r="A11" s="3" t="s">
        <v>35</v>
      </c>
      <c r="B11" s="5">
        <f>15000</f>
        <v>15000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>
        <f>30065</f>
        <v>30065</v>
      </c>
      <c r="Y11" s="4"/>
      <c r="Z11" s="4"/>
      <c r="AA11" s="4"/>
      <c r="AB11" s="4"/>
      <c r="AC11" s="4"/>
      <c r="AD11" s="4"/>
      <c r="AE11" s="5">
        <f t="shared" si="0"/>
        <v>45065</v>
      </c>
    </row>
    <row r="12" spans="1:31" x14ac:dyDescent="0.25">
      <c r="A12" s="3" t="s">
        <v>36</v>
      </c>
      <c r="B12" s="5">
        <f>979.29</f>
        <v>979.29</v>
      </c>
      <c r="C12" s="4"/>
      <c r="D12" s="4"/>
      <c r="E12" s="4"/>
      <c r="F12" s="5">
        <f>61.25</f>
        <v>61.25</v>
      </c>
      <c r="G12" s="4"/>
      <c r="H12" s="4"/>
      <c r="I12" s="4"/>
      <c r="J12" s="4"/>
      <c r="K12" s="5">
        <f>0</f>
        <v>0</v>
      </c>
      <c r="L12" s="5">
        <f>787.5</f>
        <v>787.5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5">
        <f t="shared" si="0"/>
        <v>1828.04</v>
      </c>
    </row>
    <row r="13" spans="1:31" x14ac:dyDescent="0.25">
      <c r="A13" s="3" t="s">
        <v>37</v>
      </c>
      <c r="B13" s="5">
        <f>25159.19</f>
        <v>25159.19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5">
        <f t="shared" si="0"/>
        <v>25159.19</v>
      </c>
    </row>
    <row r="14" spans="1:31" x14ac:dyDescent="0.25">
      <c r="A14" s="3" t="s">
        <v>38</v>
      </c>
      <c r="B14" s="5">
        <f>196876.98</f>
        <v>196876.98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5">
        <f t="shared" si="0"/>
        <v>196876.98</v>
      </c>
    </row>
    <row r="15" spans="1:31" x14ac:dyDescent="0.25">
      <c r="A15" s="3" t="s">
        <v>39</v>
      </c>
      <c r="B15" s="5">
        <f>21700</f>
        <v>21700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5">
        <f t="shared" si="0"/>
        <v>21700</v>
      </c>
    </row>
    <row r="16" spans="1:31" x14ac:dyDescent="0.25">
      <c r="A16" s="3" t="s">
        <v>40</v>
      </c>
      <c r="B16" s="5">
        <f>70</f>
        <v>70</v>
      </c>
      <c r="C16" s="5">
        <f>50</f>
        <v>50</v>
      </c>
      <c r="D16" s="4"/>
      <c r="E16" s="4"/>
      <c r="F16" s="5">
        <f>0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5">
        <f t="shared" si="0"/>
        <v>120</v>
      </c>
    </row>
    <row r="17" spans="1:31" x14ac:dyDescent="0.25">
      <c r="A17" s="3" t="s">
        <v>41</v>
      </c>
      <c r="B17" s="6">
        <f t="shared" ref="B17:AD17" si="1">(((((((((B7)+(B8))+(B9))+(B10))+(B11))+(B12))+(B13))+(B14))+(B15))+(B16)</f>
        <v>549756.90999999992</v>
      </c>
      <c r="C17" s="6">
        <f t="shared" si="1"/>
        <v>50</v>
      </c>
      <c r="D17" s="6">
        <f t="shared" si="1"/>
        <v>0</v>
      </c>
      <c r="E17" s="6">
        <f t="shared" si="1"/>
        <v>0</v>
      </c>
      <c r="F17" s="6">
        <f t="shared" si="1"/>
        <v>61.25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5791.89</v>
      </c>
      <c r="L17" s="6">
        <f t="shared" si="1"/>
        <v>12187.5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6">
        <f t="shared" si="1"/>
        <v>0</v>
      </c>
      <c r="T17" s="6">
        <f t="shared" si="1"/>
        <v>0</v>
      </c>
      <c r="U17" s="6">
        <f t="shared" si="1"/>
        <v>0</v>
      </c>
      <c r="V17" s="6">
        <f t="shared" si="1"/>
        <v>0</v>
      </c>
      <c r="W17" s="6">
        <f t="shared" si="1"/>
        <v>0</v>
      </c>
      <c r="X17" s="6">
        <f t="shared" si="1"/>
        <v>30065</v>
      </c>
      <c r="Y17" s="6">
        <f t="shared" si="1"/>
        <v>0</v>
      </c>
      <c r="Z17" s="6">
        <f t="shared" si="1"/>
        <v>0</v>
      </c>
      <c r="AA17" s="6">
        <f t="shared" si="1"/>
        <v>0</v>
      </c>
      <c r="AB17" s="6">
        <f t="shared" si="1"/>
        <v>0</v>
      </c>
      <c r="AC17" s="6">
        <f t="shared" si="1"/>
        <v>0</v>
      </c>
      <c r="AD17" s="6">
        <f t="shared" si="1"/>
        <v>0</v>
      </c>
      <c r="AE17" s="6">
        <f t="shared" si="0"/>
        <v>597912.54999999993</v>
      </c>
    </row>
    <row r="18" spans="1:31" x14ac:dyDescent="0.25">
      <c r="A18" s="3" t="s">
        <v>42</v>
      </c>
      <c r="B18" s="4"/>
      <c r="C18" s="4"/>
      <c r="D18" s="4"/>
      <c r="E18" s="4"/>
      <c r="F18" s="5">
        <f>1128913.65</f>
        <v>1128913.6499999999</v>
      </c>
      <c r="G18" s="4"/>
      <c r="H18" s="4"/>
      <c r="I18" s="5">
        <f>14936.8</f>
        <v>14936.8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"/>
      <c r="AE18" s="5">
        <f t="shared" si="0"/>
        <v>1143850.45</v>
      </c>
    </row>
    <row r="19" spans="1:31" x14ac:dyDescent="0.25">
      <c r="A19" s="3" t="s">
        <v>43</v>
      </c>
      <c r="B19" s="4"/>
      <c r="C19" s="4"/>
      <c r="D19" s="4"/>
      <c r="E19" s="4"/>
      <c r="F19" s="5">
        <f>17180.85</f>
        <v>17180.849999999999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5">
        <f t="shared" si="0"/>
        <v>17180.849999999999</v>
      </c>
    </row>
    <row r="20" spans="1:31" x14ac:dyDescent="0.25">
      <c r="A20" s="3" t="s">
        <v>44</v>
      </c>
      <c r="B20" s="6">
        <f t="shared" ref="B20:AD20" si="2">(B18)+(B19)</f>
        <v>0</v>
      </c>
      <c r="C20" s="6">
        <f t="shared" si="2"/>
        <v>0</v>
      </c>
      <c r="D20" s="6">
        <f t="shared" si="2"/>
        <v>0</v>
      </c>
      <c r="E20" s="6">
        <f t="shared" si="2"/>
        <v>0</v>
      </c>
      <c r="F20" s="6">
        <f t="shared" si="2"/>
        <v>1146094.5</v>
      </c>
      <c r="G20" s="6">
        <f t="shared" si="2"/>
        <v>0</v>
      </c>
      <c r="H20" s="6">
        <f t="shared" si="2"/>
        <v>0</v>
      </c>
      <c r="I20" s="6">
        <f t="shared" si="2"/>
        <v>14936.8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6">
        <f t="shared" si="2"/>
        <v>0</v>
      </c>
      <c r="P20" s="6">
        <f t="shared" si="2"/>
        <v>0</v>
      </c>
      <c r="Q20" s="6">
        <f t="shared" si="2"/>
        <v>0</v>
      </c>
      <c r="R20" s="6">
        <f t="shared" si="2"/>
        <v>0</v>
      </c>
      <c r="S20" s="6">
        <f t="shared" si="2"/>
        <v>0</v>
      </c>
      <c r="T20" s="6">
        <f t="shared" si="2"/>
        <v>0</v>
      </c>
      <c r="U20" s="6">
        <f t="shared" si="2"/>
        <v>0</v>
      </c>
      <c r="V20" s="6">
        <f t="shared" si="2"/>
        <v>0</v>
      </c>
      <c r="W20" s="6">
        <f t="shared" si="2"/>
        <v>0</v>
      </c>
      <c r="X20" s="6">
        <f t="shared" si="2"/>
        <v>0</v>
      </c>
      <c r="Y20" s="6">
        <f t="shared" si="2"/>
        <v>0</v>
      </c>
      <c r="Z20" s="6">
        <f t="shared" si="2"/>
        <v>0</v>
      </c>
      <c r="AA20" s="6">
        <f t="shared" si="2"/>
        <v>0</v>
      </c>
      <c r="AB20" s="6">
        <f t="shared" si="2"/>
        <v>0</v>
      </c>
      <c r="AC20" s="6">
        <f t="shared" si="2"/>
        <v>0</v>
      </c>
      <c r="AD20" s="6">
        <f t="shared" si="2"/>
        <v>0</v>
      </c>
      <c r="AE20" s="6">
        <f t="shared" si="0"/>
        <v>1161031.3</v>
      </c>
    </row>
    <row r="21" spans="1:31" x14ac:dyDescent="0.25">
      <c r="A21" s="3" t="s">
        <v>45</v>
      </c>
      <c r="B21" s="5">
        <f>23373</f>
        <v>23373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5">
        <f t="shared" si="0"/>
        <v>23373</v>
      </c>
    </row>
    <row r="22" spans="1:31" x14ac:dyDescent="0.25">
      <c r="A22" s="3" t="s">
        <v>46</v>
      </c>
      <c r="B22" s="5">
        <f>10568.65</f>
        <v>10568.65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5">
        <f t="shared" si="0"/>
        <v>10568.65</v>
      </c>
    </row>
    <row r="23" spans="1:31" x14ac:dyDescent="0.25">
      <c r="A23" s="3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5">
        <f t="shared" si="0"/>
        <v>0</v>
      </c>
    </row>
    <row r="24" spans="1:31" x14ac:dyDescent="0.25">
      <c r="A24" s="3" t="s">
        <v>48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>180182.64</f>
        <v>180182.64</v>
      </c>
      <c r="O24" s="4"/>
      <c r="P24" s="4"/>
      <c r="Q24" s="4"/>
      <c r="R24" s="5">
        <f>148792.71</f>
        <v>148792.71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5">
        <f t="shared" si="0"/>
        <v>328975.34999999998</v>
      </c>
    </row>
    <row r="25" spans="1:31" x14ac:dyDescent="0.25">
      <c r="A25" s="3" t="s">
        <v>49</v>
      </c>
      <c r="B25" s="4"/>
      <c r="C25" s="4"/>
      <c r="D25" s="5">
        <f>-6056.75</f>
        <v>-6056.75</v>
      </c>
      <c r="E25" s="4"/>
      <c r="F25" s="4"/>
      <c r="G25" s="5">
        <f>-7464.07</f>
        <v>-7464.07</v>
      </c>
      <c r="H25" s="4"/>
      <c r="I25" s="4"/>
      <c r="J25" s="4"/>
      <c r="K25" s="4"/>
      <c r="L25" s="4"/>
      <c r="M25" s="4"/>
      <c r="N25" s="4"/>
      <c r="O25" s="4"/>
      <c r="P25" s="5">
        <f>1095.66</f>
        <v>1095.6600000000001</v>
      </c>
      <c r="Q25" s="5">
        <f>71436.44</f>
        <v>71436.44</v>
      </c>
      <c r="R25" s="4"/>
      <c r="S25" s="5">
        <f>53904.84</f>
        <v>53904.84</v>
      </c>
      <c r="T25" s="4"/>
      <c r="U25" s="4"/>
      <c r="V25" s="5">
        <f>90369.97</f>
        <v>90369.97</v>
      </c>
      <c r="W25" s="5">
        <f>19790.75</f>
        <v>19790.75</v>
      </c>
      <c r="X25" s="4"/>
      <c r="Y25" s="5">
        <f>-4815.77</f>
        <v>-4815.7700000000004</v>
      </c>
      <c r="Z25" s="5">
        <f>1073.45</f>
        <v>1073.45</v>
      </c>
      <c r="AA25" s="5">
        <f>22572.56</f>
        <v>22572.560000000001</v>
      </c>
      <c r="AB25" s="5">
        <f>142.79</f>
        <v>142.79</v>
      </c>
      <c r="AC25" s="5">
        <f>32718.57</f>
        <v>32718.57</v>
      </c>
      <c r="AD25" s="4"/>
      <c r="AE25" s="5">
        <f t="shared" si="0"/>
        <v>274768.44</v>
      </c>
    </row>
    <row r="26" spans="1:31" x14ac:dyDescent="0.25">
      <c r="A26" s="3" t="s">
        <v>50</v>
      </c>
      <c r="B26" s="6">
        <f t="shared" ref="B26:AD26" si="3">((B23)+(B24))+(B25)</f>
        <v>0</v>
      </c>
      <c r="C26" s="6">
        <f t="shared" si="3"/>
        <v>0</v>
      </c>
      <c r="D26" s="6">
        <f t="shared" si="3"/>
        <v>-6056.75</v>
      </c>
      <c r="E26" s="6">
        <f t="shared" si="3"/>
        <v>0</v>
      </c>
      <c r="F26" s="6">
        <f t="shared" si="3"/>
        <v>0</v>
      </c>
      <c r="G26" s="6">
        <f t="shared" si="3"/>
        <v>-7464.07</v>
      </c>
      <c r="H26" s="6">
        <f t="shared" si="3"/>
        <v>0</v>
      </c>
      <c r="I26" s="6">
        <f t="shared" si="3"/>
        <v>0</v>
      </c>
      <c r="J26" s="6">
        <f t="shared" si="3"/>
        <v>0</v>
      </c>
      <c r="K26" s="6">
        <f t="shared" si="3"/>
        <v>0</v>
      </c>
      <c r="L26" s="6">
        <f t="shared" si="3"/>
        <v>0</v>
      </c>
      <c r="M26" s="6">
        <f t="shared" si="3"/>
        <v>0</v>
      </c>
      <c r="N26" s="6">
        <f t="shared" si="3"/>
        <v>180182.64</v>
      </c>
      <c r="O26" s="6">
        <f t="shared" si="3"/>
        <v>0</v>
      </c>
      <c r="P26" s="6">
        <f t="shared" si="3"/>
        <v>1095.6600000000001</v>
      </c>
      <c r="Q26" s="6">
        <f t="shared" si="3"/>
        <v>71436.44</v>
      </c>
      <c r="R26" s="6">
        <f t="shared" si="3"/>
        <v>148792.71</v>
      </c>
      <c r="S26" s="6">
        <f t="shared" si="3"/>
        <v>53904.84</v>
      </c>
      <c r="T26" s="6">
        <f t="shared" si="3"/>
        <v>0</v>
      </c>
      <c r="U26" s="6">
        <f t="shared" si="3"/>
        <v>0</v>
      </c>
      <c r="V26" s="6">
        <f t="shared" si="3"/>
        <v>90369.97</v>
      </c>
      <c r="W26" s="6">
        <f t="shared" si="3"/>
        <v>19790.75</v>
      </c>
      <c r="X26" s="6">
        <f t="shared" si="3"/>
        <v>0</v>
      </c>
      <c r="Y26" s="6">
        <f t="shared" si="3"/>
        <v>-4815.7700000000004</v>
      </c>
      <c r="Z26" s="6">
        <f t="shared" si="3"/>
        <v>1073.45</v>
      </c>
      <c r="AA26" s="6">
        <f t="shared" si="3"/>
        <v>22572.560000000001</v>
      </c>
      <c r="AB26" s="6">
        <f t="shared" si="3"/>
        <v>142.79</v>
      </c>
      <c r="AC26" s="6">
        <f t="shared" si="3"/>
        <v>32718.57</v>
      </c>
      <c r="AD26" s="6">
        <f t="shared" si="3"/>
        <v>0</v>
      </c>
      <c r="AE26" s="6">
        <f t="shared" si="0"/>
        <v>603743.78999999992</v>
      </c>
    </row>
    <row r="27" spans="1:31" x14ac:dyDescent="0.25">
      <c r="A27" s="3" t="s">
        <v>51</v>
      </c>
      <c r="B27" s="6">
        <f t="shared" ref="B27:AD27" si="4">((((B17)+(B20))+(B21))+(B22))+(B26)</f>
        <v>583698.55999999994</v>
      </c>
      <c r="C27" s="6">
        <f t="shared" si="4"/>
        <v>50</v>
      </c>
      <c r="D27" s="6">
        <f t="shared" si="4"/>
        <v>-6056.75</v>
      </c>
      <c r="E27" s="6">
        <f t="shared" si="4"/>
        <v>0</v>
      </c>
      <c r="F27" s="6">
        <f t="shared" si="4"/>
        <v>1146155.75</v>
      </c>
      <c r="G27" s="6">
        <f t="shared" si="4"/>
        <v>-7464.07</v>
      </c>
      <c r="H27" s="6">
        <f t="shared" si="4"/>
        <v>0</v>
      </c>
      <c r="I27" s="6">
        <f t="shared" si="4"/>
        <v>14936.8</v>
      </c>
      <c r="J27" s="6">
        <f t="shared" si="4"/>
        <v>0</v>
      </c>
      <c r="K27" s="6">
        <f t="shared" si="4"/>
        <v>5791.89</v>
      </c>
      <c r="L27" s="6">
        <f t="shared" si="4"/>
        <v>12187.5</v>
      </c>
      <c r="M27" s="6">
        <f t="shared" si="4"/>
        <v>0</v>
      </c>
      <c r="N27" s="6">
        <f t="shared" si="4"/>
        <v>180182.64</v>
      </c>
      <c r="O27" s="6">
        <f t="shared" si="4"/>
        <v>0</v>
      </c>
      <c r="P27" s="6">
        <f t="shared" si="4"/>
        <v>1095.6600000000001</v>
      </c>
      <c r="Q27" s="6">
        <f t="shared" si="4"/>
        <v>71436.44</v>
      </c>
      <c r="R27" s="6">
        <f t="shared" si="4"/>
        <v>148792.71</v>
      </c>
      <c r="S27" s="6">
        <f t="shared" si="4"/>
        <v>53904.84</v>
      </c>
      <c r="T27" s="6">
        <f t="shared" si="4"/>
        <v>0</v>
      </c>
      <c r="U27" s="6">
        <f t="shared" si="4"/>
        <v>0</v>
      </c>
      <c r="V27" s="6">
        <f t="shared" si="4"/>
        <v>90369.97</v>
      </c>
      <c r="W27" s="6">
        <f t="shared" si="4"/>
        <v>19790.75</v>
      </c>
      <c r="X27" s="6">
        <f t="shared" si="4"/>
        <v>30065</v>
      </c>
      <c r="Y27" s="6">
        <f t="shared" si="4"/>
        <v>-4815.7700000000004</v>
      </c>
      <c r="Z27" s="6">
        <f t="shared" si="4"/>
        <v>1073.45</v>
      </c>
      <c r="AA27" s="6">
        <f t="shared" si="4"/>
        <v>22572.560000000001</v>
      </c>
      <c r="AB27" s="6">
        <f t="shared" si="4"/>
        <v>142.79</v>
      </c>
      <c r="AC27" s="6">
        <f t="shared" si="4"/>
        <v>32718.57</v>
      </c>
      <c r="AD27" s="6">
        <f t="shared" si="4"/>
        <v>0</v>
      </c>
      <c r="AE27" s="6">
        <f t="shared" si="0"/>
        <v>2396629.29</v>
      </c>
    </row>
    <row r="28" spans="1:31" x14ac:dyDescent="0.25">
      <c r="A28" s="3" t="s">
        <v>52</v>
      </c>
      <c r="B28" s="6">
        <f t="shared" ref="B28:AD28" si="5">(B27)-(0)</f>
        <v>583698.55999999994</v>
      </c>
      <c r="C28" s="6">
        <f t="shared" si="5"/>
        <v>50</v>
      </c>
      <c r="D28" s="6">
        <f t="shared" si="5"/>
        <v>-6056.75</v>
      </c>
      <c r="E28" s="6">
        <f t="shared" si="5"/>
        <v>0</v>
      </c>
      <c r="F28" s="6">
        <f t="shared" si="5"/>
        <v>1146155.75</v>
      </c>
      <c r="G28" s="6">
        <f t="shared" si="5"/>
        <v>-7464.07</v>
      </c>
      <c r="H28" s="6">
        <f t="shared" si="5"/>
        <v>0</v>
      </c>
      <c r="I28" s="6">
        <f t="shared" si="5"/>
        <v>14936.8</v>
      </c>
      <c r="J28" s="6">
        <f t="shared" si="5"/>
        <v>0</v>
      </c>
      <c r="K28" s="6">
        <f t="shared" si="5"/>
        <v>5791.89</v>
      </c>
      <c r="L28" s="6">
        <f t="shared" si="5"/>
        <v>12187.5</v>
      </c>
      <c r="M28" s="6">
        <f t="shared" si="5"/>
        <v>0</v>
      </c>
      <c r="N28" s="6">
        <f t="shared" si="5"/>
        <v>180182.64</v>
      </c>
      <c r="O28" s="6">
        <f t="shared" si="5"/>
        <v>0</v>
      </c>
      <c r="P28" s="6">
        <f t="shared" si="5"/>
        <v>1095.6600000000001</v>
      </c>
      <c r="Q28" s="6">
        <f t="shared" si="5"/>
        <v>71436.44</v>
      </c>
      <c r="R28" s="6">
        <f t="shared" si="5"/>
        <v>148792.71</v>
      </c>
      <c r="S28" s="6">
        <f t="shared" si="5"/>
        <v>53904.84</v>
      </c>
      <c r="T28" s="6">
        <f t="shared" si="5"/>
        <v>0</v>
      </c>
      <c r="U28" s="6">
        <f t="shared" si="5"/>
        <v>0</v>
      </c>
      <c r="V28" s="6">
        <f t="shared" si="5"/>
        <v>90369.97</v>
      </c>
      <c r="W28" s="6">
        <f t="shared" si="5"/>
        <v>19790.75</v>
      </c>
      <c r="X28" s="6">
        <f t="shared" si="5"/>
        <v>30065</v>
      </c>
      <c r="Y28" s="6">
        <f t="shared" si="5"/>
        <v>-4815.7700000000004</v>
      </c>
      <c r="Z28" s="6">
        <f t="shared" si="5"/>
        <v>1073.45</v>
      </c>
      <c r="AA28" s="6">
        <f t="shared" si="5"/>
        <v>22572.560000000001</v>
      </c>
      <c r="AB28" s="6">
        <f t="shared" si="5"/>
        <v>142.79</v>
      </c>
      <c r="AC28" s="6">
        <f t="shared" si="5"/>
        <v>32718.57</v>
      </c>
      <c r="AD28" s="6">
        <f t="shared" si="5"/>
        <v>0</v>
      </c>
      <c r="AE28" s="6">
        <f t="shared" si="0"/>
        <v>2396629.29</v>
      </c>
    </row>
    <row r="29" spans="1:31" x14ac:dyDescent="0.25">
      <c r="A29" s="3" t="s">
        <v>53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25">
      <c r="A30" s="3" t="s">
        <v>54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">
        <f t="shared" ref="AE30:AE61" si="6">((((((((((((((((((((((((((((B30)+(C30))+(D30))+(E30))+(F30))+(G30))+(H30))+(I30))+(J30))+(K30))+(L30))+(M30))+(N30))+(O30))+(P30))+(Q30))+(R30))+(S30))+(T30))+(U30))+(V30))+(W30))+(X30))+(Y30))+(Z30))+(AA30))+(AB30))+(AC30))+(AD30)</f>
        <v>0</v>
      </c>
    </row>
    <row r="31" spans="1:31" x14ac:dyDescent="0.25">
      <c r="A31" s="3" t="s">
        <v>55</v>
      </c>
      <c r="B31" s="5">
        <f>33415.64</f>
        <v>33415.64</v>
      </c>
      <c r="C31" s="4"/>
      <c r="D31" s="5">
        <f>52133.81</f>
        <v>52133.81</v>
      </c>
      <c r="E31" s="4"/>
      <c r="F31" s="5">
        <f>117357.68</f>
        <v>117357.68</v>
      </c>
      <c r="G31" s="5">
        <f>8451.76</f>
        <v>8451.76</v>
      </c>
      <c r="H31" s="5">
        <f>15987.69</f>
        <v>15987.69</v>
      </c>
      <c r="I31" s="5">
        <f>19292.28</f>
        <v>19292.28</v>
      </c>
      <c r="J31" s="4"/>
      <c r="K31" s="4"/>
      <c r="L31" s="5">
        <f>-1261.18</f>
        <v>-1261.18</v>
      </c>
      <c r="M31" s="5">
        <f>9317.16</f>
        <v>9317.16</v>
      </c>
      <c r="N31" s="5">
        <f>136946.84</f>
        <v>136946.84</v>
      </c>
      <c r="O31" s="5">
        <f>9201</f>
        <v>9201</v>
      </c>
      <c r="P31" s="5">
        <f>1000</f>
        <v>1000</v>
      </c>
      <c r="Q31" s="5">
        <f>27541.95</f>
        <v>27541.95</v>
      </c>
      <c r="R31" s="4"/>
      <c r="S31" s="5">
        <f>12916.64</f>
        <v>12916.64</v>
      </c>
      <c r="T31" s="5">
        <f>16352.92</f>
        <v>16352.92</v>
      </c>
      <c r="U31" s="5">
        <f>1829.89</f>
        <v>1829.89</v>
      </c>
      <c r="V31" s="5">
        <f>101522.94</f>
        <v>101522.94</v>
      </c>
      <c r="W31" s="5">
        <f>28468.84</f>
        <v>28468.84</v>
      </c>
      <c r="X31" s="4"/>
      <c r="Y31" s="5">
        <f>44792.64</f>
        <v>44792.639999999999</v>
      </c>
      <c r="Z31" s="5">
        <f>1581.84</f>
        <v>1581.84</v>
      </c>
      <c r="AA31" s="5">
        <f>29747.04</f>
        <v>29747.040000000001</v>
      </c>
      <c r="AB31" s="5">
        <f>10000</f>
        <v>10000</v>
      </c>
      <c r="AC31" s="5">
        <f>45117.24</f>
        <v>45117.24</v>
      </c>
      <c r="AD31" s="4"/>
      <c r="AE31" s="5">
        <f t="shared" si="6"/>
        <v>721714.62</v>
      </c>
    </row>
    <row r="32" spans="1:31" x14ac:dyDescent="0.25">
      <c r="A32" s="3" t="s">
        <v>56</v>
      </c>
      <c r="B32" s="5">
        <f>30201.8</f>
        <v>30201.8</v>
      </c>
      <c r="C32" s="4"/>
      <c r="D32" s="5">
        <f>6662.37</f>
        <v>6662.37</v>
      </c>
      <c r="E32" s="5">
        <f>7687.52</f>
        <v>7687.52</v>
      </c>
      <c r="F32" s="5">
        <f>35108.21</f>
        <v>35108.21</v>
      </c>
      <c r="G32" s="4"/>
      <c r="H32" s="4"/>
      <c r="I32" s="4"/>
      <c r="J32" s="5">
        <f>14899.28</f>
        <v>14899.28</v>
      </c>
      <c r="K32" s="4"/>
      <c r="L32" s="4"/>
      <c r="M32" s="4"/>
      <c r="N32" s="5">
        <f>7500</f>
        <v>7500</v>
      </c>
      <c r="O32" s="4"/>
      <c r="P32" s="4"/>
      <c r="Q32" s="5">
        <f>8989.16</f>
        <v>8989.16</v>
      </c>
      <c r="R32" s="5">
        <f>103577.76</f>
        <v>103577.76</v>
      </c>
      <c r="S32" s="4"/>
      <c r="T32" s="5">
        <f>12500</f>
        <v>12500</v>
      </c>
      <c r="U32" s="4"/>
      <c r="V32" s="5">
        <f>9490.19</f>
        <v>9490.19</v>
      </c>
      <c r="W32" s="4"/>
      <c r="X32" s="4"/>
      <c r="Y32" s="5">
        <f>6184.38</f>
        <v>6184.38</v>
      </c>
      <c r="Z32" s="4"/>
      <c r="AA32" s="4"/>
      <c r="AB32" s="4"/>
      <c r="AC32" s="4"/>
      <c r="AD32" s="4"/>
      <c r="AE32" s="5">
        <f t="shared" si="6"/>
        <v>242800.66999999998</v>
      </c>
    </row>
    <row r="33" spans="1:31" x14ac:dyDescent="0.25">
      <c r="A33" s="3" t="s">
        <v>57</v>
      </c>
      <c r="B33" s="6">
        <f t="shared" ref="B33:AD33" si="7">((B30)+(B31))+(B32)</f>
        <v>63617.440000000002</v>
      </c>
      <c r="C33" s="6">
        <f t="shared" si="7"/>
        <v>0</v>
      </c>
      <c r="D33" s="6">
        <f t="shared" si="7"/>
        <v>58796.18</v>
      </c>
      <c r="E33" s="6">
        <f t="shared" si="7"/>
        <v>7687.52</v>
      </c>
      <c r="F33" s="6">
        <f t="shared" si="7"/>
        <v>152465.88999999998</v>
      </c>
      <c r="G33" s="6">
        <f t="shared" si="7"/>
        <v>8451.76</v>
      </c>
      <c r="H33" s="6">
        <f t="shared" si="7"/>
        <v>15987.69</v>
      </c>
      <c r="I33" s="6">
        <f t="shared" si="7"/>
        <v>19292.28</v>
      </c>
      <c r="J33" s="6">
        <f t="shared" si="7"/>
        <v>14899.28</v>
      </c>
      <c r="K33" s="6">
        <f t="shared" si="7"/>
        <v>0</v>
      </c>
      <c r="L33" s="6">
        <f t="shared" si="7"/>
        <v>-1261.18</v>
      </c>
      <c r="M33" s="6">
        <f t="shared" si="7"/>
        <v>9317.16</v>
      </c>
      <c r="N33" s="6">
        <f t="shared" si="7"/>
        <v>144446.84</v>
      </c>
      <c r="O33" s="6">
        <f t="shared" si="7"/>
        <v>9201</v>
      </c>
      <c r="P33" s="6">
        <f t="shared" si="7"/>
        <v>1000</v>
      </c>
      <c r="Q33" s="6">
        <f t="shared" si="7"/>
        <v>36531.11</v>
      </c>
      <c r="R33" s="6">
        <f t="shared" si="7"/>
        <v>103577.76</v>
      </c>
      <c r="S33" s="6">
        <f t="shared" si="7"/>
        <v>12916.64</v>
      </c>
      <c r="T33" s="6">
        <f t="shared" si="7"/>
        <v>28852.92</v>
      </c>
      <c r="U33" s="6">
        <f t="shared" si="7"/>
        <v>1829.89</v>
      </c>
      <c r="V33" s="6">
        <f t="shared" si="7"/>
        <v>111013.13</v>
      </c>
      <c r="W33" s="6">
        <f t="shared" si="7"/>
        <v>28468.84</v>
      </c>
      <c r="X33" s="6">
        <f t="shared" si="7"/>
        <v>0</v>
      </c>
      <c r="Y33" s="6">
        <f t="shared" si="7"/>
        <v>50977.02</v>
      </c>
      <c r="Z33" s="6">
        <f t="shared" si="7"/>
        <v>1581.84</v>
      </c>
      <c r="AA33" s="6">
        <f t="shared" si="7"/>
        <v>29747.040000000001</v>
      </c>
      <c r="AB33" s="6">
        <f t="shared" si="7"/>
        <v>10000</v>
      </c>
      <c r="AC33" s="6">
        <f t="shared" si="7"/>
        <v>45117.24</v>
      </c>
      <c r="AD33" s="6">
        <f t="shared" si="7"/>
        <v>0</v>
      </c>
      <c r="AE33" s="6">
        <f t="shared" si="6"/>
        <v>964515.29</v>
      </c>
    </row>
    <row r="34" spans="1:31" x14ac:dyDescent="0.25">
      <c r="A34" s="3" t="s">
        <v>58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">
        <f t="shared" si="6"/>
        <v>0</v>
      </c>
    </row>
    <row r="35" spans="1:31" x14ac:dyDescent="0.25">
      <c r="A35" s="3" t="s">
        <v>59</v>
      </c>
      <c r="B35" s="4"/>
      <c r="C35" s="4"/>
      <c r="D35" s="5">
        <f>6.36</f>
        <v>6.36</v>
      </c>
      <c r="E35" s="4"/>
      <c r="F35" s="4"/>
      <c r="G35" s="5">
        <f>1.18</f>
        <v>1.18</v>
      </c>
      <c r="H35" s="5">
        <f>2.14</f>
        <v>2.14</v>
      </c>
      <c r="I35" s="4"/>
      <c r="J35" s="4"/>
      <c r="K35" s="4"/>
      <c r="L35" s="5">
        <f>-0.18</f>
        <v>-0.18</v>
      </c>
      <c r="M35" s="4"/>
      <c r="N35" s="4"/>
      <c r="O35" s="4"/>
      <c r="P35" s="4"/>
      <c r="Q35" s="5">
        <f>4.48</f>
        <v>4.4800000000000004</v>
      </c>
      <c r="R35" s="4"/>
      <c r="S35" s="5">
        <f>2.5</f>
        <v>2.5</v>
      </c>
      <c r="T35" s="4"/>
      <c r="U35" s="4"/>
      <c r="V35" s="5">
        <f>14.56</f>
        <v>14.56</v>
      </c>
      <c r="W35" s="5">
        <f>3.98</f>
        <v>3.98</v>
      </c>
      <c r="X35" s="4"/>
      <c r="Y35" s="5">
        <f>8.12</f>
        <v>8.1199999999999992</v>
      </c>
      <c r="Z35" s="5">
        <f>0.3</f>
        <v>0.3</v>
      </c>
      <c r="AA35" s="5">
        <f>1.74</f>
        <v>1.74</v>
      </c>
      <c r="AB35" s="4"/>
      <c r="AC35" s="5">
        <f>3.72</f>
        <v>3.72</v>
      </c>
      <c r="AD35" s="4"/>
      <c r="AE35" s="5">
        <f t="shared" si="6"/>
        <v>48.899999999999991</v>
      </c>
    </row>
    <row r="36" spans="1:31" x14ac:dyDescent="0.25">
      <c r="A36" s="3" t="s">
        <v>60</v>
      </c>
      <c r="B36" s="5">
        <f>1903.73</f>
        <v>1903.73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">
        <f t="shared" si="6"/>
        <v>1903.73</v>
      </c>
    </row>
    <row r="37" spans="1:31" x14ac:dyDescent="0.25">
      <c r="A37" s="3" t="s">
        <v>61</v>
      </c>
      <c r="B37" s="5">
        <f>1691.25</f>
        <v>1691.25</v>
      </c>
      <c r="C37" s="4"/>
      <c r="D37" s="5">
        <f>346.44</f>
        <v>346.44</v>
      </c>
      <c r="E37" s="5">
        <f>424.55</f>
        <v>424.55</v>
      </c>
      <c r="F37" s="5">
        <f>2070.45</f>
        <v>2070.4499999999998</v>
      </c>
      <c r="G37" s="4"/>
      <c r="H37" s="4"/>
      <c r="I37" s="4"/>
      <c r="J37" s="5">
        <f>879.6</f>
        <v>879.6</v>
      </c>
      <c r="K37" s="4"/>
      <c r="L37" s="4"/>
      <c r="M37" s="4"/>
      <c r="N37" s="5">
        <f>444.66</f>
        <v>444.66</v>
      </c>
      <c r="O37" s="4"/>
      <c r="P37" s="4"/>
      <c r="Q37" s="5">
        <f>536.25</f>
        <v>536.25</v>
      </c>
      <c r="R37" s="5">
        <f>6158.96</f>
        <v>6158.96</v>
      </c>
      <c r="S37" s="4"/>
      <c r="T37" s="5">
        <f>755.59</f>
        <v>755.59</v>
      </c>
      <c r="U37" s="4"/>
      <c r="V37" s="5">
        <f>576.17</f>
        <v>576.16999999999996</v>
      </c>
      <c r="W37" s="4"/>
      <c r="X37" s="4"/>
      <c r="Y37" s="5">
        <f>358.04</f>
        <v>358.04</v>
      </c>
      <c r="Z37" s="4"/>
      <c r="AA37" s="4"/>
      <c r="AB37" s="4"/>
      <c r="AC37" s="4"/>
      <c r="AD37" s="4"/>
      <c r="AE37" s="5">
        <f t="shared" si="6"/>
        <v>14241.960000000001</v>
      </c>
    </row>
    <row r="38" spans="1:31" x14ac:dyDescent="0.25">
      <c r="A38" s="3" t="s">
        <v>62</v>
      </c>
      <c r="B38" s="5">
        <f>871.61</f>
        <v>871.61</v>
      </c>
      <c r="C38" s="4"/>
      <c r="D38" s="5">
        <f>824.39</f>
        <v>824.39</v>
      </c>
      <c r="E38" s="5">
        <f>99.28</f>
        <v>99.28</v>
      </c>
      <c r="F38" s="5">
        <f>2160.76</f>
        <v>2160.7600000000002</v>
      </c>
      <c r="G38" s="5">
        <f>115.6</f>
        <v>115.6</v>
      </c>
      <c r="H38" s="5">
        <f>142</f>
        <v>142</v>
      </c>
      <c r="I38" s="5">
        <f>252.3</f>
        <v>252.3</v>
      </c>
      <c r="J38" s="5">
        <f>205.72</f>
        <v>205.72</v>
      </c>
      <c r="K38" s="4"/>
      <c r="L38" s="5">
        <f>-18.29</f>
        <v>-18.29</v>
      </c>
      <c r="M38" s="5">
        <f>132.73</f>
        <v>132.72999999999999</v>
      </c>
      <c r="N38" s="5">
        <f>2042.87</f>
        <v>2042.87</v>
      </c>
      <c r="O38" s="5">
        <f>129.81</f>
        <v>129.81</v>
      </c>
      <c r="P38" s="5">
        <f>14.5</f>
        <v>14.5</v>
      </c>
      <c r="Q38" s="5">
        <f>362.78</f>
        <v>362.78</v>
      </c>
      <c r="R38" s="5">
        <f>1440.42</f>
        <v>1440.42</v>
      </c>
      <c r="S38" s="5">
        <f>181.16</f>
        <v>181.16</v>
      </c>
      <c r="T38" s="5">
        <f>406.19</f>
        <v>406.19</v>
      </c>
      <c r="U38" s="5">
        <f>26.53</f>
        <v>26.53</v>
      </c>
      <c r="V38" s="5">
        <f>1552.82</f>
        <v>1552.82</v>
      </c>
      <c r="W38" s="5">
        <f>391.78</f>
        <v>391.78</v>
      </c>
      <c r="X38" s="4"/>
      <c r="Y38" s="5">
        <f>861.04</f>
        <v>861.04</v>
      </c>
      <c r="Z38" s="5">
        <f>20.84</f>
        <v>20.84</v>
      </c>
      <c r="AA38" s="5">
        <f>419.38</f>
        <v>419.38</v>
      </c>
      <c r="AB38" s="4"/>
      <c r="AC38" s="5">
        <f>633.89</f>
        <v>633.89</v>
      </c>
      <c r="AD38" s="4"/>
      <c r="AE38" s="5">
        <f t="shared" si="6"/>
        <v>13270.109999999999</v>
      </c>
    </row>
    <row r="39" spans="1:31" x14ac:dyDescent="0.25">
      <c r="A39" s="3" t="s">
        <v>63</v>
      </c>
      <c r="B39" s="5">
        <f>2178.68</f>
        <v>2178.6799999999998</v>
      </c>
      <c r="C39" s="4"/>
      <c r="D39" s="5">
        <f>8659.14</f>
        <v>8659.14</v>
      </c>
      <c r="E39" s="4"/>
      <c r="F39" s="5">
        <f>2968.65</f>
        <v>2968.65</v>
      </c>
      <c r="G39" s="5">
        <f>1426.34</f>
        <v>1426.34</v>
      </c>
      <c r="H39" s="5">
        <f>1668.08</f>
        <v>1668.08</v>
      </c>
      <c r="I39" s="5">
        <f>768.4</f>
        <v>768.4</v>
      </c>
      <c r="J39" s="4"/>
      <c r="K39" s="4"/>
      <c r="L39" s="5">
        <f>-203.11</f>
        <v>-203.11</v>
      </c>
      <c r="M39" s="5">
        <f>279.52</f>
        <v>279.52</v>
      </c>
      <c r="N39" s="5">
        <f>4709.12</f>
        <v>4709.12</v>
      </c>
      <c r="O39" s="5">
        <f>276.04</f>
        <v>276.04000000000002</v>
      </c>
      <c r="P39" s="4"/>
      <c r="Q39" s="5">
        <f>2643.36</f>
        <v>2643.36</v>
      </c>
      <c r="R39" s="4"/>
      <c r="S39" s="5">
        <f>1479.6</f>
        <v>1479.6</v>
      </c>
      <c r="T39" s="5">
        <f>490.6</f>
        <v>490.6</v>
      </c>
      <c r="U39" s="5">
        <f>251.61</f>
        <v>251.61</v>
      </c>
      <c r="V39" s="5">
        <f>16636.24</f>
        <v>16636.240000000002</v>
      </c>
      <c r="W39" s="5">
        <f>4120.84</f>
        <v>4120.84</v>
      </c>
      <c r="X39" s="4"/>
      <c r="Y39" s="5">
        <f>8592.64</f>
        <v>8592.64</v>
      </c>
      <c r="Z39" s="5">
        <f>80.92</f>
        <v>80.92</v>
      </c>
      <c r="AA39" s="5">
        <f>4768.64</f>
        <v>4768.6400000000003</v>
      </c>
      <c r="AB39" s="4"/>
      <c r="AC39" s="5">
        <f>7429.3</f>
        <v>7429.3</v>
      </c>
      <c r="AD39" s="4"/>
      <c r="AE39" s="5">
        <f t="shared" si="6"/>
        <v>69224.61</v>
      </c>
    </row>
    <row r="40" spans="1:31" x14ac:dyDescent="0.25">
      <c r="A40" s="3" t="s">
        <v>64</v>
      </c>
      <c r="B40" s="5">
        <f>6947.17</f>
        <v>6947.17</v>
      </c>
      <c r="C40" s="4"/>
      <c r="D40" s="5">
        <f>1554.99</f>
        <v>1554.99</v>
      </c>
      <c r="E40" s="4"/>
      <c r="F40" s="5">
        <f>8194.28</f>
        <v>8194.2800000000007</v>
      </c>
      <c r="G40" s="4"/>
      <c r="H40" s="4"/>
      <c r="I40" s="4"/>
      <c r="J40" s="5">
        <f>3477.48</f>
        <v>3477.48</v>
      </c>
      <c r="K40" s="4"/>
      <c r="L40" s="4"/>
      <c r="M40" s="4"/>
      <c r="N40" s="5">
        <f>1750.52</f>
        <v>1750.52</v>
      </c>
      <c r="O40" s="4"/>
      <c r="P40" s="4"/>
      <c r="Q40" s="5">
        <f>2098.08</f>
        <v>2098.08</v>
      </c>
      <c r="R40" s="5">
        <f>21610.24</f>
        <v>21610.240000000002</v>
      </c>
      <c r="S40" s="4"/>
      <c r="T40" s="5">
        <f>2917.52</f>
        <v>2917.52</v>
      </c>
      <c r="U40" s="4"/>
      <c r="V40" s="5">
        <f>1349.66</f>
        <v>1349.66</v>
      </c>
      <c r="W40" s="4"/>
      <c r="X40" s="4"/>
      <c r="Y40" s="5">
        <f>1443.42</f>
        <v>1443.42</v>
      </c>
      <c r="Z40" s="4"/>
      <c r="AA40" s="4"/>
      <c r="AB40" s="4"/>
      <c r="AC40" s="4"/>
      <c r="AD40" s="4"/>
      <c r="AE40" s="5">
        <f t="shared" si="6"/>
        <v>51343.360000000008</v>
      </c>
    </row>
    <row r="41" spans="1:31" x14ac:dyDescent="0.25">
      <c r="A41" s="3" t="s">
        <v>65</v>
      </c>
      <c r="B41" s="4"/>
      <c r="C41" s="4"/>
      <c r="D41" s="5">
        <f>5698.75</f>
        <v>5698.75</v>
      </c>
      <c r="E41" s="4"/>
      <c r="F41" s="4"/>
      <c r="G41" s="5">
        <f>1378.26</f>
        <v>1378.26</v>
      </c>
      <c r="H41" s="5">
        <f>469</f>
        <v>469</v>
      </c>
      <c r="I41" s="4"/>
      <c r="J41" s="4"/>
      <c r="K41" s="4"/>
      <c r="L41" s="5">
        <f>-201.58</f>
        <v>-201.58</v>
      </c>
      <c r="M41" s="4"/>
      <c r="N41" s="4"/>
      <c r="O41" s="4"/>
      <c r="P41" s="4"/>
      <c r="Q41" s="5">
        <f>4131.04</f>
        <v>4131.04</v>
      </c>
      <c r="R41" s="4"/>
      <c r="S41" s="5">
        <f>2000.88</f>
        <v>2000.88</v>
      </c>
      <c r="T41" s="4"/>
      <c r="U41" s="4"/>
      <c r="V41" s="5">
        <f>11490.43</f>
        <v>11490.43</v>
      </c>
      <c r="W41" s="5">
        <f>2508.12</f>
        <v>2508.12</v>
      </c>
      <c r="X41" s="4"/>
      <c r="Y41" s="5">
        <f>5176.14</f>
        <v>5176.1400000000003</v>
      </c>
      <c r="Z41" s="5">
        <f>418.62</f>
        <v>418.62</v>
      </c>
      <c r="AA41" s="5">
        <f>1143.18</f>
        <v>1143.18</v>
      </c>
      <c r="AB41" s="4"/>
      <c r="AC41" s="5">
        <f>2825.56</f>
        <v>2825.56</v>
      </c>
      <c r="AD41" s="4"/>
      <c r="AE41" s="5">
        <f t="shared" si="6"/>
        <v>37038.400000000001</v>
      </c>
    </row>
    <row r="42" spans="1:31" x14ac:dyDescent="0.25">
      <c r="A42" s="3" t="s">
        <v>66</v>
      </c>
      <c r="B42" s="5">
        <f>7827.77</f>
        <v>7827.77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5">
        <f>0</f>
        <v>0</v>
      </c>
      <c r="AE42" s="5">
        <f t="shared" si="6"/>
        <v>7827.77</v>
      </c>
    </row>
    <row r="43" spans="1:31" x14ac:dyDescent="0.25">
      <c r="A43" s="3" t="s">
        <v>67</v>
      </c>
      <c r="B43" s="4"/>
      <c r="C43" s="4"/>
      <c r="D43" s="5">
        <f>1150.7</f>
        <v>1150.7</v>
      </c>
      <c r="E43" s="4"/>
      <c r="F43" s="5">
        <f>1524.66</f>
        <v>1524.66</v>
      </c>
      <c r="G43" s="5">
        <f>169.04</f>
        <v>169.04</v>
      </c>
      <c r="H43" s="4"/>
      <c r="I43" s="5">
        <f>385.84</f>
        <v>385.84</v>
      </c>
      <c r="J43" s="5">
        <f>297.98</f>
        <v>297.98</v>
      </c>
      <c r="K43" s="4"/>
      <c r="L43" s="4"/>
      <c r="M43" s="5">
        <f>93.18</f>
        <v>93.18</v>
      </c>
      <c r="N43" s="5">
        <f>2888.94</f>
        <v>2888.94</v>
      </c>
      <c r="O43" s="5">
        <f>184.02</f>
        <v>184.02</v>
      </c>
      <c r="P43" s="4"/>
      <c r="Q43" s="5">
        <f>529.74</f>
        <v>529.74</v>
      </c>
      <c r="R43" s="4"/>
      <c r="S43" s="5">
        <f>258.34</f>
        <v>258.33999999999997</v>
      </c>
      <c r="T43" s="4"/>
      <c r="U43" s="4"/>
      <c r="V43" s="4"/>
      <c r="W43" s="5">
        <f>569.38</f>
        <v>569.38</v>
      </c>
      <c r="X43" s="4"/>
      <c r="Y43" s="5">
        <f>1019.54</f>
        <v>1019.54</v>
      </c>
      <c r="Z43" s="4"/>
      <c r="AA43" s="5">
        <f>594.94</f>
        <v>594.94000000000005</v>
      </c>
      <c r="AB43" s="4"/>
      <c r="AC43" s="5">
        <f>902.35</f>
        <v>902.35</v>
      </c>
      <c r="AD43" s="4"/>
      <c r="AE43" s="5">
        <f t="shared" si="6"/>
        <v>10568.650000000001</v>
      </c>
    </row>
    <row r="44" spans="1:31" x14ac:dyDescent="0.25">
      <c r="A44" s="3" t="s">
        <v>68</v>
      </c>
      <c r="B44" s="4"/>
      <c r="C44" s="4"/>
      <c r="D44" s="5">
        <f>50.88</f>
        <v>50.88</v>
      </c>
      <c r="E44" s="4"/>
      <c r="F44" s="4"/>
      <c r="G44" s="5">
        <f>9.44</f>
        <v>9.44</v>
      </c>
      <c r="H44" s="5">
        <f>17.12</f>
        <v>17.12</v>
      </c>
      <c r="I44" s="4"/>
      <c r="J44" s="4"/>
      <c r="K44" s="4"/>
      <c r="L44" s="5">
        <f>-1.44</f>
        <v>-1.44</v>
      </c>
      <c r="M44" s="4"/>
      <c r="N44" s="4"/>
      <c r="O44" s="4"/>
      <c r="P44" s="4"/>
      <c r="Q44" s="5">
        <f>35.84</f>
        <v>35.840000000000003</v>
      </c>
      <c r="R44" s="4"/>
      <c r="S44" s="5">
        <f>20</f>
        <v>20</v>
      </c>
      <c r="T44" s="4"/>
      <c r="U44" s="4"/>
      <c r="V44" s="5">
        <f>116.48</f>
        <v>116.48</v>
      </c>
      <c r="W44" s="5">
        <f>31.84</f>
        <v>31.84</v>
      </c>
      <c r="X44" s="4"/>
      <c r="Y44" s="5">
        <f>64.96</f>
        <v>64.959999999999994</v>
      </c>
      <c r="Z44" s="5">
        <f>2.4</f>
        <v>2.4</v>
      </c>
      <c r="AA44" s="5">
        <f>13.92</f>
        <v>13.92</v>
      </c>
      <c r="AB44" s="4"/>
      <c r="AC44" s="5">
        <f>29.76</f>
        <v>29.76</v>
      </c>
      <c r="AD44" s="4"/>
      <c r="AE44" s="5">
        <f t="shared" si="6"/>
        <v>391.19999999999993</v>
      </c>
    </row>
    <row r="45" spans="1:31" x14ac:dyDescent="0.25">
      <c r="A45" s="3" t="s">
        <v>69</v>
      </c>
      <c r="B45" s="6">
        <f t="shared" ref="B45:AD45" si="8">((((((((((B34)+(B35))+(B36))+(B37))+(B38))+(B39))+(B40))+(B41))+(B42))+(B43))+(B44)</f>
        <v>21420.21</v>
      </c>
      <c r="C45" s="6">
        <f t="shared" si="8"/>
        <v>0</v>
      </c>
      <c r="D45" s="6">
        <f t="shared" si="8"/>
        <v>18291.650000000001</v>
      </c>
      <c r="E45" s="6">
        <f t="shared" si="8"/>
        <v>523.83000000000004</v>
      </c>
      <c r="F45" s="6">
        <f t="shared" si="8"/>
        <v>16918.800000000003</v>
      </c>
      <c r="G45" s="6">
        <f t="shared" si="8"/>
        <v>3099.86</v>
      </c>
      <c r="H45" s="6">
        <f t="shared" si="8"/>
        <v>2298.3399999999997</v>
      </c>
      <c r="I45" s="6">
        <f t="shared" si="8"/>
        <v>1406.54</v>
      </c>
      <c r="J45" s="6">
        <f t="shared" si="8"/>
        <v>4860.7800000000007</v>
      </c>
      <c r="K45" s="6">
        <f t="shared" si="8"/>
        <v>0</v>
      </c>
      <c r="L45" s="6">
        <f t="shared" si="8"/>
        <v>-424.6</v>
      </c>
      <c r="M45" s="6">
        <f t="shared" si="8"/>
        <v>505.43</v>
      </c>
      <c r="N45" s="6">
        <f t="shared" si="8"/>
        <v>11836.11</v>
      </c>
      <c r="O45" s="6">
        <f t="shared" si="8"/>
        <v>589.87</v>
      </c>
      <c r="P45" s="6">
        <f t="shared" si="8"/>
        <v>14.5</v>
      </c>
      <c r="Q45" s="6">
        <f t="shared" si="8"/>
        <v>10341.57</v>
      </c>
      <c r="R45" s="6">
        <f t="shared" si="8"/>
        <v>29209.620000000003</v>
      </c>
      <c r="S45" s="6">
        <f t="shared" si="8"/>
        <v>3942.4800000000005</v>
      </c>
      <c r="T45" s="6">
        <f t="shared" si="8"/>
        <v>4569.8999999999996</v>
      </c>
      <c r="U45" s="6">
        <f t="shared" si="8"/>
        <v>278.14</v>
      </c>
      <c r="V45" s="6">
        <f t="shared" si="8"/>
        <v>31736.36</v>
      </c>
      <c r="W45" s="6">
        <f t="shared" si="8"/>
        <v>7625.9400000000005</v>
      </c>
      <c r="X45" s="6">
        <f t="shared" si="8"/>
        <v>0</v>
      </c>
      <c r="Y45" s="6">
        <f t="shared" si="8"/>
        <v>17523.900000000001</v>
      </c>
      <c r="Z45" s="6">
        <f t="shared" si="8"/>
        <v>523.08000000000004</v>
      </c>
      <c r="AA45" s="6">
        <f t="shared" si="8"/>
        <v>6941.8000000000011</v>
      </c>
      <c r="AB45" s="6">
        <f t="shared" si="8"/>
        <v>0</v>
      </c>
      <c r="AC45" s="6">
        <f t="shared" si="8"/>
        <v>11824.58</v>
      </c>
      <c r="AD45" s="6">
        <f t="shared" si="8"/>
        <v>0</v>
      </c>
      <c r="AE45" s="6">
        <f t="shared" si="6"/>
        <v>205858.68999999992</v>
      </c>
    </row>
    <row r="46" spans="1:31" x14ac:dyDescent="0.25">
      <c r="A46" s="3" t="s">
        <v>70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5">
        <f t="shared" si="6"/>
        <v>0</v>
      </c>
    </row>
    <row r="47" spans="1:31" x14ac:dyDescent="0.25">
      <c r="A47" s="3" t="s">
        <v>71</v>
      </c>
      <c r="B47" s="5">
        <f>5158.67</f>
        <v>5158.67</v>
      </c>
      <c r="C47" s="4"/>
      <c r="D47" s="5">
        <f>3325.92</f>
        <v>3325.92</v>
      </c>
      <c r="E47" s="4"/>
      <c r="F47" s="5">
        <f>233</f>
        <v>233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>
        <f>63.25</f>
        <v>63.25</v>
      </c>
      <c r="S47" s="4"/>
      <c r="T47" s="4"/>
      <c r="U47" s="4"/>
      <c r="V47" s="5">
        <f>1276.31</f>
        <v>1276.31</v>
      </c>
      <c r="W47" s="4"/>
      <c r="X47" s="4"/>
      <c r="Y47" s="4"/>
      <c r="Z47" s="4"/>
      <c r="AA47" s="5">
        <f>-1569.13</f>
        <v>-1569.13</v>
      </c>
      <c r="AB47" s="4"/>
      <c r="AC47" s="5">
        <f>73.25</f>
        <v>73.25</v>
      </c>
      <c r="AD47" s="4"/>
      <c r="AE47" s="5">
        <f t="shared" si="6"/>
        <v>8561.27</v>
      </c>
    </row>
    <row r="48" spans="1:31" x14ac:dyDescent="0.25">
      <c r="A48" s="3" t="s">
        <v>72</v>
      </c>
      <c r="B48" s="5">
        <f>17600</f>
        <v>17600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5">
        <f t="shared" si="6"/>
        <v>17600</v>
      </c>
    </row>
    <row r="49" spans="1:31" x14ac:dyDescent="0.25">
      <c r="A49" s="3" t="s">
        <v>73</v>
      </c>
      <c r="B49" s="5">
        <f>1308.31</f>
        <v>1308.31</v>
      </c>
      <c r="C49" s="4"/>
      <c r="D49" s="4"/>
      <c r="E49" s="4"/>
      <c r="F49" s="5">
        <f>1027.95</f>
        <v>1027.95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5">
        <f t="shared" si="6"/>
        <v>2336.2600000000002</v>
      </c>
    </row>
    <row r="50" spans="1:31" x14ac:dyDescent="0.25">
      <c r="A50" s="3" t="s">
        <v>74</v>
      </c>
      <c r="B50" s="5">
        <f>162.18</f>
        <v>162.18</v>
      </c>
      <c r="C50" s="4"/>
      <c r="D50" s="5">
        <f>121.32</f>
        <v>121.32</v>
      </c>
      <c r="E50" s="4"/>
      <c r="F50" s="5">
        <f>1130.1</f>
        <v>1130.0999999999999</v>
      </c>
      <c r="G50" s="5">
        <f>20.22</f>
        <v>20.22</v>
      </c>
      <c r="H50" s="5">
        <f>20.22</f>
        <v>20.22</v>
      </c>
      <c r="I50" s="5">
        <f>40.44</f>
        <v>40.44</v>
      </c>
      <c r="J50" s="4"/>
      <c r="K50" s="4"/>
      <c r="L50" s="4"/>
      <c r="M50" s="5">
        <f>20.22</f>
        <v>20.22</v>
      </c>
      <c r="N50" s="4"/>
      <c r="O50" s="4"/>
      <c r="P50" s="4"/>
      <c r="Q50" s="5">
        <f>20.22</f>
        <v>20.22</v>
      </c>
      <c r="R50" s="4"/>
      <c r="S50" s="4"/>
      <c r="T50" s="4"/>
      <c r="U50" s="4"/>
      <c r="V50" s="5">
        <f>181.98</f>
        <v>181.98</v>
      </c>
      <c r="W50" s="5">
        <f>40.44</f>
        <v>40.44</v>
      </c>
      <c r="X50" s="4"/>
      <c r="Y50" s="5">
        <f>60.66</f>
        <v>60.66</v>
      </c>
      <c r="Z50" s="4"/>
      <c r="AA50" s="4"/>
      <c r="AB50" s="4"/>
      <c r="AC50" s="4"/>
      <c r="AD50" s="4"/>
      <c r="AE50" s="5">
        <f t="shared" si="6"/>
        <v>1818.0000000000002</v>
      </c>
    </row>
    <row r="51" spans="1:31" x14ac:dyDescent="0.25">
      <c r="A51" s="3" t="s">
        <v>75</v>
      </c>
      <c r="B51" s="6">
        <f t="shared" ref="B51:AD51" si="9">((((B46)+(B47))+(B48))+(B49))+(B50)</f>
        <v>24229.16</v>
      </c>
      <c r="C51" s="6">
        <f t="shared" si="9"/>
        <v>0</v>
      </c>
      <c r="D51" s="6">
        <f t="shared" si="9"/>
        <v>3447.2400000000002</v>
      </c>
      <c r="E51" s="6">
        <f t="shared" si="9"/>
        <v>0</v>
      </c>
      <c r="F51" s="6">
        <f t="shared" si="9"/>
        <v>2391.0500000000002</v>
      </c>
      <c r="G51" s="6">
        <f t="shared" si="9"/>
        <v>20.22</v>
      </c>
      <c r="H51" s="6">
        <f t="shared" si="9"/>
        <v>20.22</v>
      </c>
      <c r="I51" s="6">
        <f t="shared" si="9"/>
        <v>40.44</v>
      </c>
      <c r="J51" s="6">
        <f t="shared" si="9"/>
        <v>0</v>
      </c>
      <c r="K51" s="6">
        <f t="shared" si="9"/>
        <v>0</v>
      </c>
      <c r="L51" s="6">
        <f t="shared" si="9"/>
        <v>0</v>
      </c>
      <c r="M51" s="6">
        <f t="shared" si="9"/>
        <v>20.22</v>
      </c>
      <c r="N51" s="6">
        <f t="shared" si="9"/>
        <v>0</v>
      </c>
      <c r="O51" s="6">
        <f t="shared" si="9"/>
        <v>0</v>
      </c>
      <c r="P51" s="6">
        <f t="shared" si="9"/>
        <v>0</v>
      </c>
      <c r="Q51" s="6">
        <f t="shared" si="9"/>
        <v>20.22</v>
      </c>
      <c r="R51" s="6">
        <f t="shared" si="9"/>
        <v>63.25</v>
      </c>
      <c r="S51" s="6">
        <f t="shared" si="9"/>
        <v>0</v>
      </c>
      <c r="T51" s="6">
        <f t="shared" si="9"/>
        <v>0</v>
      </c>
      <c r="U51" s="6">
        <f t="shared" si="9"/>
        <v>0</v>
      </c>
      <c r="V51" s="6">
        <f t="shared" si="9"/>
        <v>1458.29</v>
      </c>
      <c r="W51" s="6">
        <f t="shared" si="9"/>
        <v>40.44</v>
      </c>
      <c r="X51" s="6">
        <f t="shared" si="9"/>
        <v>0</v>
      </c>
      <c r="Y51" s="6">
        <f t="shared" si="9"/>
        <v>60.66</v>
      </c>
      <c r="Z51" s="6">
        <f t="shared" si="9"/>
        <v>0</v>
      </c>
      <c r="AA51" s="6">
        <f t="shared" si="9"/>
        <v>-1569.13</v>
      </c>
      <c r="AB51" s="6">
        <f t="shared" si="9"/>
        <v>0</v>
      </c>
      <c r="AC51" s="6">
        <f t="shared" si="9"/>
        <v>73.25</v>
      </c>
      <c r="AD51" s="6">
        <f t="shared" si="9"/>
        <v>0</v>
      </c>
      <c r="AE51" s="6">
        <f t="shared" si="6"/>
        <v>30315.530000000002</v>
      </c>
    </row>
    <row r="52" spans="1:31" x14ac:dyDescent="0.25">
      <c r="A52" s="3" t="s">
        <v>76</v>
      </c>
      <c r="B52" s="5">
        <f>11045.75</f>
        <v>11045.75</v>
      </c>
      <c r="C52" s="4"/>
      <c r="D52" s="5">
        <f>85</f>
        <v>85</v>
      </c>
      <c r="E52" s="4"/>
      <c r="F52" s="5">
        <f>430.75</f>
        <v>430.75</v>
      </c>
      <c r="G52" s="4"/>
      <c r="H52" s="5">
        <f>7791.05</f>
        <v>7791.05</v>
      </c>
      <c r="I52" s="4"/>
      <c r="J52" s="4"/>
      <c r="K52" s="4"/>
      <c r="L52" s="4"/>
      <c r="M52" s="4"/>
      <c r="N52" s="4"/>
      <c r="O52" s="4"/>
      <c r="P52" s="4"/>
      <c r="Q52" s="5">
        <f>44879.35</f>
        <v>44879.35</v>
      </c>
      <c r="R52" s="4"/>
      <c r="S52" s="4"/>
      <c r="T52" s="4"/>
      <c r="U52" s="4"/>
      <c r="V52" s="4"/>
      <c r="W52" s="4"/>
      <c r="X52" s="4"/>
      <c r="Y52" s="5">
        <f>142207.51</f>
        <v>142207.51</v>
      </c>
      <c r="Z52" s="4"/>
      <c r="AA52" s="5">
        <f>0</f>
        <v>0</v>
      </c>
      <c r="AB52" s="5">
        <f>137044.39</f>
        <v>137044.39000000001</v>
      </c>
      <c r="AC52" s="5">
        <f>170</f>
        <v>170</v>
      </c>
      <c r="AD52" s="4"/>
      <c r="AE52" s="5">
        <f t="shared" si="6"/>
        <v>343653.80000000005</v>
      </c>
    </row>
    <row r="53" spans="1:31" x14ac:dyDescent="0.25">
      <c r="A53" s="3" t="s">
        <v>77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5">
        <f t="shared" si="6"/>
        <v>0</v>
      </c>
    </row>
    <row r="54" spans="1:31" x14ac:dyDescent="0.25">
      <c r="A54" s="3" t="s">
        <v>78</v>
      </c>
      <c r="B54" s="5">
        <f>452.1</f>
        <v>452.1</v>
      </c>
      <c r="C54" s="4"/>
      <c r="D54" s="4"/>
      <c r="E54" s="4"/>
      <c r="F54" s="5">
        <f>917.9</f>
        <v>917.9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5">
        <f t="shared" si="6"/>
        <v>1370</v>
      </c>
    </row>
    <row r="55" spans="1:31" x14ac:dyDescent="0.25">
      <c r="A55" s="3" t="s">
        <v>79</v>
      </c>
      <c r="B55" s="5">
        <f>246.19</f>
        <v>246.19</v>
      </c>
      <c r="C55" s="4"/>
      <c r="D55" s="4"/>
      <c r="E55" s="4"/>
      <c r="F55" s="5">
        <f>669.86</f>
        <v>669.86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5">
        <f t="shared" si="6"/>
        <v>916.05</v>
      </c>
    </row>
    <row r="56" spans="1:31" x14ac:dyDescent="0.25">
      <c r="A56" s="3" t="s">
        <v>80</v>
      </c>
      <c r="B56" s="5">
        <f>4761.18</f>
        <v>4761.18</v>
      </c>
      <c r="C56" s="4"/>
      <c r="D56" s="4"/>
      <c r="E56" s="4"/>
      <c r="F56" s="5">
        <f>83393.36</f>
        <v>83393.36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5">
        <f>2129.9</f>
        <v>2129.9</v>
      </c>
      <c r="AC56" s="4"/>
      <c r="AD56" s="4"/>
      <c r="AE56" s="5">
        <f t="shared" si="6"/>
        <v>90284.44</v>
      </c>
    </row>
    <row r="57" spans="1:31" x14ac:dyDescent="0.25">
      <c r="A57" s="3" t="s">
        <v>81</v>
      </c>
      <c r="B57" s="4"/>
      <c r="C57" s="4"/>
      <c r="D57" s="5">
        <f>14000</f>
        <v>14000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5">
        <f>700</f>
        <v>700</v>
      </c>
      <c r="P57" s="4"/>
      <c r="Q57" s="4"/>
      <c r="R57" s="4"/>
      <c r="S57" s="4"/>
      <c r="T57" s="4"/>
      <c r="U57" s="4"/>
      <c r="V57" s="4"/>
      <c r="W57" s="4"/>
      <c r="X57" s="4"/>
      <c r="Y57" s="5">
        <f>7000</f>
        <v>7000</v>
      </c>
      <c r="Z57" s="4"/>
      <c r="AA57" s="4"/>
      <c r="AB57" s="4"/>
      <c r="AC57" s="4"/>
      <c r="AD57" s="4"/>
      <c r="AE57" s="5">
        <f t="shared" si="6"/>
        <v>21700</v>
      </c>
    </row>
    <row r="58" spans="1:31" x14ac:dyDescent="0.25">
      <c r="A58" s="3" t="s">
        <v>82</v>
      </c>
      <c r="B58" s="5">
        <f>1738.01</f>
        <v>1738.01</v>
      </c>
      <c r="C58" s="4"/>
      <c r="D58" s="4"/>
      <c r="E58" s="4"/>
      <c r="F58" s="5">
        <f>3549.38</f>
        <v>3549.38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5">
        <f t="shared" si="6"/>
        <v>5287.39</v>
      </c>
    </row>
    <row r="59" spans="1:31" x14ac:dyDescent="0.25">
      <c r="A59" s="3" t="s">
        <v>83</v>
      </c>
      <c r="B59" s="5">
        <f>555.53</f>
        <v>555.53</v>
      </c>
      <c r="C59" s="4"/>
      <c r="D59" s="5">
        <f>158.64</f>
        <v>158.63999999999999</v>
      </c>
      <c r="E59" s="4"/>
      <c r="F59" s="5">
        <f>196.66</f>
        <v>196.66</v>
      </c>
      <c r="G59" s="4"/>
      <c r="H59" s="4"/>
      <c r="I59" s="5">
        <f>73.32</f>
        <v>73.319999999999993</v>
      </c>
      <c r="J59" s="4"/>
      <c r="K59" s="4"/>
      <c r="L59" s="4"/>
      <c r="M59" s="4"/>
      <c r="N59" s="4"/>
      <c r="O59" s="5">
        <f>36.66</f>
        <v>36.659999999999997</v>
      </c>
      <c r="P59" s="4"/>
      <c r="Q59" s="5">
        <f>73.32</f>
        <v>73.319999999999993</v>
      </c>
      <c r="R59" s="4"/>
      <c r="S59" s="4"/>
      <c r="T59" s="4"/>
      <c r="U59" s="4"/>
      <c r="V59" s="5">
        <f>392.73</f>
        <v>392.73</v>
      </c>
      <c r="W59" s="4"/>
      <c r="X59" s="4"/>
      <c r="Y59" s="5">
        <f>109.98</f>
        <v>109.98</v>
      </c>
      <c r="Z59" s="5">
        <f>331.58</f>
        <v>331.58</v>
      </c>
      <c r="AA59" s="5">
        <f>36.66</f>
        <v>36.659999999999997</v>
      </c>
      <c r="AB59" s="4"/>
      <c r="AC59" s="5">
        <f>73.32</f>
        <v>73.319999999999993</v>
      </c>
      <c r="AD59" s="4"/>
      <c r="AE59" s="5">
        <f t="shared" si="6"/>
        <v>2038.3999999999999</v>
      </c>
    </row>
    <row r="60" spans="1:31" x14ac:dyDescent="0.25">
      <c r="A60" s="3" t="s">
        <v>84</v>
      </c>
      <c r="B60" s="4"/>
      <c r="C60" s="4"/>
      <c r="D60" s="4"/>
      <c r="E60" s="4"/>
      <c r="F60" s="5">
        <f>327.19</f>
        <v>327.19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5">
        <f t="shared" si="6"/>
        <v>327.19</v>
      </c>
    </row>
    <row r="61" spans="1:31" x14ac:dyDescent="0.25">
      <c r="A61" s="3" t="s">
        <v>85</v>
      </c>
      <c r="B61" s="5">
        <f>2195.33</f>
        <v>2195.33</v>
      </c>
      <c r="C61" s="4"/>
      <c r="D61" s="4"/>
      <c r="E61" s="4"/>
      <c r="F61" s="5">
        <f>4524.76</f>
        <v>4524.76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>
        <f>1131.19</f>
        <v>1131.19</v>
      </c>
      <c r="Z61" s="4"/>
      <c r="AA61" s="5">
        <f>1276</f>
        <v>1276</v>
      </c>
      <c r="AB61" s="4"/>
      <c r="AC61" s="5">
        <f>2972.64</f>
        <v>2972.64</v>
      </c>
      <c r="AD61" s="4"/>
      <c r="AE61" s="5">
        <f t="shared" si="6"/>
        <v>12099.92</v>
      </c>
    </row>
    <row r="62" spans="1:31" x14ac:dyDescent="0.25">
      <c r="A62" s="3" t="s">
        <v>86</v>
      </c>
      <c r="B62" s="6">
        <f t="shared" ref="B62:AD62" si="10">((((((((B53)+(B54))+(B55))+(B56))+(B57))+(B58))+(B59))+(B60))+(B61)</f>
        <v>9948.34</v>
      </c>
      <c r="C62" s="6">
        <f t="shared" si="10"/>
        <v>0</v>
      </c>
      <c r="D62" s="6">
        <f t="shared" si="10"/>
        <v>14158.64</v>
      </c>
      <c r="E62" s="6">
        <f t="shared" si="10"/>
        <v>0</v>
      </c>
      <c r="F62" s="6">
        <f t="shared" si="10"/>
        <v>93579.11</v>
      </c>
      <c r="G62" s="6">
        <f t="shared" si="10"/>
        <v>0</v>
      </c>
      <c r="H62" s="6">
        <f t="shared" si="10"/>
        <v>0</v>
      </c>
      <c r="I62" s="6">
        <f t="shared" si="10"/>
        <v>73.319999999999993</v>
      </c>
      <c r="J62" s="6">
        <f t="shared" si="10"/>
        <v>0</v>
      </c>
      <c r="K62" s="6">
        <f t="shared" si="10"/>
        <v>0</v>
      </c>
      <c r="L62" s="6">
        <f t="shared" si="10"/>
        <v>0</v>
      </c>
      <c r="M62" s="6">
        <f t="shared" si="10"/>
        <v>0</v>
      </c>
      <c r="N62" s="6">
        <f t="shared" si="10"/>
        <v>0</v>
      </c>
      <c r="O62" s="6">
        <f t="shared" si="10"/>
        <v>736.66</v>
      </c>
      <c r="P62" s="6">
        <f t="shared" si="10"/>
        <v>0</v>
      </c>
      <c r="Q62" s="6">
        <f t="shared" si="10"/>
        <v>73.319999999999993</v>
      </c>
      <c r="R62" s="6">
        <f t="shared" si="10"/>
        <v>0</v>
      </c>
      <c r="S62" s="6">
        <f t="shared" si="10"/>
        <v>0</v>
      </c>
      <c r="T62" s="6">
        <f t="shared" si="10"/>
        <v>0</v>
      </c>
      <c r="U62" s="6">
        <f t="shared" si="10"/>
        <v>0</v>
      </c>
      <c r="V62" s="6">
        <f t="shared" si="10"/>
        <v>392.73</v>
      </c>
      <c r="W62" s="6">
        <f t="shared" si="10"/>
        <v>0</v>
      </c>
      <c r="X62" s="6">
        <f t="shared" si="10"/>
        <v>0</v>
      </c>
      <c r="Y62" s="6">
        <f t="shared" si="10"/>
        <v>8241.17</v>
      </c>
      <c r="Z62" s="6">
        <f t="shared" si="10"/>
        <v>331.58</v>
      </c>
      <c r="AA62" s="6">
        <f t="shared" si="10"/>
        <v>1312.66</v>
      </c>
      <c r="AB62" s="6">
        <f t="shared" si="10"/>
        <v>2129.9</v>
      </c>
      <c r="AC62" s="6">
        <f t="shared" si="10"/>
        <v>3045.96</v>
      </c>
      <c r="AD62" s="6">
        <f t="shared" si="10"/>
        <v>0</v>
      </c>
      <c r="AE62" s="6">
        <f t="shared" ref="AE62:AE90" si="11">((((((((((((((((((((((((((((B62)+(C62))+(D62))+(E62))+(F62))+(G62))+(H62))+(I62))+(J62))+(K62))+(L62))+(M62))+(N62))+(O62))+(P62))+(Q62))+(R62))+(S62))+(T62))+(U62))+(V62))+(W62))+(X62))+(Y62))+(Z62))+(AA62))+(AB62))+(AC62))+(AD62)</f>
        <v>134023.39000000001</v>
      </c>
    </row>
    <row r="63" spans="1:31" x14ac:dyDescent="0.25">
      <c r="A63" s="3" t="s">
        <v>87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5">
        <f t="shared" si="11"/>
        <v>0</v>
      </c>
    </row>
    <row r="64" spans="1:31" x14ac:dyDescent="0.25">
      <c r="A64" s="3" t="s">
        <v>88</v>
      </c>
      <c r="B64" s="5">
        <f>7996.4</f>
        <v>7996.4</v>
      </c>
      <c r="C64" s="4"/>
      <c r="D64" s="4"/>
      <c r="E64" s="4"/>
      <c r="F64" s="5">
        <f>3011.52</f>
        <v>3011.52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5">
        <f t="shared" si="11"/>
        <v>11007.92</v>
      </c>
    </row>
    <row r="65" spans="1:31" x14ac:dyDescent="0.25">
      <c r="A65" s="3" t="s">
        <v>89</v>
      </c>
      <c r="B65" s="5">
        <f>2277.5</f>
        <v>2277.5</v>
      </c>
      <c r="C65" s="4"/>
      <c r="D65" s="4"/>
      <c r="E65" s="4"/>
      <c r="F65" s="5">
        <f>2277.5</f>
        <v>2277.5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5">
        <f t="shared" si="11"/>
        <v>4555</v>
      </c>
    </row>
    <row r="66" spans="1:31" x14ac:dyDescent="0.25">
      <c r="A66" s="3" t="s">
        <v>90</v>
      </c>
      <c r="B66" s="5">
        <f>856.82</f>
        <v>856.82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5">
        <f t="shared" si="11"/>
        <v>856.82</v>
      </c>
    </row>
    <row r="67" spans="1:31" x14ac:dyDescent="0.25">
      <c r="A67" s="3" t="s">
        <v>91</v>
      </c>
      <c r="B67" s="6">
        <f t="shared" ref="B67:AD67" si="12">(((B63)+(B64))+(B65))+(B66)</f>
        <v>11130.72</v>
      </c>
      <c r="C67" s="6">
        <f t="shared" si="12"/>
        <v>0</v>
      </c>
      <c r="D67" s="6">
        <f t="shared" si="12"/>
        <v>0</v>
      </c>
      <c r="E67" s="6">
        <f t="shared" si="12"/>
        <v>0</v>
      </c>
      <c r="F67" s="6">
        <f t="shared" si="12"/>
        <v>5289.02</v>
      </c>
      <c r="G67" s="6">
        <f t="shared" si="12"/>
        <v>0</v>
      </c>
      <c r="H67" s="6">
        <f t="shared" si="12"/>
        <v>0</v>
      </c>
      <c r="I67" s="6">
        <f t="shared" si="12"/>
        <v>0</v>
      </c>
      <c r="J67" s="6">
        <f t="shared" si="12"/>
        <v>0</v>
      </c>
      <c r="K67" s="6">
        <f t="shared" si="12"/>
        <v>0</v>
      </c>
      <c r="L67" s="6">
        <f t="shared" si="12"/>
        <v>0</v>
      </c>
      <c r="M67" s="6">
        <f t="shared" si="12"/>
        <v>0</v>
      </c>
      <c r="N67" s="6">
        <f t="shared" si="12"/>
        <v>0</v>
      </c>
      <c r="O67" s="6">
        <f t="shared" si="12"/>
        <v>0</v>
      </c>
      <c r="P67" s="6">
        <f t="shared" si="12"/>
        <v>0</v>
      </c>
      <c r="Q67" s="6">
        <f t="shared" si="12"/>
        <v>0</v>
      </c>
      <c r="R67" s="6">
        <f t="shared" si="12"/>
        <v>0</v>
      </c>
      <c r="S67" s="6">
        <f t="shared" si="12"/>
        <v>0</v>
      </c>
      <c r="T67" s="6">
        <f t="shared" si="12"/>
        <v>0</v>
      </c>
      <c r="U67" s="6">
        <f t="shared" si="12"/>
        <v>0</v>
      </c>
      <c r="V67" s="6">
        <f t="shared" si="12"/>
        <v>0</v>
      </c>
      <c r="W67" s="6">
        <f t="shared" si="12"/>
        <v>0</v>
      </c>
      <c r="X67" s="6">
        <f t="shared" si="12"/>
        <v>0</v>
      </c>
      <c r="Y67" s="6">
        <f t="shared" si="12"/>
        <v>0</v>
      </c>
      <c r="Z67" s="6">
        <f t="shared" si="12"/>
        <v>0</v>
      </c>
      <c r="AA67" s="6">
        <f t="shared" si="12"/>
        <v>0</v>
      </c>
      <c r="AB67" s="6">
        <f t="shared" si="12"/>
        <v>0</v>
      </c>
      <c r="AC67" s="6">
        <f t="shared" si="12"/>
        <v>0</v>
      </c>
      <c r="AD67" s="6">
        <f t="shared" si="12"/>
        <v>0</v>
      </c>
      <c r="AE67" s="6">
        <f t="shared" si="11"/>
        <v>16419.739999999998</v>
      </c>
    </row>
    <row r="68" spans="1:31" x14ac:dyDescent="0.25">
      <c r="A68" s="3" t="s">
        <v>92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5">
        <f t="shared" si="11"/>
        <v>0</v>
      </c>
    </row>
    <row r="69" spans="1:31" x14ac:dyDescent="0.25">
      <c r="A69" s="3" t="s">
        <v>93</v>
      </c>
      <c r="B69" s="5">
        <f>205.8</f>
        <v>205.8</v>
      </c>
      <c r="C69" s="4"/>
      <c r="D69" s="4"/>
      <c r="E69" s="4"/>
      <c r="F69" s="5">
        <f>123.48</f>
        <v>123.48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>
        <f>82.31</f>
        <v>82.31</v>
      </c>
      <c r="W69" s="4"/>
      <c r="X69" s="4"/>
      <c r="Y69" s="4"/>
      <c r="Z69" s="4"/>
      <c r="AA69" s="4"/>
      <c r="AB69" s="4"/>
      <c r="AC69" s="4"/>
      <c r="AD69" s="4"/>
      <c r="AE69" s="5">
        <f t="shared" si="11"/>
        <v>411.59000000000003</v>
      </c>
    </row>
    <row r="70" spans="1:31" x14ac:dyDescent="0.25">
      <c r="A70" s="3" t="s">
        <v>94</v>
      </c>
      <c r="B70" s="5">
        <f>0</f>
        <v>0</v>
      </c>
      <c r="C70" s="4"/>
      <c r="D70" s="4"/>
      <c r="E70" s="4"/>
      <c r="F70" s="5">
        <f>0</f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>
        <f>0</f>
        <v>0</v>
      </c>
      <c r="W70" s="4"/>
      <c r="X70" s="4"/>
      <c r="Y70" s="4"/>
      <c r="Z70" s="4"/>
      <c r="AA70" s="4"/>
      <c r="AB70" s="4"/>
      <c r="AC70" s="4"/>
      <c r="AD70" s="4"/>
      <c r="AE70" s="5">
        <f t="shared" si="11"/>
        <v>0</v>
      </c>
    </row>
    <row r="71" spans="1:31" x14ac:dyDescent="0.25">
      <c r="A71" s="3" t="s">
        <v>95</v>
      </c>
      <c r="B71" s="5">
        <f>863.71</f>
        <v>863.71</v>
      </c>
      <c r="C71" s="4"/>
      <c r="D71" s="5">
        <f>487.99</f>
        <v>487.99</v>
      </c>
      <c r="E71" s="4"/>
      <c r="F71" s="5">
        <f>625.31</f>
        <v>625.30999999999995</v>
      </c>
      <c r="G71" s="5">
        <f>18.18</f>
        <v>18.18</v>
      </c>
      <c r="H71" s="4"/>
      <c r="I71" s="4"/>
      <c r="J71" s="4"/>
      <c r="K71" s="4"/>
      <c r="L71" s="4"/>
      <c r="M71" s="4"/>
      <c r="N71" s="4"/>
      <c r="O71" s="5">
        <f>17.32</f>
        <v>17.32</v>
      </c>
      <c r="P71" s="4"/>
      <c r="Q71" s="5">
        <f>56.24</f>
        <v>56.24</v>
      </c>
      <c r="R71" s="4"/>
      <c r="S71" s="4"/>
      <c r="T71" s="4"/>
      <c r="U71" s="4"/>
      <c r="V71" s="5">
        <f>592.93</f>
        <v>592.92999999999995</v>
      </c>
      <c r="W71" s="5">
        <f>99.27</f>
        <v>99.27</v>
      </c>
      <c r="X71" s="4"/>
      <c r="Y71" s="5">
        <f>90.04</f>
        <v>90.04</v>
      </c>
      <c r="Z71" s="4"/>
      <c r="AA71" s="4"/>
      <c r="AB71" s="4"/>
      <c r="AC71" s="4"/>
      <c r="AD71" s="4"/>
      <c r="AE71" s="5">
        <f t="shared" si="11"/>
        <v>2850.99</v>
      </c>
    </row>
    <row r="72" spans="1:31" x14ac:dyDescent="0.25">
      <c r="A72" s="3" t="s">
        <v>96</v>
      </c>
      <c r="B72" s="5">
        <f>472.51</f>
        <v>472.51</v>
      </c>
      <c r="C72" s="4"/>
      <c r="D72" s="4"/>
      <c r="E72" s="4"/>
      <c r="F72" s="5">
        <f>47.41</f>
        <v>47.41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>
        <f>1172.3</f>
        <v>1172.3</v>
      </c>
      <c r="W72" s="4"/>
      <c r="X72" s="4"/>
      <c r="Y72" s="4"/>
      <c r="Z72" s="4"/>
      <c r="AA72" s="4"/>
      <c r="AB72" s="4"/>
      <c r="AC72" s="4"/>
      <c r="AD72" s="4"/>
      <c r="AE72" s="5">
        <f t="shared" si="11"/>
        <v>1692.2199999999998</v>
      </c>
    </row>
    <row r="73" spans="1:31" x14ac:dyDescent="0.25">
      <c r="A73" s="3" t="s">
        <v>97</v>
      </c>
      <c r="B73" s="5">
        <f>3150.83</f>
        <v>3150.83</v>
      </c>
      <c r="C73" s="4"/>
      <c r="D73" s="5">
        <f>417.27</f>
        <v>417.27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5">
        <f>-502.54</f>
        <v>-502.54</v>
      </c>
      <c r="AC73" s="4"/>
      <c r="AD73" s="4"/>
      <c r="AE73" s="5">
        <f t="shared" si="11"/>
        <v>3065.56</v>
      </c>
    </row>
    <row r="74" spans="1:31" x14ac:dyDescent="0.25">
      <c r="A74" s="3" t="s">
        <v>98</v>
      </c>
      <c r="B74" s="5">
        <f>16776.5</f>
        <v>16776.5</v>
      </c>
      <c r="C74" s="4"/>
      <c r="D74" s="5">
        <f>3491.59</f>
        <v>3491.59</v>
      </c>
      <c r="E74" s="4"/>
      <c r="F74" s="5">
        <f>17837.87</f>
        <v>17837.87</v>
      </c>
      <c r="G74" s="5">
        <f>0</f>
        <v>0</v>
      </c>
      <c r="H74" s="5">
        <f>0</f>
        <v>0</v>
      </c>
      <c r="I74" s="4"/>
      <c r="J74" s="4"/>
      <c r="K74" s="4"/>
      <c r="L74" s="5">
        <f>667.2</f>
        <v>667.2</v>
      </c>
      <c r="M74" s="4"/>
      <c r="N74" s="4"/>
      <c r="O74" s="4"/>
      <c r="P74" s="4"/>
      <c r="Q74" s="5">
        <f>37478.95</f>
        <v>37478.949999999997</v>
      </c>
      <c r="R74" s="4"/>
      <c r="S74" s="4"/>
      <c r="T74" s="4"/>
      <c r="U74" s="4"/>
      <c r="V74" s="5">
        <f>2767.31</f>
        <v>2767.31</v>
      </c>
      <c r="W74" s="5">
        <f>11470.31</f>
        <v>11470.31</v>
      </c>
      <c r="X74" s="4"/>
      <c r="Y74" s="5">
        <f>9622</f>
        <v>9622</v>
      </c>
      <c r="Z74" s="4"/>
      <c r="AA74" s="5">
        <f>3000</f>
        <v>3000</v>
      </c>
      <c r="AB74" s="5">
        <f>1085.06</f>
        <v>1085.06</v>
      </c>
      <c r="AC74" s="5">
        <f>3000</f>
        <v>3000</v>
      </c>
      <c r="AD74" s="4"/>
      <c r="AE74" s="5">
        <f t="shared" si="11"/>
        <v>107196.78999999998</v>
      </c>
    </row>
    <row r="75" spans="1:31" x14ac:dyDescent="0.25">
      <c r="A75" s="3" t="s">
        <v>99</v>
      </c>
      <c r="B75" s="5">
        <f>7.99</f>
        <v>7.99</v>
      </c>
      <c r="C75" s="4"/>
      <c r="D75" s="4"/>
      <c r="E75" s="4"/>
      <c r="F75" s="5">
        <f>391.93</f>
        <v>391.93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5">
        <f t="shared" si="11"/>
        <v>399.92</v>
      </c>
    </row>
    <row r="76" spans="1:31" x14ac:dyDescent="0.25">
      <c r="A76" s="3" t="s">
        <v>100</v>
      </c>
      <c r="B76" s="6">
        <f t="shared" ref="B76:AD76" si="13">(((((((B68)+(B69))+(B70))+(B71))+(B72))+(B73))+(B74))+(B75)</f>
        <v>21477.34</v>
      </c>
      <c r="C76" s="6">
        <f t="shared" si="13"/>
        <v>0</v>
      </c>
      <c r="D76" s="6">
        <f t="shared" si="13"/>
        <v>4396.8500000000004</v>
      </c>
      <c r="E76" s="6">
        <f t="shared" si="13"/>
        <v>0</v>
      </c>
      <c r="F76" s="6">
        <f t="shared" si="13"/>
        <v>19026</v>
      </c>
      <c r="G76" s="6">
        <f t="shared" si="13"/>
        <v>18.18</v>
      </c>
      <c r="H76" s="6">
        <f t="shared" si="13"/>
        <v>0</v>
      </c>
      <c r="I76" s="6">
        <f t="shared" si="13"/>
        <v>0</v>
      </c>
      <c r="J76" s="6">
        <f t="shared" si="13"/>
        <v>0</v>
      </c>
      <c r="K76" s="6">
        <f t="shared" si="13"/>
        <v>0</v>
      </c>
      <c r="L76" s="6">
        <f t="shared" si="13"/>
        <v>667.2</v>
      </c>
      <c r="M76" s="6">
        <f t="shared" si="13"/>
        <v>0</v>
      </c>
      <c r="N76" s="6">
        <f t="shared" si="13"/>
        <v>0</v>
      </c>
      <c r="O76" s="6">
        <f t="shared" si="13"/>
        <v>17.32</v>
      </c>
      <c r="P76" s="6">
        <f t="shared" si="13"/>
        <v>0</v>
      </c>
      <c r="Q76" s="6">
        <f t="shared" si="13"/>
        <v>37535.189999999995</v>
      </c>
      <c r="R76" s="6">
        <f t="shared" si="13"/>
        <v>0</v>
      </c>
      <c r="S76" s="6">
        <f t="shared" si="13"/>
        <v>0</v>
      </c>
      <c r="T76" s="6">
        <f t="shared" si="13"/>
        <v>0</v>
      </c>
      <c r="U76" s="6">
        <f t="shared" si="13"/>
        <v>0</v>
      </c>
      <c r="V76" s="6">
        <f t="shared" si="13"/>
        <v>4614.8500000000004</v>
      </c>
      <c r="W76" s="6">
        <f t="shared" si="13"/>
        <v>11569.58</v>
      </c>
      <c r="X76" s="6">
        <f t="shared" si="13"/>
        <v>0</v>
      </c>
      <c r="Y76" s="6">
        <f t="shared" si="13"/>
        <v>9712.0400000000009</v>
      </c>
      <c r="Z76" s="6">
        <f t="shared" si="13"/>
        <v>0</v>
      </c>
      <c r="AA76" s="6">
        <f t="shared" si="13"/>
        <v>3000</v>
      </c>
      <c r="AB76" s="6">
        <f t="shared" si="13"/>
        <v>582.52</v>
      </c>
      <c r="AC76" s="6">
        <f t="shared" si="13"/>
        <v>3000</v>
      </c>
      <c r="AD76" s="6">
        <f t="shared" si="13"/>
        <v>0</v>
      </c>
      <c r="AE76" s="6">
        <f t="shared" si="11"/>
        <v>115617.06999999999</v>
      </c>
    </row>
    <row r="77" spans="1:31" x14ac:dyDescent="0.25">
      <c r="A77" s="3" t="s">
        <v>101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5">
        <f t="shared" si="11"/>
        <v>0</v>
      </c>
    </row>
    <row r="78" spans="1:31" x14ac:dyDescent="0.25">
      <c r="A78" s="3" t="s">
        <v>102</v>
      </c>
      <c r="B78" s="4"/>
      <c r="C78" s="4"/>
      <c r="D78" s="5">
        <f>13513.18</f>
        <v>13513.18</v>
      </c>
      <c r="E78" s="4"/>
      <c r="F78" s="5">
        <f>0</f>
        <v>0</v>
      </c>
      <c r="G78" s="4"/>
      <c r="H78" s="4"/>
      <c r="I78" s="4"/>
      <c r="J78" s="4"/>
      <c r="K78" s="4"/>
      <c r="L78" s="5">
        <f>94920</f>
        <v>94920</v>
      </c>
      <c r="M78" s="4"/>
      <c r="N78" s="5">
        <f>7519.45</f>
        <v>7519.45</v>
      </c>
      <c r="O78" s="4"/>
      <c r="P78" s="4"/>
      <c r="Q78" s="4"/>
      <c r="R78" s="4"/>
      <c r="S78" s="4"/>
      <c r="T78" s="4"/>
      <c r="U78" s="4"/>
      <c r="V78" s="5">
        <f>27912.5</f>
        <v>27912.5</v>
      </c>
      <c r="W78" s="4"/>
      <c r="X78" s="4"/>
      <c r="Y78" s="5">
        <f>0</f>
        <v>0</v>
      </c>
      <c r="Z78" s="4"/>
      <c r="AA78" s="5">
        <f>0</f>
        <v>0</v>
      </c>
      <c r="AB78" s="4"/>
      <c r="AC78" s="5">
        <f>20</f>
        <v>20</v>
      </c>
      <c r="AD78" s="4"/>
      <c r="AE78" s="5">
        <f t="shared" si="11"/>
        <v>143885.13</v>
      </c>
    </row>
    <row r="79" spans="1:31" x14ac:dyDescent="0.25">
      <c r="A79" s="3" t="s">
        <v>103</v>
      </c>
      <c r="B79" s="5">
        <f>2093</f>
        <v>2093</v>
      </c>
      <c r="C79" s="4"/>
      <c r="D79" s="5">
        <f>50</f>
        <v>50</v>
      </c>
      <c r="E79" s="4"/>
      <c r="F79" s="5">
        <f>4799</f>
        <v>4799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5">
        <f>6892.36</f>
        <v>6892.36</v>
      </c>
      <c r="R79" s="4"/>
      <c r="S79" s="4"/>
      <c r="T79" s="4"/>
      <c r="U79" s="4"/>
      <c r="V79" s="5">
        <f>859</f>
        <v>859</v>
      </c>
      <c r="W79" s="5">
        <f>213.64</f>
        <v>213.64</v>
      </c>
      <c r="X79" s="4"/>
      <c r="Y79" s="4"/>
      <c r="Z79" s="4"/>
      <c r="AA79" s="5">
        <f>845</f>
        <v>845</v>
      </c>
      <c r="AB79" s="5">
        <f>24446</f>
        <v>24446</v>
      </c>
      <c r="AC79" s="5">
        <f>0</f>
        <v>0</v>
      </c>
      <c r="AD79" s="4"/>
      <c r="AE79" s="5">
        <f t="shared" si="11"/>
        <v>40198</v>
      </c>
    </row>
    <row r="80" spans="1:31" x14ac:dyDescent="0.25">
      <c r="A80" s="3" t="s">
        <v>104</v>
      </c>
      <c r="B80" s="5">
        <f>-781.2</f>
        <v>-781.2</v>
      </c>
      <c r="C80" s="4"/>
      <c r="D80" s="5">
        <f>1799.24</f>
        <v>1799.24</v>
      </c>
      <c r="E80" s="4"/>
      <c r="F80" s="5">
        <f>-325.15</f>
        <v>-325.14999999999998</v>
      </c>
      <c r="G80" s="4"/>
      <c r="H80" s="4"/>
      <c r="I80" s="4"/>
      <c r="J80" s="4"/>
      <c r="K80" s="4"/>
      <c r="L80" s="4"/>
      <c r="M80" s="4"/>
      <c r="N80" s="4"/>
      <c r="O80" s="5">
        <f>23037.07</f>
        <v>23037.07</v>
      </c>
      <c r="P80" s="4"/>
      <c r="Q80" s="5">
        <f>5320.27</f>
        <v>5320.27</v>
      </c>
      <c r="R80" s="4"/>
      <c r="S80" s="5">
        <f>32145.28</f>
        <v>32145.279999999999</v>
      </c>
      <c r="T80" s="4"/>
      <c r="U80" s="4"/>
      <c r="V80" s="5">
        <f>3933.08</f>
        <v>3933.08</v>
      </c>
      <c r="W80" s="5">
        <f>1439.83</f>
        <v>1439.83</v>
      </c>
      <c r="X80" s="4"/>
      <c r="Y80" s="5">
        <f>4275.04</f>
        <v>4275.04</v>
      </c>
      <c r="Z80" s="4"/>
      <c r="AA80" s="5">
        <f>1308.54</f>
        <v>1308.54</v>
      </c>
      <c r="AB80" s="5">
        <f>2477.5</f>
        <v>2477.5</v>
      </c>
      <c r="AC80" s="5">
        <f>2144.25</f>
        <v>2144.25</v>
      </c>
      <c r="AD80" s="5"/>
      <c r="AE80" s="5">
        <f t="shared" si="11"/>
        <v>76773.749999999985</v>
      </c>
    </row>
    <row r="81" spans="1:31" x14ac:dyDescent="0.25">
      <c r="A81" s="3" t="s">
        <v>105</v>
      </c>
      <c r="B81" s="5">
        <f>0</f>
        <v>0</v>
      </c>
      <c r="C81" s="4"/>
      <c r="D81" s="5">
        <f>329.5</f>
        <v>329.5</v>
      </c>
      <c r="E81" s="4"/>
      <c r="F81" s="4"/>
      <c r="G81" s="4"/>
      <c r="H81" s="4"/>
      <c r="I81" s="4"/>
      <c r="J81" s="4"/>
      <c r="K81" s="4"/>
      <c r="L81" s="5">
        <f>2577.08</f>
        <v>2577.08</v>
      </c>
      <c r="M81" s="4"/>
      <c r="N81" s="4"/>
      <c r="O81" s="4"/>
      <c r="P81" s="4"/>
      <c r="Q81" s="4"/>
      <c r="R81" s="4"/>
      <c r="S81" s="4"/>
      <c r="T81" s="4"/>
      <c r="U81" s="4"/>
      <c r="V81" s="5">
        <f>1952.63</f>
        <v>1952.63</v>
      </c>
      <c r="W81" s="4"/>
      <c r="X81" s="4"/>
      <c r="Y81" s="5">
        <f>0</f>
        <v>0</v>
      </c>
      <c r="Z81" s="4"/>
      <c r="AA81" s="4"/>
      <c r="AB81" s="4"/>
      <c r="AC81" s="5">
        <f>0</f>
        <v>0</v>
      </c>
      <c r="AD81" s="4"/>
      <c r="AE81" s="5">
        <f t="shared" si="11"/>
        <v>4859.21</v>
      </c>
    </row>
    <row r="82" spans="1:31" x14ac:dyDescent="0.25">
      <c r="A82" s="3" t="s">
        <v>106</v>
      </c>
      <c r="B82" s="5">
        <f>878.45</f>
        <v>878.45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5">
        <f t="shared" si="11"/>
        <v>878.45</v>
      </c>
    </row>
    <row r="83" spans="1:31" x14ac:dyDescent="0.25">
      <c r="A83" s="3" t="s">
        <v>107</v>
      </c>
      <c r="B83" s="6">
        <f t="shared" ref="B83:AD83" si="14">(((((B77)+(B78))+(B79))+(B80))+(B81))+(B82)</f>
        <v>2190.25</v>
      </c>
      <c r="C83" s="6">
        <f t="shared" si="14"/>
        <v>0</v>
      </c>
      <c r="D83" s="6">
        <f t="shared" si="14"/>
        <v>15691.92</v>
      </c>
      <c r="E83" s="6">
        <f t="shared" si="14"/>
        <v>0</v>
      </c>
      <c r="F83" s="6">
        <f t="shared" si="14"/>
        <v>4473.8500000000004</v>
      </c>
      <c r="G83" s="6">
        <f t="shared" si="14"/>
        <v>0</v>
      </c>
      <c r="H83" s="6">
        <f t="shared" si="14"/>
        <v>0</v>
      </c>
      <c r="I83" s="6">
        <f t="shared" si="14"/>
        <v>0</v>
      </c>
      <c r="J83" s="6">
        <f t="shared" si="14"/>
        <v>0</v>
      </c>
      <c r="K83" s="6">
        <f t="shared" si="14"/>
        <v>0</v>
      </c>
      <c r="L83" s="6">
        <f t="shared" si="14"/>
        <v>97497.08</v>
      </c>
      <c r="M83" s="6">
        <f t="shared" si="14"/>
        <v>0</v>
      </c>
      <c r="N83" s="6">
        <f t="shared" si="14"/>
        <v>7519.45</v>
      </c>
      <c r="O83" s="6">
        <f t="shared" si="14"/>
        <v>23037.07</v>
      </c>
      <c r="P83" s="6">
        <f t="shared" si="14"/>
        <v>0</v>
      </c>
      <c r="Q83" s="6">
        <f t="shared" si="14"/>
        <v>12212.630000000001</v>
      </c>
      <c r="R83" s="6">
        <f t="shared" si="14"/>
        <v>0</v>
      </c>
      <c r="S83" s="6">
        <f t="shared" si="14"/>
        <v>32145.279999999999</v>
      </c>
      <c r="T83" s="6">
        <f t="shared" si="14"/>
        <v>0</v>
      </c>
      <c r="U83" s="6">
        <f t="shared" si="14"/>
        <v>0</v>
      </c>
      <c r="V83" s="6">
        <f t="shared" si="14"/>
        <v>34657.21</v>
      </c>
      <c r="W83" s="6">
        <f t="shared" si="14"/>
        <v>1653.4699999999998</v>
      </c>
      <c r="X83" s="6">
        <f t="shared" si="14"/>
        <v>0</v>
      </c>
      <c r="Y83" s="6">
        <f t="shared" si="14"/>
        <v>4275.04</v>
      </c>
      <c r="Z83" s="6">
        <f t="shared" si="14"/>
        <v>0</v>
      </c>
      <c r="AA83" s="6">
        <f t="shared" si="14"/>
        <v>2153.54</v>
      </c>
      <c r="AB83" s="6">
        <f t="shared" si="14"/>
        <v>26923.5</v>
      </c>
      <c r="AC83" s="6">
        <f t="shared" si="14"/>
        <v>2164.25</v>
      </c>
      <c r="AD83" s="6">
        <f t="shared" si="14"/>
        <v>0</v>
      </c>
      <c r="AE83" s="6">
        <f t="shared" si="11"/>
        <v>266594.54000000004</v>
      </c>
    </row>
    <row r="84" spans="1:31" x14ac:dyDescent="0.25">
      <c r="A84" s="3" t="s">
        <v>108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5">
        <f t="shared" si="11"/>
        <v>0</v>
      </c>
    </row>
    <row r="85" spans="1:31" x14ac:dyDescent="0.25">
      <c r="A85" s="3" t="s">
        <v>109</v>
      </c>
      <c r="B85" s="5">
        <f>39</f>
        <v>39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>
        <f>321.04</f>
        <v>321.04000000000002</v>
      </c>
      <c r="W85" s="4"/>
      <c r="X85" s="4"/>
      <c r="Y85" s="4"/>
      <c r="Z85" s="4"/>
      <c r="AA85" s="4"/>
      <c r="AB85" s="4"/>
      <c r="AC85" s="5">
        <f>638.61</f>
        <v>638.61</v>
      </c>
      <c r="AD85" s="4"/>
      <c r="AE85" s="5">
        <f t="shared" si="11"/>
        <v>998.65000000000009</v>
      </c>
    </row>
    <row r="86" spans="1:31" x14ac:dyDescent="0.25">
      <c r="A86" s="3" t="s">
        <v>110</v>
      </c>
      <c r="B86" s="4"/>
      <c r="C86" s="4"/>
      <c r="D86" s="5">
        <f>9189.4</f>
        <v>9189.4</v>
      </c>
      <c r="E86" s="5">
        <f>410.56</f>
        <v>410.56</v>
      </c>
      <c r="F86" s="5">
        <f>29457.45</f>
        <v>29457.45</v>
      </c>
      <c r="G86" s="5">
        <f>1159.01</f>
        <v>1159.01</v>
      </c>
      <c r="H86" s="5">
        <f>2606.73</f>
        <v>2606.73</v>
      </c>
      <c r="I86" s="5">
        <f>2061.96</f>
        <v>2061.96</v>
      </c>
      <c r="J86" s="5">
        <f>1577.52</f>
        <v>1577.52</v>
      </c>
      <c r="K86" s="4"/>
      <c r="L86" s="5">
        <f>9647.85</f>
        <v>9647.85</v>
      </c>
      <c r="M86" s="5">
        <f>984.28</f>
        <v>984.28</v>
      </c>
      <c r="N86" s="5">
        <f>16380.24</f>
        <v>16380.24</v>
      </c>
      <c r="O86" s="5">
        <f>3358.19</f>
        <v>3358.19</v>
      </c>
      <c r="P86" s="5">
        <f>81.16</f>
        <v>81.16</v>
      </c>
      <c r="Q86" s="5">
        <f>18548.74</f>
        <v>18548.740000000002</v>
      </c>
      <c r="R86" s="5">
        <f>15942.08</f>
        <v>15942.08</v>
      </c>
      <c r="S86" s="5">
        <f>4900.44</f>
        <v>4900.4399999999996</v>
      </c>
      <c r="T86" s="5">
        <f>2673.82</f>
        <v>2673.82</v>
      </c>
      <c r="U86" s="5">
        <f>168.64</f>
        <v>168.64</v>
      </c>
      <c r="V86" s="5">
        <f>14735.49</f>
        <v>14735.49</v>
      </c>
      <c r="W86" s="5">
        <f>6910.15</f>
        <v>6910.15</v>
      </c>
      <c r="X86" s="4"/>
      <c r="Y86" s="5">
        <f>23299.74</f>
        <v>23299.74</v>
      </c>
      <c r="Z86" s="5">
        <f>48.73</f>
        <v>48.73</v>
      </c>
      <c r="AA86" s="5">
        <f>5822.03</f>
        <v>5822.03</v>
      </c>
      <c r="AB86" s="5">
        <f>17668.03</f>
        <v>17668.03</v>
      </c>
      <c r="AC86" s="5">
        <f>9244.74</f>
        <v>9244.74</v>
      </c>
      <c r="AD86" s="4"/>
      <c r="AE86" s="5">
        <f t="shared" si="11"/>
        <v>196876.98</v>
      </c>
    </row>
    <row r="87" spans="1:31" x14ac:dyDescent="0.25">
      <c r="A87" s="3" t="s">
        <v>111</v>
      </c>
      <c r="B87" s="6">
        <f t="shared" ref="B87:AD87" si="15">((B84)+(B85))+(B86)</f>
        <v>39</v>
      </c>
      <c r="C87" s="6">
        <f t="shared" si="15"/>
        <v>0</v>
      </c>
      <c r="D87" s="6">
        <f t="shared" si="15"/>
        <v>9189.4</v>
      </c>
      <c r="E87" s="6">
        <f t="shared" si="15"/>
        <v>410.56</v>
      </c>
      <c r="F87" s="6">
        <f t="shared" si="15"/>
        <v>29457.45</v>
      </c>
      <c r="G87" s="6">
        <f t="shared" si="15"/>
        <v>1159.01</v>
      </c>
      <c r="H87" s="6">
        <f t="shared" si="15"/>
        <v>2606.73</v>
      </c>
      <c r="I87" s="6">
        <f t="shared" si="15"/>
        <v>2061.96</v>
      </c>
      <c r="J87" s="6">
        <f t="shared" si="15"/>
        <v>1577.52</v>
      </c>
      <c r="K87" s="6">
        <f t="shared" si="15"/>
        <v>0</v>
      </c>
      <c r="L87" s="6">
        <f t="shared" si="15"/>
        <v>9647.85</v>
      </c>
      <c r="M87" s="6">
        <f t="shared" si="15"/>
        <v>984.28</v>
      </c>
      <c r="N87" s="6">
        <f t="shared" si="15"/>
        <v>16380.24</v>
      </c>
      <c r="O87" s="6">
        <f t="shared" si="15"/>
        <v>3358.19</v>
      </c>
      <c r="P87" s="6">
        <f t="shared" si="15"/>
        <v>81.16</v>
      </c>
      <c r="Q87" s="6">
        <f t="shared" si="15"/>
        <v>18548.740000000002</v>
      </c>
      <c r="R87" s="6">
        <f t="shared" si="15"/>
        <v>15942.08</v>
      </c>
      <c r="S87" s="6">
        <f t="shared" si="15"/>
        <v>4900.4399999999996</v>
      </c>
      <c r="T87" s="6">
        <f t="shared" si="15"/>
        <v>2673.82</v>
      </c>
      <c r="U87" s="6">
        <f t="shared" si="15"/>
        <v>168.64</v>
      </c>
      <c r="V87" s="6">
        <f t="shared" si="15"/>
        <v>15056.53</v>
      </c>
      <c r="W87" s="6">
        <f t="shared" si="15"/>
        <v>6910.15</v>
      </c>
      <c r="X87" s="6">
        <f t="shared" si="15"/>
        <v>0</v>
      </c>
      <c r="Y87" s="6">
        <f t="shared" si="15"/>
        <v>23299.74</v>
      </c>
      <c r="Z87" s="6">
        <f t="shared" si="15"/>
        <v>48.73</v>
      </c>
      <c r="AA87" s="6">
        <f t="shared" si="15"/>
        <v>5822.03</v>
      </c>
      <c r="AB87" s="6">
        <f t="shared" si="15"/>
        <v>17668.03</v>
      </c>
      <c r="AC87" s="6">
        <f t="shared" si="15"/>
        <v>9883.35</v>
      </c>
      <c r="AD87" s="6">
        <f t="shared" si="15"/>
        <v>0</v>
      </c>
      <c r="AE87" s="6">
        <f t="shared" si="11"/>
        <v>197875.63000000003</v>
      </c>
    </row>
    <row r="88" spans="1:31" x14ac:dyDescent="0.25">
      <c r="A88" s="3" t="s">
        <v>112</v>
      </c>
      <c r="B88" s="6">
        <f t="shared" ref="B88:AD88" si="16">((((((((B33)+(B45))+(B51))+(B52))+(B62))+(B67))+(B76))+(B83))+(B87)</f>
        <v>165098.21</v>
      </c>
      <c r="C88" s="6">
        <f t="shared" si="16"/>
        <v>0</v>
      </c>
      <c r="D88" s="6">
        <f t="shared" si="16"/>
        <v>124056.88</v>
      </c>
      <c r="E88" s="6">
        <f t="shared" si="16"/>
        <v>8621.91</v>
      </c>
      <c r="F88" s="6">
        <f t="shared" si="16"/>
        <v>324031.92</v>
      </c>
      <c r="G88" s="6">
        <f t="shared" si="16"/>
        <v>12749.03</v>
      </c>
      <c r="H88" s="6">
        <f t="shared" si="16"/>
        <v>28704.03</v>
      </c>
      <c r="I88" s="6">
        <f t="shared" si="16"/>
        <v>22874.539999999997</v>
      </c>
      <c r="J88" s="6">
        <f t="shared" si="16"/>
        <v>21337.58</v>
      </c>
      <c r="K88" s="6">
        <f t="shared" si="16"/>
        <v>0</v>
      </c>
      <c r="L88" s="6">
        <f t="shared" si="16"/>
        <v>106126.35</v>
      </c>
      <c r="M88" s="6">
        <f t="shared" si="16"/>
        <v>10827.09</v>
      </c>
      <c r="N88" s="6">
        <f t="shared" si="16"/>
        <v>180182.64</v>
      </c>
      <c r="O88" s="6">
        <f t="shared" si="16"/>
        <v>36940.11</v>
      </c>
      <c r="P88" s="6">
        <f t="shared" si="16"/>
        <v>1095.6600000000001</v>
      </c>
      <c r="Q88" s="6">
        <f t="shared" si="16"/>
        <v>160142.13</v>
      </c>
      <c r="R88" s="6">
        <f t="shared" si="16"/>
        <v>148792.71</v>
      </c>
      <c r="S88" s="6">
        <f t="shared" si="16"/>
        <v>53904.84</v>
      </c>
      <c r="T88" s="6">
        <f t="shared" si="16"/>
        <v>36096.639999999999</v>
      </c>
      <c r="U88" s="6">
        <f t="shared" si="16"/>
        <v>2276.67</v>
      </c>
      <c r="V88" s="6">
        <f t="shared" si="16"/>
        <v>198929.1</v>
      </c>
      <c r="W88" s="6">
        <f t="shared" si="16"/>
        <v>56268.420000000006</v>
      </c>
      <c r="X88" s="6">
        <f t="shared" si="16"/>
        <v>0</v>
      </c>
      <c r="Y88" s="6">
        <f t="shared" si="16"/>
        <v>256297.08000000005</v>
      </c>
      <c r="Z88" s="6">
        <f t="shared" si="16"/>
        <v>2485.23</v>
      </c>
      <c r="AA88" s="6">
        <f t="shared" si="16"/>
        <v>47407.94000000001</v>
      </c>
      <c r="AB88" s="6">
        <f t="shared" si="16"/>
        <v>194348.34</v>
      </c>
      <c r="AC88" s="6">
        <f t="shared" si="16"/>
        <v>75278.63</v>
      </c>
      <c r="AD88" s="6">
        <f t="shared" si="16"/>
        <v>0</v>
      </c>
      <c r="AE88" s="6">
        <f t="shared" si="11"/>
        <v>2274873.6799999997</v>
      </c>
    </row>
    <row r="89" spans="1:31" x14ac:dyDescent="0.25">
      <c r="A89" s="3" t="s">
        <v>113</v>
      </c>
      <c r="B89" s="6">
        <f t="shared" ref="B89:AD89" si="17">(B28)-(B88)</f>
        <v>418600.35</v>
      </c>
      <c r="C89" s="6">
        <f t="shared" si="17"/>
        <v>50</v>
      </c>
      <c r="D89" s="6">
        <f t="shared" si="17"/>
        <v>-130113.63</v>
      </c>
      <c r="E89" s="6">
        <f t="shared" si="17"/>
        <v>-8621.91</v>
      </c>
      <c r="F89" s="6">
        <f t="shared" si="17"/>
        <v>822123.83000000007</v>
      </c>
      <c r="G89" s="6">
        <f t="shared" si="17"/>
        <v>-20213.099999999999</v>
      </c>
      <c r="H89" s="6">
        <f t="shared" si="17"/>
        <v>-28704.03</v>
      </c>
      <c r="I89" s="6">
        <f t="shared" si="17"/>
        <v>-7937.739999999998</v>
      </c>
      <c r="J89" s="6">
        <f t="shared" si="17"/>
        <v>-21337.58</v>
      </c>
      <c r="K89" s="6">
        <f t="shared" si="17"/>
        <v>5791.89</v>
      </c>
      <c r="L89" s="6">
        <f t="shared" si="17"/>
        <v>-93938.85</v>
      </c>
      <c r="M89" s="6">
        <f t="shared" si="17"/>
        <v>-10827.09</v>
      </c>
      <c r="N89" s="6">
        <f t="shared" si="17"/>
        <v>0</v>
      </c>
      <c r="O89" s="6">
        <f t="shared" si="17"/>
        <v>-36940.11</v>
      </c>
      <c r="P89" s="6">
        <f t="shared" si="17"/>
        <v>0</v>
      </c>
      <c r="Q89" s="6">
        <f t="shared" si="17"/>
        <v>-88705.69</v>
      </c>
      <c r="R89" s="6">
        <f t="shared" si="17"/>
        <v>0</v>
      </c>
      <c r="S89" s="6">
        <f t="shared" si="17"/>
        <v>0</v>
      </c>
      <c r="T89" s="6">
        <f t="shared" si="17"/>
        <v>-36096.639999999999</v>
      </c>
      <c r="U89" s="6">
        <f t="shared" si="17"/>
        <v>-2276.67</v>
      </c>
      <c r="V89" s="6">
        <f t="shared" si="17"/>
        <v>-108559.13</v>
      </c>
      <c r="W89" s="6">
        <f t="shared" si="17"/>
        <v>-36477.670000000006</v>
      </c>
      <c r="X89" s="6">
        <f t="shared" si="17"/>
        <v>30065</v>
      </c>
      <c r="Y89" s="6">
        <f t="shared" si="17"/>
        <v>-261112.85000000003</v>
      </c>
      <c r="Z89" s="6">
        <f t="shared" si="17"/>
        <v>-1411.78</v>
      </c>
      <c r="AA89" s="6">
        <f t="shared" si="17"/>
        <v>-24835.380000000008</v>
      </c>
      <c r="AB89" s="6">
        <f t="shared" si="17"/>
        <v>-194205.55</v>
      </c>
      <c r="AC89" s="6">
        <f t="shared" si="17"/>
        <v>-42560.060000000005</v>
      </c>
      <c r="AD89" s="6">
        <f t="shared" si="17"/>
        <v>0</v>
      </c>
      <c r="AE89" s="6">
        <f t="shared" si="11"/>
        <v>121755.60999999993</v>
      </c>
    </row>
    <row r="90" spans="1:31" x14ac:dyDescent="0.25">
      <c r="A90" s="3" t="s">
        <v>114</v>
      </c>
      <c r="B90" s="7">
        <f t="shared" ref="B90:AD90" si="18">(B89)+(0)</f>
        <v>418600.35</v>
      </c>
      <c r="C90" s="7">
        <f t="shared" si="18"/>
        <v>50</v>
      </c>
      <c r="D90" s="7">
        <f t="shared" si="18"/>
        <v>-130113.63</v>
      </c>
      <c r="E90" s="7">
        <f t="shared" si="18"/>
        <v>-8621.91</v>
      </c>
      <c r="F90" s="7">
        <f t="shared" si="18"/>
        <v>822123.83000000007</v>
      </c>
      <c r="G90" s="7">
        <f t="shared" si="18"/>
        <v>-20213.099999999999</v>
      </c>
      <c r="H90" s="7">
        <f t="shared" si="18"/>
        <v>-28704.03</v>
      </c>
      <c r="I90" s="7">
        <f t="shared" si="18"/>
        <v>-7937.739999999998</v>
      </c>
      <c r="J90" s="7">
        <f t="shared" si="18"/>
        <v>-21337.58</v>
      </c>
      <c r="K90" s="7">
        <f t="shared" si="18"/>
        <v>5791.89</v>
      </c>
      <c r="L90" s="7">
        <f t="shared" si="18"/>
        <v>-93938.85</v>
      </c>
      <c r="M90" s="7">
        <f t="shared" si="18"/>
        <v>-10827.09</v>
      </c>
      <c r="N90" s="7">
        <f t="shared" si="18"/>
        <v>0</v>
      </c>
      <c r="O90" s="7">
        <f t="shared" si="18"/>
        <v>-36940.11</v>
      </c>
      <c r="P90" s="7">
        <f t="shared" si="18"/>
        <v>0</v>
      </c>
      <c r="Q90" s="7">
        <f t="shared" si="18"/>
        <v>-88705.69</v>
      </c>
      <c r="R90" s="7">
        <f t="shared" si="18"/>
        <v>0</v>
      </c>
      <c r="S90" s="7">
        <f t="shared" si="18"/>
        <v>0</v>
      </c>
      <c r="T90" s="7">
        <f t="shared" si="18"/>
        <v>-36096.639999999999</v>
      </c>
      <c r="U90" s="7">
        <f t="shared" si="18"/>
        <v>-2276.67</v>
      </c>
      <c r="V90" s="7">
        <f t="shared" si="18"/>
        <v>-108559.13</v>
      </c>
      <c r="W90" s="7">
        <f t="shared" si="18"/>
        <v>-36477.670000000006</v>
      </c>
      <c r="X90" s="7">
        <f t="shared" si="18"/>
        <v>30065</v>
      </c>
      <c r="Y90" s="7">
        <f t="shared" si="18"/>
        <v>-261112.85000000003</v>
      </c>
      <c r="Z90" s="7">
        <f t="shared" si="18"/>
        <v>-1411.78</v>
      </c>
      <c r="AA90" s="7">
        <f t="shared" si="18"/>
        <v>-24835.380000000008</v>
      </c>
      <c r="AB90" s="7">
        <f t="shared" si="18"/>
        <v>-194205.55</v>
      </c>
      <c r="AC90" s="7">
        <f t="shared" si="18"/>
        <v>-42560.060000000005</v>
      </c>
      <c r="AD90" s="7">
        <f t="shared" si="18"/>
        <v>0</v>
      </c>
      <c r="AE90" s="7">
        <f t="shared" si="11"/>
        <v>121755.60999999993</v>
      </c>
    </row>
    <row r="91" spans="1:3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4" spans="1:31" x14ac:dyDescent="0.2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</sheetData>
  <sheetProtection algorithmName="SHA-512" hashValue="Y0XLwMNrbRESwyyUK8PBLvzA4M9m6E9X0Y1vCrEair25aTLywh6L/Vvdlm4fdC1dgjtp+vY+Js/Jhd47Gh6naQ==" saltValue="zIqh05+/TnNCE4tbcKAtrw==" spinCount="100000" sheet="1" objects="1" scenarios="1"/>
  <mergeCells count="4">
    <mergeCell ref="A94:AE94"/>
    <mergeCell ref="A1:AE1"/>
    <mergeCell ref="A2:AE2"/>
    <mergeCell ref="A3:AE3"/>
  </mergeCells>
  <pageMargins left="0.7" right="0.7" top="0.75" bottom="0.75" header="0.3" footer="0.3"/>
  <pageSetup paperSize="5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2023-09-25T15:26:23Z</cp:lastPrinted>
  <dcterms:created xsi:type="dcterms:W3CDTF">2023-09-25T15:25:12Z</dcterms:created>
  <dcterms:modified xsi:type="dcterms:W3CDTF">2023-09-25T16:29:18Z</dcterms:modified>
</cp:coreProperties>
</file>